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chart4.xml" ContentType="application/vnd.openxmlformats-officedocument.drawingml.chart+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User\OneDrive\Desktop\Equity Research\Models\Communication Services\"/>
    </mc:Choice>
  </mc:AlternateContent>
  <xr:revisionPtr revIDLastSave="0" documentId="13_ncr:1_{A5FAE124-D132-45DA-A856-B0D762D28E57}" xr6:coauthVersionLast="47" xr6:coauthVersionMax="47" xr10:uidLastSave="{00000000-0000-0000-0000-000000000000}"/>
  <bookViews>
    <workbookView xWindow="43095" yWindow="0" windowWidth="14610" windowHeight="15585" activeTab="2" xr2:uid="{00000000-000D-0000-FFFF-FFFF00000000}"/>
  </bookViews>
  <sheets>
    <sheet name="Main" sheetId="1" r:id="rId1"/>
    <sheet name="Model" sheetId="2" r:id="rId2"/>
    <sheet name="Notes | Quant Analysis" sheetId="3" r:id="rId3"/>
    <sheet name="Product Lines" sheetId="5" r:id="rId4"/>
    <sheet name="M&amp;A" sheetId="7" r:id="rId5"/>
    <sheet name="Closed Product Lines" sheetId="8" r:id="rId6"/>
    <sheet name="Management" sheetId="6" r:id="rId7"/>
    <sheet name="Table Formatting" sheetId="4"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Z77" i="2" l="1"/>
  <c r="AT21" i="2"/>
  <c r="AS21" i="2"/>
  <c r="AR21" i="2"/>
  <c r="AQ21" i="2"/>
  <c r="AP21" i="2"/>
  <c r="AO21" i="2"/>
  <c r="AN21" i="2"/>
  <c r="AM21" i="2"/>
  <c r="AL21" i="2"/>
  <c r="AK21" i="2"/>
  <c r="AJ21" i="2"/>
  <c r="AI21" i="2"/>
  <c r="AH21" i="2"/>
  <c r="AG21" i="2"/>
  <c r="AF21" i="2"/>
  <c r="AE21" i="2"/>
  <c r="AD21" i="2"/>
  <c r="AC21" i="2"/>
  <c r="AB21" i="2"/>
  <c r="AA21" i="2"/>
  <c r="Z21" i="2"/>
  <c r="Y21" i="2"/>
  <c r="X21" i="2"/>
  <c r="W21" i="2"/>
  <c r="V21" i="2"/>
  <c r="U21" i="2"/>
  <c r="T21" i="2"/>
  <c r="S21" i="2"/>
  <c r="R21" i="2"/>
  <c r="Q21" i="2"/>
  <c r="P21" i="2"/>
  <c r="O21" i="2"/>
  <c r="N21" i="2"/>
  <c r="M21" i="2"/>
  <c r="L21" i="2"/>
  <c r="K21" i="2"/>
  <c r="J21" i="2"/>
  <c r="I21" i="2"/>
  <c r="H21" i="2"/>
  <c r="G21" i="2"/>
  <c r="BQ115" i="2"/>
  <c r="BQ114" i="2"/>
  <c r="BQ116" i="2" s="1"/>
  <c r="BQ107" i="2"/>
  <c r="BQ105" i="2"/>
  <c r="BQ104" i="2"/>
  <c r="BQ103" i="2"/>
  <c r="BQ99" i="2"/>
  <c r="BQ101" i="2" s="1"/>
  <c r="BQ85" i="2"/>
  <c r="BQ54" i="2"/>
  <c r="BQ39" i="2"/>
  <c r="BQ38" i="2"/>
  <c r="BQ37" i="2"/>
  <c r="BQ36" i="2"/>
  <c r="BQ34" i="2"/>
  <c r="BQ43" i="2" s="1"/>
  <c r="BQ20" i="2"/>
  <c r="BQ19" i="2"/>
  <c r="BQ18" i="2"/>
  <c r="BQ16" i="2"/>
  <c r="BQ15" i="2"/>
  <c r="BQ14" i="2"/>
  <c r="BQ7" i="2"/>
  <c r="BQ12" i="2" s="1"/>
  <c r="BQ27" i="2" s="1"/>
  <c r="C6" i="1"/>
  <c r="H1931" i="3"/>
  <c r="H1930" i="3"/>
  <c r="H1929" i="3"/>
  <c r="H1928" i="3"/>
  <c r="H1927" i="3"/>
  <c r="H1926" i="3"/>
  <c r="H1925" i="3"/>
  <c r="H1924" i="3"/>
  <c r="H1923" i="3"/>
  <c r="H1922" i="3"/>
  <c r="H1921" i="3"/>
  <c r="H1920" i="3"/>
  <c r="H1919" i="3"/>
  <c r="H1918" i="3"/>
  <c r="H1917" i="3"/>
  <c r="H1916" i="3"/>
  <c r="H1915" i="3"/>
  <c r="H1914" i="3"/>
  <c r="H1913" i="3"/>
  <c r="H1912" i="3"/>
  <c r="H1911" i="3"/>
  <c r="H1910" i="3"/>
  <c r="H1909" i="3"/>
  <c r="H1908" i="3"/>
  <c r="H1907" i="3"/>
  <c r="H1906" i="3"/>
  <c r="H1905" i="3"/>
  <c r="H1904" i="3"/>
  <c r="H1903" i="3"/>
  <c r="H1902" i="3"/>
  <c r="H1901" i="3"/>
  <c r="H1900" i="3"/>
  <c r="H1899" i="3"/>
  <c r="H1898" i="3"/>
  <c r="H1897" i="3"/>
  <c r="H1896" i="3"/>
  <c r="H1895" i="3"/>
  <c r="H1894" i="3"/>
  <c r="H1893" i="3"/>
  <c r="H1892" i="3"/>
  <c r="H1891" i="3"/>
  <c r="H1890" i="3"/>
  <c r="H1889" i="3"/>
  <c r="H1888" i="3"/>
  <c r="H1887" i="3"/>
  <c r="H1886" i="3"/>
  <c r="H1885" i="3"/>
  <c r="H1884" i="3"/>
  <c r="H1883" i="3"/>
  <c r="H1882" i="3"/>
  <c r="H1881" i="3"/>
  <c r="H1880" i="3"/>
  <c r="H1879" i="3"/>
  <c r="H1878" i="3"/>
  <c r="H1877" i="3"/>
  <c r="H1876" i="3"/>
  <c r="H1875" i="3"/>
  <c r="H1874" i="3"/>
  <c r="H1873" i="3"/>
  <c r="H1872" i="3"/>
  <c r="H1871" i="3"/>
  <c r="H1870" i="3"/>
  <c r="H1869" i="3"/>
  <c r="H1868" i="3"/>
  <c r="H1867" i="3"/>
  <c r="H1866" i="3"/>
  <c r="H1865" i="3"/>
  <c r="H1864" i="3"/>
  <c r="H1863" i="3"/>
  <c r="H1862" i="3"/>
  <c r="H1861" i="3"/>
  <c r="H1860" i="3"/>
  <c r="H1859" i="3"/>
  <c r="H1858" i="3"/>
  <c r="H1857" i="3"/>
  <c r="H1856" i="3"/>
  <c r="H1855" i="3"/>
  <c r="H1854" i="3"/>
  <c r="H1853" i="3"/>
  <c r="H1852" i="3"/>
  <c r="H1851" i="3"/>
  <c r="H1850" i="3"/>
  <c r="H1849" i="3"/>
  <c r="H1848" i="3"/>
  <c r="H1847" i="3"/>
  <c r="H1846" i="3"/>
  <c r="H1845" i="3"/>
  <c r="H1844" i="3"/>
  <c r="H1843" i="3"/>
  <c r="H1842" i="3"/>
  <c r="H1841" i="3"/>
  <c r="H1840" i="3"/>
  <c r="H1839" i="3"/>
  <c r="H1838" i="3"/>
  <c r="H1837" i="3"/>
  <c r="H1836" i="3"/>
  <c r="H1835" i="3"/>
  <c r="H1834" i="3"/>
  <c r="H1833" i="3"/>
  <c r="H1832" i="3"/>
  <c r="H1831" i="3"/>
  <c r="H1830" i="3"/>
  <c r="H1829" i="3"/>
  <c r="H1828" i="3"/>
  <c r="H1827" i="3"/>
  <c r="H1826" i="3"/>
  <c r="H1825" i="3"/>
  <c r="H1824" i="3"/>
  <c r="H1823" i="3"/>
  <c r="H1822" i="3"/>
  <c r="H1821" i="3"/>
  <c r="H1820" i="3"/>
  <c r="H1819" i="3"/>
  <c r="H1818" i="3"/>
  <c r="H1817" i="3"/>
  <c r="H1816" i="3"/>
  <c r="H1815" i="3"/>
  <c r="H1814" i="3"/>
  <c r="H1813" i="3"/>
  <c r="H1812" i="3"/>
  <c r="H1811" i="3"/>
  <c r="H1810" i="3"/>
  <c r="H1809" i="3"/>
  <c r="H1808" i="3"/>
  <c r="H1807" i="3"/>
  <c r="H1806" i="3"/>
  <c r="H1805" i="3"/>
  <c r="H1804" i="3"/>
  <c r="H1803" i="3"/>
  <c r="H1802" i="3"/>
  <c r="H1801" i="3"/>
  <c r="H1800" i="3"/>
  <c r="H1799" i="3"/>
  <c r="H1798" i="3"/>
  <c r="H1797" i="3"/>
  <c r="H1796" i="3"/>
  <c r="H1795" i="3"/>
  <c r="H1794" i="3"/>
  <c r="H1793" i="3"/>
  <c r="H1792" i="3"/>
  <c r="H1791" i="3"/>
  <c r="H1790" i="3"/>
  <c r="H1789" i="3"/>
  <c r="H1788" i="3"/>
  <c r="H1787" i="3"/>
  <c r="H1786" i="3"/>
  <c r="H1785" i="3"/>
  <c r="H1784" i="3"/>
  <c r="H1783" i="3"/>
  <c r="H1782" i="3"/>
  <c r="H1781" i="3"/>
  <c r="H1780" i="3"/>
  <c r="H1779" i="3"/>
  <c r="H1778" i="3"/>
  <c r="H1777" i="3"/>
  <c r="H1776" i="3"/>
  <c r="H1775" i="3"/>
  <c r="H1774" i="3"/>
  <c r="H1773" i="3"/>
  <c r="H1772" i="3"/>
  <c r="H1771" i="3"/>
  <c r="H1770" i="3"/>
  <c r="H1769" i="3"/>
  <c r="H1768" i="3"/>
  <c r="H1767" i="3"/>
  <c r="H1766" i="3"/>
  <c r="H1765" i="3"/>
  <c r="H1764" i="3"/>
  <c r="H1763" i="3"/>
  <c r="H1762" i="3"/>
  <c r="H1761" i="3"/>
  <c r="H1760" i="3"/>
  <c r="H1759" i="3"/>
  <c r="H1758" i="3"/>
  <c r="H1757" i="3"/>
  <c r="H1756" i="3"/>
  <c r="H1755" i="3"/>
  <c r="H1754" i="3"/>
  <c r="H1753" i="3"/>
  <c r="H1752" i="3"/>
  <c r="H1751" i="3"/>
  <c r="H1750" i="3"/>
  <c r="H1749" i="3"/>
  <c r="H1748" i="3"/>
  <c r="H1747" i="3"/>
  <c r="H1746" i="3"/>
  <c r="H1745" i="3"/>
  <c r="H1744" i="3"/>
  <c r="H1743" i="3"/>
  <c r="H1742" i="3"/>
  <c r="H1741" i="3"/>
  <c r="H1740" i="3"/>
  <c r="H1739" i="3"/>
  <c r="H1738" i="3"/>
  <c r="H1737" i="3"/>
  <c r="H1736" i="3"/>
  <c r="H1735" i="3"/>
  <c r="H1734" i="3"/>
  <c r="H1733" i="3"/>
  <c r="H1732" i="3"/>
  <c r="H1731" i="3"/>
  <c r="H1730" i="3"/>
  <c r="H1729" i="3"/>
  <c r="H1728" i="3"/>
  <c r="H1727" i="3"/>
  <c r="H1726" i="3"/>
  <c r="H1725" i="3"/>
  <c r="H1724" i="3"/>
  <c r="H1723" i="3"/>
  <c r="H1722" i="3"/>
  <c r="H1721" i="3"/>
  <c r="H1720" i="3"/>
  <c r="H1719" i="3"/>
  <c r="H1718" i="3"/>
  <c r="H1717" i="3"/>
  <c r="H1716" i="3"/>
  <c r="H1715" i="3"/>
  <c r="H1714" i="3"/>
  <c r="H1713" i="3"/>
  <c r="H1712" i="3"/>
  <c r="H1711" i="3"/>
  <c r="H1710" i="3"/>
  <c r="H1709" i="3"/>
  <c r="H1708" i="3"/>
  <c r="H1707" i="3"/>
  <c r="H1706" i="3"/>
  <c r="H1705" i="3"/>
  <c r="H1704" i="3"/>
  <c r="H1703" i="3"/>
  <c r="H1702" i="3"/>
  <c r="H1701" i="3"/>
  <c r="H1700" i="3"/>
  <c r="H1699" i="3"/>
  <c r="H1698" i="3"/>
  <c r="H1697" i="3"/>
  <c r="H1696" i="3"/>
  <c r="H1695" i="3"/>
  <c r="H1694" i="3"/>
  <c r="H1693" i="3"/>
  <c r="H1692" i="3"/>
  <c r="H1691" i="3"/>
  <c r="H1690" i="3"/>
  <c r="H1689" i="3"/>
  <c r="H1688" i="3"/>
  <c r="H1687" i="3"/>
  <c r="H1686" i="3"/>
  <c r="H1685" i="3"/>
  <c r="H1684" i="3"/>
  <c r="H1683" i="3"/>
  <c r="H1682" i="3"/>
  <c r="H1681" i="3"/>
  <c r="H1680" i="3"/>
  <c r="H1679" i="3"/>
  <c r="H1678" i="3"/>
  <c r="H1677" i="3"/>
  <c r="H1676" i="3"/>
  <c r="H1675" i="3"/>
  <c r="H1674" i="3"/>
  <c r="H1673" i="3"/>
  <c r="H1672" i="3"/>
  <c r="H1671" i="3"/>
  <c r="H1670" i="3"/>
  <c r="H1669" i="3"/>
  <c r="H1668" i="3"/>
  <c r="H1667" i="3"/>
  <c r="H1666" i="3"/>
  <c r="H1665" i="3"/>
  <c r="H1664" i="3"/>
  <c r="H1663" i="3"/>
  <c r="H1662" i="3"/>
  <c r="H1661" i="3"/>
  <c r="H1660" i="3"/>
  <c r="H1659" i="3"/>
  <c r="H1658" i="3"/>
  <c r="H1657" i="3"/>
  <c r="H1656" i="3"/>
  <c r="H1655" i="3"/>
  <c r="H1654" i="3"/>
  <c r="H1653" i="3"/>
  <c r="H1652" i="3"/>
  <c r="H1651" i="3"/>
  <c r="H1650" i="3"/>
  <c r="H1649" i="3"/>
  <c r="H1648" i="3"/>
  <c r="H1647" i="3"/>
  <c r="H1646" i="3"/>
  <c r="H1645" i="3"/>
  <c r="H1644" i="3"/>
  <c r="H1643" i="3"/>
  <c r="H1642" i="3"/>
  <c r="H1641" i="3"/>
  <c r="H1640" i="3"/>
  <c r="H1639" i="3"/>
  <c r="H1638" i="3"/>
  <c r="H1637" i="3"/>
  <c r="H1636" i="3"/>
  <c r="H1635" i="3"/>
  <c r="H1634" i="3"/>
  <c r="H1633" i="3"/>
  <c r="H1632" i="3"/>
  <c r="H1631" i="3"/>
  <c r="H1630" i="3"/>
  <c r="H1629" i="3"/>
  <c r="H1628" i="3"/>
  <c r="H1627" i="3"/>
  <c r="H1626" i="3"/>
  <c r="H1625" i="3"/>
  <c r="H1624" i="3"/>
  <c r="H1623" i="3"/>
  <c r="H1622" i="3"/>
  <c r="H1621" i="3"/>
  <c r="H1620" i="3"/>
  <c r="H1619" i="3"/>
  <c r="H1618" i="3"/>
  <c r="H1617" i="3"/>
  <c r="H1616" i="3"/>
  <c r="H1615" i="3"/>
  <c r="H1614" i="3"/>
  <c r="H1613" i="3"/>
  <c r="H1612" i="3"/>
  <c r="H1611" i="3"/>
  <c r="H1610" i="3"/>
  <c r="H1609" i="3"/>
  <c r="H1608" i="3"/>
  <c r="H1607" i="3"/>
  <c r="H1606" i="3"/>
  <c r="H1605" i="3"/>
  <c r="H1604" i="3"/>
  <c r="H1603" i="3"/>
  <c r="H1602" i="3"/>
  <c r="H1601" i="3"/>
  <c r="H1600" i="3"/>
  <c r="H1599" i="3"/>
  <c r="H1598" i="3"/>
  <c r="H1597" i="3"/>
  <c r="H1596" i="3"/>
  <c r="H1595" i="3"/>
  <c r="H1594" i="3"/>
  <c r="H1593" i="3"/>
  <c r="H1592" i="3"/>
  <c r="H1591" i="3"/>
  <c r="H1590" i="3"/>
  <c r="H1589" i="3"/>
  <c r="H1588" i="3"/>
  <c r="H1587" i="3"/>
  <c r="H1586" i="3"/>
  <c r="H1585" i="3"/>
  <c r="H1584" i="3"/>
  <c r="H1583" i="3"/>
  <c r="H1582" i="3"/>
  <c r="H1581" i="3"/>
  <c r="H1580" i="3"/>
  <c r="H1579" i="3"/>
  <c r="H1578" i="3"/>
  <c r="H1577" i="3"/>
  <c r="H1576" i="3"/>
  <c r="H1575" i="3"/>
  <c r="H1574" i="3"/>
  <c r="H1573" i="3"/>
  <c r="H1572" i="3"/>
  <c r="H1571" i="3"/>
  <c r="H1570" i="3"/>
  <c r="H1569" i="3"/>
  <c r="H1568" i="3"/>
  <c r="H1567" i="3"/>
  <c r="H1566" i="3"/>
  <c r="H1565" i="3"/>
  <c r="H1564" i="3"/>
  <c r="H1563" i="3"/>
  <c r="H1562" i="3"/>
  <c r="H1561" i="3"/>
  <c r="H1560" i="3"/>
  <c r="H1559" i="3"/>
  <c r="H1558" i="3"/>
  <c r="H1557" i="3"/>
  <c r="H1556" i="3"/>
  <c r="H1555" i="3"/>
  <c r="H1554" i="3"/>
  <c r="H1553" i="3"/>
  <c r="H1552" i="3"/>
  <c r="H1551" i="3"/>
  <c r="H1550" i="3"/>
  <c r="H1549" i="3"/>
  <c r="H1548" i="3"/>
  <c r="H1547" i="3"/>
  <c r="H1546" i="3"/>
  <c r="H1545" i="3"/>
  <c r="H1544" i="3"/>
  <c r="H1543" i="3"/>
  <c r="H1542" i="3"/>
  <c r="H1541" i="3"/>
  <c r="H1540" i="3"/>
  <c r="H1539" i="3"/>
  <c r="H1538" i="3"/>
  <c r="H1537" i="3"/>
  <c r="H1536" i="3"/>
  <c r="H1535" i="3"/>
  <c r="H1534" i="3"/>
  <c r="H1533" i="3"/>
  <c r="H1532" i="3"/>
  <c r="H1531" i="3"/>
  <c r="H1530" i="3"/>
  <c r="H1529" i="3"/>
  <c r="H1528" i="3"/>
  <c r="H1527" i="3"/>
  <c r="H1526" i="3"/>
  <c r="H1525" i="3"/>
  <c r="H1524" i="3"/>
  <c r="H1523" i="3"/>
  <c r="H1522" i="3"/>
  <c r="H1521" i="3"/>
  <c r="H1520" i="3"/>
  <c r="H1519" i="3"/>
  <c r="H1518" i="3"/>
  <c r="H1517" i="3"/>
  <c r="H1516" i="3"/>
  <c r="H1515" i="3"/>
  <c r="H1514" i="3"/>
  <c r="H1513" i="3"/>
  <c r="H1512" i="3"/>
  <c r="H1511" i="3"/>
  <c r="H1510" i="3"/>
  <c r="H1509" i="3"/>
  <c r="H1508" i="3"/>
  <c r="H1507" i="3"/>
  <c r="H1506" i="3"/>
  <c r="H1505" i="3"/>
  <c r="H1504" i="3"/>
  <c r="H1503" i="3"/>
  <c r="H1502" i="3"/>
  <c r="H1501" i="3"/>
  <c r="H1500" i="3"/>
  <c r="H1499" i="3"/>
  <c r="H1498" i="3"/>
  <c r="H1497" i="3"/>
  <c r="H1496" i="3"/>
  <c r="H1495" i="3"/>
  <c r="H1494" i="3"/>
  <c r="H1493" i="3"/>
  <c r="H1492" i="3"/>
  <c r="H1491" i="3"/>
  <c r="H1490" i="3"/>
  <c r="H1489" i="3"/>
  <c r="H1488" i="3"/>
  <c r="H1487" i="3"/>
  <c r="H1486" i="3"/>
  <c r="H1485" i="3"/>
  <c r="H1484" i="3"/>
  <c r="H1483" i="3"/>
  <c r="H1482" i="3"/>
  <c r="H1481" i="3"/>
  <c r="H1480" i="3"/>
  <c r="H1479" i="3"/>
  <c r="H1478" i="3"/>
  <c r="H1477" i="3"/>
  <c r="H1476" i="3"/>
  <c r="H1475" i="3"/>
  <c r="H1474" i="3"/>
  <c r="H1473" i="3"/>
  <c r="H1472" i="3"/>
  <c r="H1471" i="3"/>
  <c r="H1470" i="3"/>
  <c r="H1469" i="3"/>
  <c r="H1468" i="3"/>
  <c r="H1467" i="3"/>
  <c r="H1466" i="3"/>
  <c r="H1465" i="3"/>
  <c r="H1464" i="3"/>
  <c r="H1463" i="3"/>
  <c r="H1462" i="3"/>
  <c r="H1461" i="3"/>
  <c r="H1460" i="3"/>
  <c r="H1459" i="3"/>
  <c r="H1458" i="3"/>
  <c r="H1457" i="3"/>
  <c r="H1456" i="3"/>
  <c r="H1455" i="3"/>
  <c r="H1454" i="3"/>
  <c r="H1453" i="3"/>
  <c r="H1452" i="3"/>
  <c r="H1451" i="3"/>
  <c r="H1450" i="3"/>
  <c r="H1449" i="3"/>
  <c r="H1448" i="3"/>
  <c r="H1447" i="3"/>
  <c r="H1446" i="3"/>
  <c r="H1445" i="3"/>
  <c r="H1444" i="3"/>
  <c r="H1443" i="3"/>
  <c r="H1442" i="3"/>
  <c r="H1441" i="3"/>
  <c r="H1440" i="3"/>
  <c r="H1439" i="3"/>
  <c r="H1438" i="3"/>
  <c r="H1437" i="3"/>
  <c r="H1436" i="3"/>
  <c r="H1435" i="3"/>
  <c r="H1434" i="3"/>
  <c r="H1433" i="3"/>
  <c r="H1432" i="3"/>
  <c r="H1431" i="3"/>
  <c r="H1430" i="3"/>
  <c r="H1429" i="3"/>
  <c r="H1428" i="3"/>
  <c r="H1427" i="3"/>
  <c r="H1426" i="3"/>
  <c r="H1425" i="3"/>
  <c r="H1424" i="3"/>
  <c r="H1423" i="3"/>
  <c r="H1422" i="3"/>
  <c r="H1421" i="3"/>
  <c r="H1420" i="3"/>
  <c r="H1419" i="3"/>
  <c r="H1418" i="3"/>
  <c r="H1417" i="3"/>
  <c r="H1416" i="3"/>
  <c r="H1415" i="3"/>
  <c r="H1414" i="3"/>
  <c r="H1413" i="3"/>
  <c r="H1412" i="3"/>
  <c r="H1411" i="3"/>
  <c r="H1410" i="3"/>
  <c r="H1409" i="3"/>
  <c r="H1408" i="3"/>
  <c r="H1407" i="3"/>
  <c r="H1406" i="3"/>
  <c r="H1405" i="3"/>
  <c r="H1404" i="3"/>
  <c r="H1403" i="3"/>
  <c r="H1402" i="3"/>
  <c r="H1401" i="3"/>
  <c r="H1400" i="3"/>
  <c r="H1399" i="3"/>
  <c r="H1398" i="3"/>
  <c r="H1397" i="3"/>
  <c r="H1396" i="3"/>
  <c r="H1395" i="3"/>
  <c r="H1394" i="3"/>
  <c r="H1393" i="3"/>
  <c r="H1392" i="3"/>
  <c r="H1391" i="3"/>
  <c r="H1390" i="3"/>
  <c r="H1389" i="3"/>
  <c r="H1388" i="3"/>
  <c r="H1387" i="3"/>
  <c r="H1386" i="3"/>
  <c r="H1385" i="3"/>
  <c r="H1384" i="3"/>
  <c r="H1383" i="3"/>
  <c r="H1382" i="3"/>
  <c r="H1381" i="3"/>
  <c r="H1380" i="3"/>
  <c r="H1379" i="3"/>
  <c r="H1378" i="3"/>
  <c r="H1377" i="3"/>
  <c r="H1376" i="3"/>
  <c r="H1375" i="3"/>
  <c r="H1374" i="3"/>
  <c r="H1373" i="3"/>
  <c r="H1372" i="3"/>
  <c r="H1371" i="3"/>
  <c r="H1370" i="3"/>
  <c r="H1369" i="3"/>
  <c r="H1368" i="3"/>
  <c r="H1367" i="3"/>
  <c r="H1366" i="3"/>
  <c r="H1365" i="3"/>
  <c r="H1364" i="3"/>
  <c r="H1363" i="3"/>
  <c r="H1362" i="3"/>
  <c r="H1361" i="3"/>
  <c r="H1360" i="3"/>
  <c r="H1359" i="3"/>
  <c r="H1358" i="3"/>
  <c r="H1357" i="3"/>
  <c r="H1356" i="3"/>
  <c r="H1355" i="3"/>
  <c r="H1354" i="3"/>
  <c r="H1353" i="3"/>
  <c r="H1352" i="3"/>
  <c r="H1351" i="3"/>
  <c r="H1350" i="3"/>
  <c r="H1349" i="3"/>
  <c r="H1348" i="3"/>
  <c r="H1347" i="3"/>
  <c r="H1346" i="3"/>
  <c r="H1345" i="3"/>
  <c r="H1344" i="3"/>
  <c r="H1343" i="3"/>
  <c r="H1342" i="3"/>
  <c r="H1341" i="3"/>
  <c r="H1340" i="3"/>
  <c r="H1339" i="3"/>
  <c r="H1338" i="3"/>
  <c r="H1337" i="3"/>
  <c r="H1336" i="3"/>
  <c r="H1335" i="3"/>
  <c r="H1334" i="3"/>
  <c r="H1333" i="3"/>
  <c r="H1332" i="3"/>
  <c r="H1331" i="3"/>
  <c r="H1330" i="3"/>
  <c r="H1329" i="3"/>
  <c r="H1328" i="3"/>
  <c r="H1327" i="3"/>
  <c r="H1326" i="3"/>
  <c r="H1325" i="3"/>
  <c r="H1324" i="3"/>
  <c r="H1323" i="3"/>
  <c r="H1322" i="3"/>
  <c r="H1321" i="3"/>
  <c r="H1320" i="3"/>
  <c r="H1319" i="3"/>
  <c r="H1318" i="3"/>
  <c r="H1317" i="3"/>
  <c r="H1316" i="3"/>
  <c r="H1315" i="3"/>
  <c r="H1314" i="3"/>
  <c r="H1313" i="3"/>
  <c r="H1312" i="3"/>
  <c r="H1311" i="3"/>
  <c r="H1310" i="3"/>
  <c r="H1309" i="3"/>
  <c r="H1308" i="3"/>
  <c r="H1307" i="3"/>
  <c r="H1306" i="3"/>
  <c r="H1305" i="3"/>
  <c r="H1304" i="3"/>
  <c r="H1303" i="3"/>
  <c r="H1302" i="3"/>
  <c r="H1301" i="3"/>
  <c r="H1300" i="3"/>
  <c r="H1299" i="3"/>
  <c r="H1298" i="3"/>
  <c r="H1297" i="3"/>
  <c r="H1296" i="3"/>
  <c r="H1295" i="3"/>
  <c r="H1294" i="3"/>
  <c r="H1293" i="3"/>
  <c r="H1292" i="3"/>
  <c r="H1291" i="3"/>
  <c r="H1290" i="3"/>
  <c r="H1289" i="3"/>
  <c r="H1288" i="3"/>
  <c r="H1287" i="3"/>
  <c r="H1286" i="3"/>
  <c r="H1285" i="3"/>
  <c r="H1284" i="3"/>
  <c r="H1283" i="3"/>
  <c r="H1282" i="3"/>
  <c r="H1281" i="3"/>
  <c r="H1280" i="3"/>
  <c r="H1279" i="3"/>
  <c r="H1278" i="3"/>
  <c r="H1277" i="3"/>
  <c r="H1276" i="3"/>
  <c r="H1275" i="3"/>
  <c r="H1274" i="3"/>
  <c r="H1273" i="3"/>
  <c r="H1272" i="3"/>
  <c r="H1271" i="3"/>
  <c r="H1270" i="3"/>
  <c r="H1269" i="3"/>
  <c r="H1268" i="3"/>
  <c r="H1267" i="3"/>
  <c r="H1266" i="3"/>
  <c r="H1265" i="3"/>
  <c r="H1264" i="3"/>
  <c r="H1263" i="3"/>
  <c r="H1262" i="3"/>
  <c r="H1261" i="3"/>
  <c r="H1260" i="3"/>
  <c r="H1259" i="3"/>
  <c r="H1258" i="3"/>
  <c r="H1257" i="3"/>
  <c r="H1256" i="3"/>
  <c r="H1255" i="3"/>
  <c r="H1254" i="3"/>
  <c r="H1253" i="3"/>
  <c r="H1252" i="3"/>
  <c r="H1251" i="3"/>
  <c r="H1250" i="3"/>
  <c r="H1249" i="3"/>
  <c r="H1248" i="3"/>
  <c r="H1247" i="3"/>
  <c r="H1246" i="3"/>
  <c r="H1245" i="3"/>
  <c r="H1244" i="3"/>
  <c r="H1243" i="3"/>
  <c r="H1242" i="3"/>
  <c r="H1241" i="3"/>
  <c r="H1240" i="3"/>
  <c r="H1239" i="3"/>
  <c r="H1238" i="3"/>
  <c r="H1237" i="3"/>
  <c r="H1236" i="3"/>
  <c r="H1235" i="3"/>
  <c r="H1234" i="3"/>
  <c r="H1233" i="3"/>
  <c r="H1232" i="3"/>
  <c r="H1231" i="3"/>
  <c r="H1230" i="3"/>
  <c r="H1229" i="3"/>
  <c r="H1228" i="3"/>
  <c r="H1227" i="3"/>
  <c r="H1226" i="3"/>
  <c r="H1225" i="3"/>
  <c r="H1224" i="3"/>
  <c r="H1223" i="3"/>
  <c r="H1222" i="3"/>
  <c r="H1221" i="3"/>
  <c r="H1220" i="3"/>
  <c r="H1219" i="3"/>
  <c r="H1218" i="3"/>
  <c r="H1217" i="3"/>
  <c r="H1216" i="3"/>
  <c r="H1215" i="3"/>
  <c r="H1214" i="3"/>
  <c r="H1213" i="3"/>
  <c r="H1212" i="3"/>
  <c r="H1211" i="3"/>
  <c r="H1210" i="3"/>
  <c r="H1209" i="3"/>
  <c r="H1208" i="3"/>
  <c r="H1207" i="3"/>
  <c r="H1206" i="3"/>
  <c r="H1205" i="3"/>
  <c r="H1204" i="3"/>
  <c r="H1203" i="3"/>
  <c r="H1202" i="3"/>
  <c r="H1201" i="3"/>
  <c r="H1200" i="3"/>
  <c r="H1199" i="3"/>
  <c r="H1198" i="3"/>
  <c r="H1197" i="3"/>
  <c r="H1196" i="3"/>
  <c r="H1195" i="3"/>
  <c r="H1194" i="3"/>
  <c r="H1193" i="3"/>
  <c r="H1192" i="3"/>
  <c r="H1191" i="3"/>
  <c r="H1190" i="3"/>
  <c r="H1189" i="3"/>
  <c r="H1188" i="3"/>
  <c r="H1187" i="3"/>
  <c r="H1186" i="3"/>
  <c r="H1185" i="3"/>
  <c r="H1184" i="3"/>
  <c r="H1183" i="3"/>
  <c r="H1182" i="3"/>
  <c r="H1181" i="3"/>
  <c r="H1180" i="3"/>
  <c r="H1179" i="3"/>
  <c r="H1178" i="3"/>
  <c r="H1177" i="3"/>
  <c r="H1176" i="3"/>
  <c r="H1175" i="3"/>
  <c r="H1174" i="3"/>
  <c r="H1173" i="3"/>
  <c r="H1172" i="3"/>
  <c r="H1171" i="3"/>
  <c r="H1170" i="3"/>
  <c r="H1169" i="3"/>
  <c r="H1168" i="3"/>
  <c r="H1167" i="3"/>
  <c r="H1166" i="3"/>
  <c r="H1165" i="3"/>
  <c r="H1164" i="3"/>
  <c r="H1163" i="3"/>
  <c r="H1162" i="3"/>
  <c r="H1161" i="3"/>
  <c r="H1160" i="3"/>
  <c r="H1159" i="3"/>
  <c r="H1158" i="3"/>
  <c r="H1157" i="3"/>
  <c r="H1156" i="3"/>
  <c r="H1155" i="3"/>
  <c r="H1154" i="3"/>
  <c r="H1153" i="3"/>
  <c r="H1152" i="3"/>
  <c r="H1151" i="3"/>
  <c r="H1150" i="3"/>
  <c r="H1149" i="3"/>
  <c r="H1148" i="3"/>
  <c r="H1147" i="3"/>
  <c r="H1146" i="3"/>
  <c r="H1145" i="3"/>
  <c r="H1144" i="3"/>
  <c r="H1143" i="3"/>
  <c r="H1142" i="3"/>
  <c r="H1141" i="3"/>
  <c r="H1140" i="3"/>
  <c r="H1139" i="3"/>
  <c r="H1138" i="3"/>
  <c r="H1137" i="3"/>
  <c r="H1136" i="3"/>
  <c r="H1135" i="3"/>
  <c r="H1134" i="3"/>
  <c r="H1133" i="3"/>
  <c r="H1132" i="3"/>
  <c r="H1131" i="3"/>
  <c r="H1130" i="3"/>
  <c r="H1129" i="3"/>
  <c r="H1128" i="3"/>
  <c r="H1127" i="3"/>
  <c r="H1126" i="3"/>
  <c r="H1125" i="3"/>
  <c r="H1124" i="3"/>
  <c r="H1123" i="3"/>
  <c r="H1122" i="3"/>
  <c r="H1121" i="3"/>
  <c r="H1120" i="3"/>
  <c r="H1119" i="3"/>
  <c r="H1118" i="3"/>
  <c r="H1117" i="3"/>
  <c r="H1116" i="3"/>
  <c r="H1115" i="3"/>
  <c r="H1114" i="3"/>
  <c r="H1113" i="3"/>
  <c r="H1112" i="3"/>
  <c r="H1111" i="3"/>
  <c r="H1110" i="3"/>
  <c r="H1109" i="3"/>
  <c r="H1108" i="3"/>
  <c r="H1107" i="3"/>
  <c r="H1106" i="3"/>
  <c r="H1105" i="3"/>
  <c r="H1104" i="3"/>
  <c r="H1103" i="3"/>
  <c r="H1102" i="3"/>
  <c r="H1101" i="3"/>
  <c r="H1100" i="3"/>
  <c r="H1099" i="3"/>
  <c r="H1098" i="3"/>
  <c r="H1097" i="3"/>
  <c r="H1096" i="3"/>
  <c r="H1095" i="3"/>
  <c r="H1094" i="3"/>
  <c r="H1093" i="3"/>
  <c r="H1092" i="3"/>
  <c r="H1091" i="3"/>
  <c r="H1090" i="3"/>
  <c r="H1089" i="3"/>
  <c r="H1088" i="3"/>
  <c r="H1087" i="3"/>
  <c r="H1086" i="3"/>
  <c r="H1085" i="3"/>
  <c r="H1084" i="3"/>
  <c r="H1083" i="3"/>
  <c r="H1082" i="3"/>
  <c r="H1081" i="3"/>
  <c r="H1080" i="3"/>
  <c r="H1079" i="3"/>
  <c r="H1078" i="3"/>
  <c r="H1077" i="3"/>
  <c r="H1076" i="3"/>
  <c r="H1075" i="3"/>
  <c r="H1074" i="3"/>
  <c r="H1073" i="3"/>
  <c r="H1072" i="3"/>
  <c r="H1071" i="3"/>
  <c r="H1070" i="3"/>
  <c r="H1069" i="3"/>
  <c r="H1068" i="3"/>
  <c r="H1067" i="3"/>
  <c r="H1066" i="3"/>
  <c r="H1065" i="3"/>
  <c r="H1064" i="3"/>
  <c r="H1063" i="3"/>
  <c r="H1062" i="3"/>
  <c r="H1061" i="3"/>
  <c r="H1060" i="3"/>
  <c r="H1059" i="3"/>
  <c r="H1058" i="3"/>
  <c r="H1057" i="3"/>
  <c r="H1056" i="3"/>
  <c r="H1055" i="3"/>
  <c r="H1054" i="3"/>
  <c r="H1053" i="3"/>
  <c r="H1052" i="3"/>
  <c r="H1051" i="3"/>
  <c r="H1050" i="3"/>
  <c r="H1049" i="3"/>
  <c r="H1048" i="3"/>
  <c r="H1047" i="3"/>
  <c r="H1046" i="3"/>
  <c r="H1045" i="3"/>
  <c r="H1044" i="3"/>
  <c r="H1043" i="3"/>
  <c r="H1042" i="3"/>
  <c r="H1041" i="3"/>
  <c r="H1040" i="3"/>
  <c r="H1039" i="3"/>
  <c r="H1038" i="3"/>
  <c r="H1037" i="3"/>
  <c r="H1036" i="3"/>
  <c r="H1035" i="3"/>
  <c r="H1034" i="3"/>
  <c r="H1033" i="3"/>
  <c r="H1032" i="3"/>
  <c r="H1031" i="3"/>
  <c r="H1030" i="3"/>
  <c r="H1029" i="3"/>
  <c r="H1028" i="3"/>
  <c r="H1027" i="3"/>
  <c r="H1026" i="3"/>
  <c r="H1025" i="3"/>
  <c r="H1024" i="3"/>
  <c r="H1023" i="3"/>
  <c r="H1022" i="3"/>
  <c r="H1021" i="3"/>
  <c r="H1020" i="3"/>
  <c r="H1019" i="3"/>
  <c r="H1018" i="3"/>
  <c r="H1017" i="3"/>
  <c r="H1016" i="3"/>
  <c r="H1015" i="3"/>
  <c r="H1014" i="3"/>
  <c r="H1013" i="3"/>
  <c r="H1012" i="3"/>
  <c r="H1011" i="3"/>
  <c r="H1010" i="3"/>
  <c r="H1009" i="3"/>
  <c r="H1008" i="3"/>
  <c r="H1007" i="3"/>
  <c r="H1006" i="3"/>
  <c r="H1005" i="3"/>
  <c r="H1004" i="3"/>
  <c r="H1003" i="3"/>
  <c r="H1002" i="3"/>
  <c r="H1001" i="3"/>
  <c r="H1000" i="3"/>
  <c r="H999" i="3"/>
  <c r="H998" i="3"/>
  <c r="H997" i="3"/>
  <c r="H996" i="3"/>
  <c r="H995" i="3"/>
  <c r="H994" i="3"/>
  <c r="H993" i="3"/>
  <c r="H992" i="3"/>
  <c r="H991" i="3"/>
  <c r="H990" i="3"/>
  <c r="H989" i="3"/>
  <c r="H988" i="3"/>
  <c r="H987" i="3"/>
  <c r="H986" i="3"/>
  <c r="H985" i="3"/>
  <c r="H984" i="3"/>
  <c r="H983" i="3"/>
  <c r="H982" i="3"/>
  <c r="H981" i="3"/>
  <c r="H980" i="3"/>
  <c r="H979" i="3"/>
  <c r="H978" i="3"/>
  <c r="H977" i="3"/>
  <c r="H976" i="3"/>
  <c r="H975" i="3"/>
  <c r="H974" i="3"/>
  <c r="H973" i="3"/>
  <c r="H972" i="3"/>
  <c r="H971" i="3"/>
  <c r="H970" i="3"/>
  <c r="H969" i="3"/>
  <c r="H968" i="3"/>
  <c r="H967" i="3"/>
  <c r="H966" i="3"/>
  <c r="H965" i="3"/>
  <c r="H964" i="3"/>
  <c r="H963" i="3"/>
  <c r="H962" i="3"/>
  <c r="H961" i="3"/>
  <c r="H960" i="3"/>
  <c r="H959" i="3"/>
  <c r="H958" i="3"/>
  <c r="H957" i="3"/>
  <c r="H956" i="3"/>
  <c r="H955" i="3"/>
  <c r="H954" i="3"/>
  <c r="H953" i="3"/>
  <c r="H952" i="3"/>
  <c r="H951" i="3"/>
  <c r="H950" i="3"/>
  <c r="H949" i="3"/>
  <c r="H948" i="3"/>
  <c r="H947" i="3"/>
  <c r="H946" i="3"/>
  <c r="H945" i="3"/>
  <c r="H944" i="3"/>
  <c r="H943" i="3"/>
  <c r="H942" i="3"/>
  <c r="H941" i="3"/>
  <c r="H940" i="3"/>
  <c r="H939" i="3"/>
  <c r="H938" i="3"/>
  <c r="H937" i="3"/>
  <c r="H936" i="3"/>
  <c r="H935" i="3"/>
  <c r="H934" i="3"/>
  <c r="H933" i="3"/>
  <c r="H932" i="3"/>
  <c r="H931" i="3"/>
  <c r="H930" i="3"/>
  <c r="H929" i="3"/>
  <c r="H928" i="3"/>
  <c r="H927" i="3"/>
  <c r="H926" i="3"/>
  <c r="H925" i="3"/>
  <c r="H924" i="3"/>
  <c r="H923" i="3"/>
  <c r="H922" i="3"/>
  <c r="H921" i="3"/>
  <c r="H920" i="3"/>
  <c r="H919" i="3"/>
  <c r="H918" i="3"/>
  <c r="H917" i="3"/>
  <c r="H916" i="3"/>
  <c r="H915" i="3"/>
  <c r="H914" i="3"/>
  <c r="H913" i="3"/>
  <c r="H912" i="3"/>
  <c r="H911" i="3"/>
  <c r="H910" i="3"/>
  <c r="H909" i="3"/>
  <c r="H908" i="3"/>
  <c r="H907" i="3"/>
  <c r="H906" i="3"/>
  <c r="H905" i="3"/>
  <c r="H904" i="3"/>
  <c r="H903" i="3"/>
  <c r="H902" i="3"/>
  <c r="H901" i="3"/>
  <c r="H900" i="3"/>
  <c r="H899" i="3"/>
  <c r="H898" i="3"/>
  <c r="H897" i="3"/>
  <c r="H896" i="3"/>
  <c r="H895" i="3"/>
  <c r="H894" i="3"/>
  <c r="H893" i="3"/>
  <c r="H892" i="3"/>
  <c r="H891" i="3"/>
  <c r="H890" i="3"/>
  <c r="H889" i="3"/>
  <c r="H888" i="3"/>
  <c r="H887" i="3"/>
  <c r="H886" i="3"/>
  <c r="H885" i="3"/>
  <c r="H884" i="3"/>
  <c r="H883" i="3"/>
  <c r="H882" i="3"/>
  <c r="H881" i="3"/>
  <c r="H880" i="3"/>
  <c r="H879" i="3"/>
  <c r="H878" i="3"/>
  <c r="H877" i="3"/>
  <c r="H876" i="3"/>
  <c r="H875" i="3"/>
  <c r="H874" i="3"/>
  <c r="H873" i="3"/>
  <c r="H872" i="3"/>
  <c r="H871" i="3"/>
  <c r="H870" i="3"/>
  <c r="H869" i="3"/>
  <c r="H868" i="3"/>
  <c r="H867" i="3"/>
  <c r="H866" i="3"/>
  <c r="H865" i="3"/>
  <c r="H864" i="3"/>
  <c r="H863" i="3"/>
  <c r="H862" i="3"/>
  <c r="H861" i="3"/>
  <c r="H860" i="3"/>
  <c r="H859" i="3"/>
  <c r="H858" i="3"/>
  <c r="H857" i="3"/>
  <c r="H856" i="3"/>
  <c r="H855" i="3"/>
  <c r="H854" i="3"/>
  <c r="H853" i="3"/>
  <c r="H852" i="3"/>
  <c r="H851" i="3"/>
  <c r="H850" i="3"/>
  <c r="H849" i="3"/>
  <c r="H848" i="3"/>
  <c r="H847" i="3"/>
  <c r="H846" i="3"/>
  <c r="H845" i="3"/>
  <c r="H844" i="3"/>
  <c r="H843" i="3"/>
  <c r="H842" i="3"/>
  <c r="H841" i="3"/>
  <c r="H840" i="3"/>
  <c r="H839" i="3"/>
  <c r="H838" i="3"/>
  <c r="H837" i="3"/>
  <c r="H836" i="3"/>
  <c r="H835" i="3"/>
  <c r="H834" i="3"/>
  <c r="H833" i="3"/>
  <c r="H832" i="3"/>
  <c r="H831" i="3"/>
  <c r="H830" i="3"/>
  <c r="H829" i="3"/>
  <c r="H828" i="3"/>
  <c r="H827" i="3"/>
  <c r="H826" i="3"/>
  <c r="H825" i="3"/>
  <c r="H824" i="3"/>
  <c r="H823" i="3"/>
  <c r="H822" i="3"/>
  <c r="H821" i="3"/>
  <c r="H820" i="3"/>
  <c r="H819" i="3"/>
  <c r="H818" i="3"/>
  <c r="H817" i="3"/>
  <c r="H816" i="3"/>
  <c r="H815" i="3"/>
  <c r="H814" i="3"/>
  <c r="H813" i="3"/>
  <c r="H812" i="3"/>
  <c r="H811" i="3"/>
  <c r="H810" i="3"/>
  <c r="H809" i="3"/>
  <c r="H808" i="3"/>
  <c r="H807" i="3"/>
  <c r="H806" i="3"/>
  <c r="H805" i="3"/>
  <c r="H804" i="3"/>
  <c r="H803" i="3"/>
  <c r="H802" i="3"/>
  <c r="H801" i="3"/>
  <c r="H800" i="3"/>
  <c r="H799" i="3"/>
  <c r="H798" i="3"/>
  <c r="H797" i="3"/>
  <c r="H796" i="3"/>
  <c r="H795" i="3"/>
  <c r="H794" i="3"/>
  <c r="H793" i="3"/>
  <c r="H792" i="3"/>
  <c r="H791" i="3"/>
  <c r="H790" i="3"/>
  <c r="H789" i="3"/>
  <c r="H788" i="3"/>
  <c r="H787" i="3"/>
  <c r="H786" i="3"/>
  <c r="H785" i="3"/>
  <c r="H784" i="3"/>
  <c r="H783" i="3"/>
  <c r="H782" i="3"/>
  <c r="H781" i="3"/>
  <c r="H780" i="3"/>
  <c r="H779" i="3"/>
  <c r="H778" i="3"/>
  <c r="H777" i="3"/>
  <c r="H776" i="3"/>
  <c r="H775" i="3"/>
  <c r="H774" i="3"/>
  <c r="H773" i="3"/>
  <c r="H772" i="3"/>
  <c r="H771" i="3"/>
  <c r="H770" i="3"/>
  <c r="H769" i="3"/>
  <c r="H768" i="3"/>
  <c r="H767" i="3"/>
  <c r="H766" i="3"/>
  <c r="H765" i="3"/>
  <c r="H764" i="3"/>
  <c r="H763" i="3"/>
  <c r="H762" i="3"/>
  <c r="H761" i="3"/>
  <c r="H760" i="3"/>
  <c r="H759" i="3"/>
  <c r="H758" i="3"/>
  <c r="H757" i="3"/>
  <c r="H756" i="3"/>
  <c r="H755" i="3"/>
  <c r="H754" i="3"/>
  <c r="H753" i="3"/>
  <c r="H752" i="3"/>
  <c r="H751" i="3"/>
  <c r="H750" i="3"/>
  <c r="H749" i="3"/>
  <c r="H748" i="3"/>
  <c r="H747" i="3"/>
  <c r="H746" i="3"/>
  <c r="H745" i="3"/>
  <c r="H744" i="3"/>
  <c r="H743" i="3"/>
  <c r="H742" i="3"/>
  <c r="H741" i="3"/>
  <c r="H740" i="3"/>
  <c r="H739" i="3"/>
  <c r="H738" i="3"/>
  <c r="H737" i="3"/>
  <c r="H736" i="3"/>
  <c r="H735" i="3"/>
  <c r="H734" i="3"/>
  <c r="H733" i="3"/>
  <c r="H732" i="3"/>
  <c r="H731" i="3"/>
  <c r="H730" i="3"/>
  <c r="H729" i="3"/>
  <c r="H728" i="3"/>
  <c r="H727" i="3"/>
  <c r="H726" i="3"/>
  <c r="H725" i="3"/>
  <c r="H724" i="3"/>
  <c r="H723" i="3"/>
  <c r="H722" i="3"/>
  <c r="H721" i="3"/>
  <c r="H720" i="3"/>
  <c r="H719" i="3"/>
  <c r="H718" i="3"/>
  <c r="H717" i="3"/>
  <c r="H716" i="3"/>
  <c r="H715" i="3"/>
  <c r="H714" i="3"/>
  <c r="H713" i="3"/>
  <c r="H712" i="3"/>
  <c r="H711" i="3"/>
  <c r="H710" i="3"/>
  <c r="H709" i="3"/>
  <c r="H708" i="3"/>
  <c r="H707" i="3"/>
  <c r="H706" i="3"/>
  <c r="H705" i="3"/>
  <c r="H704" i="3"/>
  <c r="H703" i="3"/>
  <c r="H702" i="3"/>
  <c r="H701" i="3"/>
  <c r="H700" i="3"/>
  <c r="H699" i="3"/>
  <c r="H698" i="3"/>
  <c r="H697" i="3"/>
  <c r="H696" i="3"/>
  <c r="H695" i="3"/>
  <c r="H694" i="3"/>
  <c r="H693" i="3"/>
  <c r="H692" i="3"/>
  <c r="H691" i="3"/>
  <c r="H690" i="3"/>
  <c r="H689" i="3"/>
  <c r="H688" i="3"/>
  <c r="H687" i="3"/>
  <c r="H686" i="3"/>
  <c r="H685" i="3"/>
  <c r="H684" i="3"/>
  <c r="H683" i="3"/>
  <c r="H682" i="3"/>
  <c r="H681" i="3"/>
  <c r="H680" i="3"/>
  <c r="H679" i="3"/>
  <c r="H678" i="3"/>
  <c r="H677" i="3"/>
  <c r="H676" i="3"/>
  <c r="H675" i="3"/>
  <c r="H674" i="3"/>
  <c r="H673" i="3"/>
  <c r="H672" i="3"/>
  <c r="H671" i="3"/>
  <c r="H670" i="3"/>
  <c r="H669" i="3"/>
  <c r="H668" i="3"/>
  <c r="H667" i="3"/>
  <c r="H666" i="3"/>
  <c r="H665" i="3"/>
  <c r="H664" i="3"/>
  <c r="H663" i="3"/>
  <c r="H662" i="3"/>
  <c r="H661" i="3"/>
  <c r="H660" i="3"/>
  <c r="H659" i="3"/>
  <c r="H658" i="3"/>
  <c r="H657" i="3"/>
  <c r="H656" i="3"/>
  <c r="H655" i="3"/>
  <c r="H654" i="3"/>
  <c r="H653" i="3"/>
  <c r="H652" i="3"/>
  <c r="H651" i="3"/>
  <c r="H650" i="3"/>
  <c r="H649" i="3"/>
  <c r="H648" i="3"/>
  <c r="H647" i="3"/>
  <c r="H646" i="3"/>
  <c r="H645" i="3"/>
  <c r="H644" i="3"/>
  <c r="H643" i="3"/>
  <c r="H642" i="3"/>
  <c r="H641" i="3"/>
  <c r="H640" i="3"/>
  <c r="H639" i="3"/>
  <c r="H638" i="3"/>
  <c r="H637" i="3"/>
  <c r="H636" i="3"/>
  <c r="H635" i="3"/>
  <c r="H634" i="3"/>
  <c r="H633" i="3"/>
  <c r="H632" i="3"/>
  <c r="H631" i="3"/>
  <c r="H630" i="3"/>
  <c r="H629" i="3"/>
  <c r="H628" i="3"/>
  <c r="H627" i="3"/>
  <c r="H626" i="3"/>
  <c r="H625" i="3"/>
  <c r="H624" i="3"/>
  <c r="H623" i="3"/>
  <c r="H622" i="3"/>
  <c r="H621" i="3"/>
  <c r="H620" i="3"/>
  <c r="H619" i="3"/>
  <c r="H618" i="3"/>
  <c r="H617" i="3"/>
  <c r="H616" i="3"/>
  <c r="H615" i="3"/>
  <c r="H614" i="3"/>
  <c r="H613" i="3"/>
  <c r="H612" i="3"/>
  <c r="H611" i="3"/>
  <c r="H610" i="3"/>
  <c r="H609" i="3"/>
  <c r="H608" i="3"/>
  <c r="H607" i="3"/>
  <c r="H606" i="3"/>
  <c r="H605" i="3"/>
  <c r="H604" i="3"/>
  <c r="H603" i="3"/>
  <c r="H602" i="3"/>
  <c r="H601" i="3"/>
  <c r="H600" i="3"/>
  <c r="H599" i="3"/>
  <c r="H598" i="3"/>
  <c r="H597" i="3"/>
  <c r="H596" i="3"/>
  <c r="H595" i="3"/>
  <c r="H594" i="3"/>
  <c r="H593" i="3"/>
  <c r="H592" i="3"/>
  <c r="H591" i="3"/>
  <c r="H590" i="3"/>
  <c r="H589" i="3"/>
  <c r="H588" i="3"/>
  <c r="H587" i="3"/>
  <c r="H586" i="3"/>
  <c r="H585" i="3"/>
  <c r="H584" i="3"/>
  <c r="H583" i="3"/>
  <c r="H582" i="3"/>
  <c r="H581" i="3"/>
  <c r="H580" i="3"/>
  <c r="H579" i="3"/>
  <c r="H578" i="3"/>
  <c r="H577" i="3"/>
  <c r="H576" i="3"/>
  <c r="H575" i="3"/>
  <c r="H574" i="3"/>
  <c r="H573" i="3"/>
  <c r="H572" i="3"/>
  <c r="H571" i="3"/>
  <c r="H570" i="3"/>
  <c r="H569" i="3"/>
  <c r="H568" i="3"/>
  <c r="H567" i="3"/>
  <c r="H566" i="3"/>
  <c r="H565" i="3"/>
  <c r="H564" i="3"/>
  <c r="H563" i="3"/>
  <c r="H562" i="3"/>
  <c r="H561" i="3"/>
  <c r="H560" i="3"/>
  <c r="H559" i="3"/>
  <c r="H558" i="3"/>
  <c r="H557" i="3"/>
  <c r="H556" i="3"/>
  <c r="H555" i="3"/>
  <c r="H554" i="3"/>
  <c r="H553" i="3"/>
  <c r="H552" i="3"/>
  <c r="H551" i="3"/>
  <c r="H550" i="3"/>
  <c r="H549" i="3"/>
  <c r="H548" i="3"/>
  <c r="H547" i="3"/>
  <c r="H546" i="3"/>
  <c r="H545" i="3"/>
  <c r="H544" i="3"/>
  <c r="H543" i="3"/>
  <c r="H542" i="3"/>
  <c r="H541" i="3"/>
  <c r="H540" i="3"/>
  <c r="H539" i="3"/>
  <c r="H538" i="3"/>
  <c r="H537" i="3"/>
  <c r="H536" i="3"/>
  <c r="H535" i="3"/>
  <c r="H534" i="3"/>
  <c r="H533" i="3"/>
  <c r="H532" i="3"/>
  <c r="H531" i="3"/>
  <c r="H530" i="3"/>
  <c r="H529" i="3"/>
  <c r="H528" i="3"/>
  <c r="H527" i="3"/>
  <c r="H526" i="3"/>
  <c r="H525" i="3"/>
  <c r="H524" i="3"/>
  <c r="H523" i="3"/>
  <c r="H522" i="3"/>
  <c r="H521" i="3"/>
  <c r="H520" i="3"/>
  <c r="H519" i="3"/>
  <c r="H518" i="3"/>
  <c r="H517" i="3"/>
  <c r="H516" i="3"/>
  <c r="H515" i="3"/>
  <c r="H514" i="3"/>
  <c r="H513" i="3"/>
  <c r="H512" i="3"/>
  <c r="H511" i="3"/>
  <c r="H510" i="3"/>
  <c r="H509" i="3"/>
  <c r="H508" i="3"/>
  <c r="H507" i="3"/>
  <c r="H506" i="3"/>
  <c r="H505" i="3"/>
  <c r="H504" i="3"/>
  <c r="H503" i="3"/>
  <c r="H502" i="3"/>
  <c r="H501" i="3"/>
  <c r="H500" i="3"/>
  <c r="H499" i="3"/>
  <c r="H498" i="3"/>
  <c r="H497" i="3"/>
  <c r="H496" i="3"/>
  <c r="H495" i="3"/>
  <c r="H494" i="3"/>
  <c r="H493" i="3"/>
  <c r="H492" i="3"/>
  <c r="H491" i="3"/>
  <c r="H490" i="3"/>
  <c r="H489" i="3"/>
  <c r="H488" i="3"/>
  <c r="H487" i="3"/>
  <c r="H486" i="3"/>
  <c r="H485" i="3"/>
  <c r="H484" i="3"/>
  <c r="H483" i="3"/>
  <c r="H482" i="3"/>
  <c r="H481" i="3"/>
  <c r="H480" i="3"/>
  <c r="H479" i="3"/>
  <c r="H478" i="3"/>
  <c r="H477" i="3"/>
  <c r="H476" i="3"/>
  <c r="H475" i="3"/>
  <c r="H474" i="3"/>
  <c r="H473" i="3"/>
  <c r="H472" i="3"/>
  <c r="H471" i="3"/>
  <c r="H470" i="3"/>
  <c r="H469" i="3"/>
  <c r="H468" i="3"/>
  <c r="H467" i="3"/>
  <c r="H466" i="3"/>
  <c r="H465" i="3"/>
  <c r="H464" i="3"/>
  <c r="H463" i="3"/>
  <c r="H462" i="3"/>
  <c r="H461" i="3"/>
  <c r="H460" i="3"/>
  <c r="H459" i="3"/>
  <c r="H458" i="3"/>
  <c r="H457" i="3"/>
  <c r="H456" i="3"/>
  <c r="H455" i="3"/>
  <c r="H454" i="3"/>
  <c r="H453" i="3"/>
  <c r="H452" i="3"/>
  <c r="H451" i="3"/>
  <c r="H450" i="3"/>
  <c r="H449" i="3"/>
  <c r="H448" i="3"/>
  <c r="H447" i="3"/>
  <c r="H446" i="3"/>
  <c r="H445" i="3"/>
  <c r="H444" i="3"/>
  <c r="H443" i="3"/>
  <c r="H442" i="3"/>
  <c r="H441" i="3"/>
  <c r="H440" i="3"/>
  <c r="H439" i="3"/>
  <c r="H438" i="3"/>
  <c r="H437" i="3"/>
  <c r="H436" i="3"/>
  <c r="H435" i="3"/>
  <c r="H434" i="3"/>
  <c r="H433" i="3"/>
  <c r="H432" i="3"/>
  <c r="H431" i="3"/>
  <c r="H430" i="3"/>
  <c r="H429" i="3"/>
  <c r="H428" i="3"/>
  <c r="H427" i="3"/>
  <c r="H426" i="3"/>
  <c r="H425" i="3"/>
  <c r="H424" i="3"/>
  <c r="H423" i="3"/>
  <c r="H422" i="3"/>
  <c r="H421" i="3"/>
  <c r="H420" i="3"/>
  <c r="H419" i="3"/>
  <c r="H418" i="3"/>
  <c r="H417" i="3"/>
  <c r="H416" i="3"/>
  <c r="H415" i="3"/>
  <c r="H414" i="3"/>
  <c r="H413" i="3"/>
  <c r="H412" i="3"/>
  <c r="H411" i="3"/>
  <c r="H410" i="3"/>
  <c r="H409" i="3"/>
  <c r="H408" i="3"/>
  <c r="H407" i="3"/>
  <c r="H406" i="3"/>
  <c r="H405" i="3"/>
  <c r="H404" i="3"/>
  <c r="H403" i="3"/>
  <c r="H402" i="3"/>
  <c r="H401" i="3"/>
  <c r="H400" i="3"/>
  <c r="H399" i="3"/>
  <c r="H398" i="3"/>
  <c r="H397" i="3"/>
  <c r="H396" i="3"/>
  <c r="H395" i="3"/>
  <c r="H394" i="3"/>
  <c r="H393" i="3"/>
  <c r="H392" i="3"/>
  <c r="H391" i="3"/>
  <c r="H390" i="3"/>
  <c r="H389" i="3"/>
  <c r="H388" i="3"/>
  <c r="H387" i="3"/>
  <c r="H386" i="3"/>
  <c r="H385" i="3"/>
  <c r="H384" i="3"/>
  <c r="H383" i="3"/>
  <c r="H382" i="3"/>
  <c r="H381" i="3"/>
  <c r="H380" i="3"/>
  <c r="H379" i="3"/>
  <c r="H378" i="3"/>
  <c r="H377" i="3"/>
  <c r="H376" i="3"/>
  <c r="H375" i="3"/>
  <c r="H374" i="3"/>
  <c r="H373" i="3"/>
  <c r="H372" i="3"/>
  <c r="H371" i="3"/>
  <c r="H370" i="3"/>
  <c r="H369" i="3"/>
  <c r="H368" i="3"/>
  <c r="H367" i="3"/>
  <c r="H366" i="3"/>
  <c r="H365" i="3"/>
  <c r="H364" i="3"/>
  <c r="H363" i="3"/>
  <c r="H362" i="3"/>
  <c r="H361" i="3"/>
  <c r="H360" i="3"/>
  <c r="H359" i="3"/>
  <c r="H358" i="3"/>
  <c r="H357" i="3"/>
  <c r="H356" i="3"/>
  <c r="H355" i="3"/>
  <c r="H354" i="3"/>
  <c r="H353" i="3"/>
  <c r="H352" i="3"/>
  <c r="H351" i="3"/>
  <c r="H350" i="3"/>
  <c r="H349" i="3"/>
  <c r="H348" i="3"/>
  <c r="H347" i="3"/>
  <c r="H346" i="3"/>
  <c r="H345" i="3"/>
  <c r="H344" i="3"/>
  <c r="H343" i="3"/>
  <c r="H342" i="3"/>
  <c r="H341" i="3"/>
  <c r="H340" i="3"/>
  <c r="H339" i="3"/>
  <c r="H338" i="3"/>
  <c r="H337" i="3"/>
  <c r="H336" i="3"/>
  <c r="H335" i="3"/>
  <c r="H334" i="3"/>
  <c r="H333" i="3"/>
  <c r="H332" i="3"/>
  <c r="H331" i="3"/>
  <c r="H330" i="3"/>
  <c r="H329" i="3"/>
  <c r="H328" i="3"/>
  <c r="H327" i="3"/>
  <c r="H326" i="3"/>
  <c r="H325" i="3"/>
  <c r="H324" i="3"/>
  <c r="H323" i="3"/>
  <c r="H322" i="3"/>
  <c r="H321" i="3"/>
  <c r="H320" i="3"/>
  <c r="H319" i="3"/>
  <c r="H318" i="3"/>
  <c r="H317" i="3"/>
  <c r="H316" i="3"/>
  <c r="H315" i="3"/>
  <c r="H314" i="3"/>
  <c r="H313" i="3"/>
  <c r="H312" i="3"/>
  <c r="H311" i="3"/>
  <c r="H310" i="3"/>
  <c r="H309" i="3"/>
  <c r="H308" i="3"/>
  <c r="H307" i="3"/>
  <c r="H306" i="3"/>
  <c r="H305" i="3"/>
  <c r="H304" i="3"/>
  <c r="H303" i="3"/>
  <c r="H302" i="3"/>
  <c r="H301" i="3"/>
  <c r="H300" i="3"/>
  <c r="H299" i="3"/>
  <c r="H298" i="3"/>
  <c r="H297" i="3"/>
  <c r="H296" i="3"/>
  <c r="H295" i="3"/>
  <c r="H294" i="3"/>
  <c r="H293" i="3"/>
  <c r="H292" i="3"/>
  <c r="H291" i="3"/>
  <c r="H290" i="3"/>
  <c r="H289" i="3"/>
  <c r="H288" i="3"/>
  <c r="H287" i="3"/>
  <c r="H286" i="3"/>
  <c r="H285" i="3"/>
  <c r="H284" i="3"/>
  <c r="H283" i="3"/>
  <c r="H282" i="3"/>
  <c r="H281" i="3"/>
  <c r="H280" i="3"/>
  <c r="H279" i="3"/>
  <c r="H278" i="3"/>
  <c r="H277" i="3"/>
  <c r="H276" i="3"/>
  <c r="H275" i="3"/>
  <c r="H274" i="3"/>
  <c r="H273" i="3"/>
  <c r="H272" i="3"/>
  <c r="H271" i="3"/>
  <c r="H270" i="3"/>
  <c r="H269" i="3"/>
  <c r="H268" i="3"/>
  <c r="H267" i="3"/>
  <c r="H266" i="3"/>
  <c r="H265" i="3"/>
  <c r="H264" i="3"/>
  <c r="H263" i="3"/>
  <c r="H262" i="3"/>
  <c r="H261" i="3"/>
  <c r="H260" i="3"/>
  <c r="H259" i="3"/>
  <c r="H258" i="3"/>
  <c r="H257" i="3"/>
  <c r="H256" i="3"/>
  <c r="H255" i="3"/>
  <c r="H254" i="3"/>
  <c r="H253" i="3"/>
  <c r="H252" i="3"/>
  <c r="H251" i="3"/>
  <c r="H250" i="3"/>
  <c r="H249" i="3"/>
  <c r="H248" i="3"/>
  <c r="H247" i="3"/>
  <c r="H246" i="3"/>
  <c r="H245" i="3"/>
  <c r="H244" i="3"/>
  <c r="H243" i="3"/>
  <c r="H242" i="3"/>
  <c r="H241" i="3"/>
  <c r="H240" i="3"/>
  <c r="H239" i="3"/>
  <c r="H238" i="3"/>
  <c r="H237" i="3"/>
  <c r="H236" i="3"/>
  <c r="H235" i="3"/>
  <c r="H234" i="3"/>
  <c r="H233" i="3"/>
  <c r="H232" i="3"/>
  <c r="H231" i="3"/>
  <c r="H230" i="3"/>
  <c r="H229" i="3"/>
  <c r="H228" i="3"/>
  <c r="H227" i="3"/>
  <c r="H226" i="3"/>
  <c r="H225" i="3"/>
  <c r="H224" i="3"/>
  <c r="H223" i="3"/>
  <c r="H222" i="3"/>
  <c r="H221" i="3"/>
  <c r="H220" i="3"/>
  <c r="H219" i="3"/>
  <c r="H218" i="3"/>
  <c r="H217" i="3"/>
  <c r="H216" i="3"/>
  <c r="H215" i="3"/>
  <c r="H214" i="3"/>
  <c r="H213" i="3"/>
  <c r="H212" i="3"/>
  <c r="H211" i="3"/>
  <c r="H210" i="3"/>
  <c r="H209" i="3"/>
  <c r="H208" i="3"/>
  <c r="H207" i="3"/>
  <c r="H206" i="3"/>
  <c r="H205" i="3"/>
  <c r="H204" i="3"/>
  <c r="H203" i="3"/>
  <c r="H202" i="3"/>
  <c r="H201" i="3"/>
  <c r="H200" i="3"/>
  <c r="H199" i="3"/>
  <c r="H198" i="3"/>
  <c r="H197" i="3"/>
  <c r="H196" i="3"/>
  <c r="H195" i="3"/>
  <c r="H194" i="3"/>
  <c r="H193" i="3"/>
  <c r="H192" i="3"/>
  <c r="H191" i="3"/>
  <c r="H190" i="3"/>
  <c r="H189" i="3"/>
  <c r="H188" i="3"/>
  <c r="H187" i="3"/>
  <c r="H186" i="3"/>
  <c r="H185" i="3"/>
  <c r="H184" i="3"/>
  <c r="H183" i="3"/>
  <c r="H182" i="3"/>
  <c r="H181" i="3"/>
  <c r="H180" i="3"/>
  <c r="H179" i="3"/>
  <c r="H178" i="3"/>
  <c r="H177" i="3"/>
  <c r="H176" i="3"/>
  <c r="H175" i="3"/>
  <c r="BQ42" i="2" l="1"/>
  <c r="BQ45" i="2"/>
  <c r="BQ46" i="2"/>
  <c r="BQ25" i="2"/>
  <c r="BQ44" i="2"/>
  <c r="BQ23" i="2"/>
  <c r="BQ48" i="2"/>
  <c r="BQ67" i="2" s="1"/>
  <c r="BQ24" i="2"/>
  <c r="BQ26" i="2"/>
  <c r="BP107" i="2"/>
  <c r="BQ66" i="2" l="1"/>
  <c r="BQ65" i="2"/>
  <c r="BQ50" i="2"/>
  <c r="BQ64" i="2"/>
  <c r="BQ106" i="2"/>
  <c r="BP115" i="2"/>
  <c r="BP114" i="2"/>
  <c r="BP105" i="2"/>
  <c r="BP104" i="2"/>
  <c r="BP103" i="2"/>
  <c r="BP99" i="2"/>
  <c r="BP101" i="2" s="1"/>
  <c r="BP85" i="2"/>
  <c r="BP54" i="2"/>
  <c r="BP39" i="2"/>
  <c r="BP38" i="2"/>
  <c r="BP37" i="2"/>
  <c r="BP36" i="2"/>
  <c r="BP34" i="2"/>
  <c r="BP45" i="2" s="1"/>
  <c r="BP20" i="2"/>
  <c r="BP19" i="2"/>
  <c r="BP18" i="2"/>
  <c r="BP16" i="2"/>
  <c r="BP15" i="2"/>
  <c r="BP14" i="2"/>
  <c r="BP7" i="2"/>
  <c r="BP12" i="2" s="1"/>
  <c r="BP27" i="2" s="1"/>
  <c r="BQ63" i="2" l="1"/>
  <c r="BQ55" i="2"/>
  <c r="BP43" i="2"/>
  <c r="BP42" i="2"/>
  <c r="BP116" i="2"/>
  <c r="BP46" i="2"/>
  <c r="BP23" i="2"/>
  <c r="BP48" i="2"/>
  <c r="BP24" i="2"/>
  <c r="BP25" i="2"/>
  <c r="BP26" i="2"/>
  <c r="BP44" i="2"/>
  <c r="BQ68" i="2" l="1"/>
  <c r="BQ57" i="2"/>
  <c r="BP66" i="2"/>
  <c r="BP65" i="2"/>
  <c r="BP50" i="2"/>
  <c r="BP64" i="2"/>
  <c r="BP106" i="2"/>
  <c r="BP67" i="2"/>
  <c r="BQ69" i="2" l="1"/>
  <c r="BQ59" i="2"/>
  <c r="BP55" i="2"/>
  <c r="BP63" i="2"/>
  <c r="BQ111" i="2" l="1"/>
  <c r="BQ109" i="2"/>
  <c r="BQ108" i="2"/>
  <c r="BQ70" i="2"/>
  <c r="BQ61" i="2"/>
  <c r="BP68" i="2"/>
  <c r="BP57" i="2"/>
  <c r="BP69" i="2" l="1"/>
  <c r="BP59" i="2"/>
  <c r="BP70" i="2" l="1"/>
  <c r="BP61" i="2"/>
  <c r="BP111" i="2"/>
  <c r="BP109" i="2"/>
  <c r="BP108" i="2"/>
  <c r="CA60" i="2" l="1"/>
  <c r="CA115" i="2" s="1"/>
  <c r="CB60" i="2"/>
  <c r="CB115" i="2" s="1"/>
  <c r="CC60" i="2"/>
  <c r="CC115" i="2" s="1"/>
  <c r="CD60" i="2"/>
  <c r="CD115" i="2" s="1"/>
  <c r="CE60" i="2"/>
  <c r="CE115" i="2" s="1"/>
  <c r="CF60" i="2"/>
  <c r="CF115" i="2" s="1"/>
  <c r="CG60" i="2"/>
  <c r="CG115" i="2" s="1"/>
  <c r="CH60" i="2"/>
  <c r="CH115" i="2" s="1"/>
  <c r="CI60" i="2"/>
  <c r="CI115" i="2" s="1"/>
  <c r="CJ60" i="2"/>
  <c r="CJ115" i="2" s="1"/>
  <c r="CK60" i="2"/>
  <c r="CK115" i="2" s="1"/>
  <c r="CL60" i="2"/>
  <c r="CK113" i="2"/>
  <c r="CJ113" i="2"/>
  <c r="CI113" i="2"/>
  <c r="CH113" i="2"/>
  <c r="CG113" i="2"/>
  <c r="CF113" i="2"/>
  <c r="CE113" i="2"/>
  <c r="CD113" i="2"/>
  <c r="CC113" i="2"/>
  <c r="CB113" i="2"/>
  <c r="CA113" i="2"/>
  <c r="CK112" i="2"/>
  <c r="CJ112" i="2"/>
  <c r="CI112" i="2"/>
  <c r="CH112" i="2"/>
  <c r="CG112" i="2"/>
  <c r="CF112" i="2"/>
  <c r="CE112" i="2"/>
  <c r="CD112" i="2"/>
  <c r="CC112" i="2"/>
  <c r="CB112" i="2"/>
  <c r="CA112" i="2"/>
  <c r="V114" i="2"/>
  <c r="U114" i="2"/>
  <c r="T114" i="2"/>
  <c r="S114" i="2"/>
  <c r="R114" i="2"/>
  <c r="Q114" i="2"/>
  <c r="P114" i="2"/>
  <c r="O114" i="2"/>
  <c r="N114" i="2"/>
  <c r="M114" i="2"/>
  <c r="L114" i="2"/>
  <c r="K114" i="2"/>
  <c r="J114" i="2"/>
  <c r="I114" i="2"/>
  <c r="H114" i="2"/>
  <c r="G114" i="2"/>
  <c r="F114" i="2"/>
  <c r="E114" i="2"/>
  <c r="D114" i="2"/>
  <c r="C114" i="2"/>
  <c r="AT115" i="2"/>
  <c r="AS115" i="2"/>
  <c r="AR115" i="2"/>
  <c r="AQ115" i="2"/>
  <c r="AP115" i="2"/>
  <c r="AO115" i="2"/>
  <c r="AN115" i="2"/>
  <c r="AM115" i="2"/>
  <c r="AL115" i="2"/>
  <c r="AK115" i="2"/>
  <c r="AJ115" i="2"/>
  <c r="AI115" i="2"/>
  <c r="AH115" i="2"/>
  <c r="AG115" i="2"/>
  <c r="AF115" i="2"/>
  <c r="AE115" i="2"/>
  <c r="AD115" i="2"/>
  <c r="AC115" i="2"/>
  <c r="AB115" i="2"/>
  <c r="AA115" i="2"/>
  <c r="Z115" i="2"/>
  <c r="Y115" i="2"/>
  <c r="X115" i="2"/>
  <c r="W115" i="2"/>
  <c r="V115" i="2"/>
  <c r="U115" i="2"/>
  <c r="T115" i="2"/>
  <c r="S115" i="2"/>
  <c r="R115" i="2"/>
  <c r="Q115" i="2"/>
  <c r="P115" i="2"/>
  <c r="O115" i="2"/>
  <c r="N115" i="2"/>
  <c r="M115" i="2"/>
  <c r="L115" i="2"/>
  <c r="K115" i="2"/>
  <c r="J115" i="2"/>
  <c r="I115" i="2"/>
  <c r="H115" i="2"/>
  <c r="G115" i="2"/>
  <c r="F115" i="2"/>
  <c r="E115" i="2"/>
  <c r="D115" i="2"/>
  <c r="C115" i="2"/>
  <c r="BO107" i="2"/>
  <c r="I116" i="2" l="1"/>
  <c r="Q116" i="2"/>
  <c r="D116" i="2"/>
  <c r="L116" i="2"/>
  <c r="T116" i="2"/>
  <c r="CB114" i="2"/>
  <c r="O116" i="2"/>
  <c r="CB116" i="2"/>
  <c r="H116" i="2"/>
  <c r="P116" i="2"/>
  <c r="J116" i="2"/>
  <c r="R116" i="2"/>
  <c r="C116" i="2"/>
  <c r="K116" i="2"/>
  <c r="S116" i="2"/>
  <c r="E116" i="2"/>
  <c r="M116" i="2"/>
  <c r="U116" i="2"/>
  <c r="CC114" i="2"/>
  <c r="CC116" i="2" s="1"/>
  <c r="F116" i="2"/>
  <c r="N116" i="2"/>
  <c r="V116" i="2"/>
  <c r="CE114" i="2"/>
  <c r="CE116" i="2" s="1"/>
  <c r="G116" i="2"/>
  <c r="CD114" i="2"/>
  <c r="CD116" i="2" s="1"/>
  <c r="CA114" i="2"/>
  <c r="CA116" i="2" s="1"/>
  <c r="BM107" i="2"/>
  <c r="BL107" i="2"/>
  <c r="BK107" i="2"/>
  <c r="BI107" i="2"/>
  <c r="BH107" i="2"/>
  <c r="BG107" i="2"/>
  <c r="BE107" i="2"/>
  <c r="BD107" i="2"/>
  <c r="BC107" i="2"/>
  <c r="BA107" i="2"/>
  <c r="AZ107" i="2"/>
  <c r="AY107" i="2"/>
  <c r="BN105" i="2"/>
  <c r="BM105" i="2"/>
  <c r="BL105" i="2"/>
  <c r="BK105" i="2"/>
  <c r="BJ105" i="2"/>
  <c r="BI105" i="2"/>
  <c r="BH105" i="2"/>
  <c r="BG105" i="2"/>
  <c r="BF105" i="2"/>
  <c r="BE105" i="2"/>
  <c r="BD105" i="2"/>
  <c r="BC105" i="2"/>
  <c r="BB105" i="2"/>
  <c r="BA105" i="2"/>
  <c r="AZ105" i="2"/>
  <c r="AY105" i="2"/>
  <c r="AX105" i="2"/>
  <c r="BN104" i="2"/>
  <c r="BM104" i="2"/>
  <c r="BL104" i="2"/>
  <c r="BK104" i="2"/>
  <c r="BJ104" i="2"/>
  <c r="BI104" i="2"/>
  <c r="BH104" i="2"/>
  <c r="BG104" i="2"/>
  <c r="BF104" i="2"/>
  <c r="BE104" i="2"/>
  <c r="BD104" i="2"/>
  <c r="BC104" i="2"/>
  <c r="BB104" i="2"/>
  <c r="BA104" i="2"/>
  <c r="AZ104" i="2"/>
  <c r="AY104" i="2"/>
  <c r="AX104" i="2"/>
  <c r="BN103" i="2"/>
  <c r="BM103" i="2"/>
  <c r="BL103" i="2"/>
  <c r="BK103" i="2"/>
  <c r="BJ103" i="2"/>
  <c r="BI103" i="2"/>
  <c r="BH103" i="2"/>
  <c r="BG103" i="2"/>
  <c r="BF103" i="2"/>
  <c r="BE103" i="2"/>
  <c r="BD103" i="2"/>
  <c r="BC103" i="2"/>
  <c r="BB103" i="2"/>
  <c r="BA103" i="2"/>
  <c r="AZ103" i="2"/>
  <c r="AY103" i="2"/>
  <c r="AX103" i="2"/>
  <c r="BO105" i="2"/>
  <c r="BO104" i="2"/>
  <c r="BO103" i="2"/>
  <c r="CZ84" i="2" l="1"/>
  <c r="AT66" i="2"/>
  <c r="AS66" i="2"/>
  <c r="AR66" i="2"/>
  <c r="AQ66" i="2"/>
  <c r="AP66" i="2"/>
  <c r="AO66" i="2"/>
  <c r="AN66" i="2"/>
  <c r="AM66" i="2"/>
  <c r="AL66" i="2"/>
  <c r="AK66" i="2"/>
  <c r="AJ66" i="2"/>
  <c r="AI66" i="2"/>
  <c r="AH66" i="2"/>
  <c r="AG66" i="2"/>
  <c r="AF66" i="2"/>
  <c r="AE66" i="2"/>
  <c r="AD66" i="2"/>
  <c r="AC66" i="2"/>
  <c r="AB66" i="2"/>
  <c r="AA66" i="2"/>
  <c r="Z66" i="2"/>
  <c r="Y66" i="2"/>
  <c r="X66" i="2"/>
  <c r="W66" i="2"/>
  <c r="V66" i="2"/>
  <c r="U66" i="2"/>
  <c r="T66" i="2"/>
  <c r="S66" i="2"/>
  <c r="R66" i="2"/>
  <c r="Q66" i="2"/>
  <c r="P66" i="2"/>
  <c r="O66" i="2"/>
  <c r="N66" i="2"/>
  <c r="M66" i="2"/>
  <c r="L66" i="2"/>
  <c r="K66" i="2"/>
  <c r="J66" i="2"/>
  <c r="I66" i="2"/>
  <c r="H66" i="2"/>
  <c r="G66" i="2"/>
  <c r="F66" i="2"/>
  <c r="E66" i="2"/>
  <c r="D66" i="2"/>
  <c r="C66" i="2"/>
  <c r="AT50" i="2" l="1"/>
  <c r="AS50" i="2"/>
  <c r="AR50" i="2"/>
  <c r="AQ50" i="2"/>
  <c r="AP50" i="2"/>
  <c r="AO50" i="2"/>
  <c r="AN50" i="2"/>
  <c r="AM50" i="2"/>
  <c r="AL50" i="2"/>
  <c r="AK50" i="2"/>
  <c r="AJ50" i="2"/>
  <c r="AI50" i="2"/>
  <c r="AH50" i="2"/>
  <c r="AG50" i="2"/>
  <c r="AF50" i="2"/>
  <c r="AE50" i="2"/>
  <c r="AD50" i="2"/>
  <c r="AC50" i="2"/>
  <c r="AB50" i="2"/>
  <c r="AA50" i="2"/>
  <c r="Z50" i="2"/>
  <c r="Y50" i="2"/>
  <c r="X50" i="2"/>
  <c r="W50" i="2"/>
  <c r="V50" i="2"/>
  <c r="U50" i="2"/>
  <c r="T50" i="2"/>
  <c r="S50" i="2"/>
  <c r="R50" i="2"/>
  <c r="Q50" i="2"/>
  <c r="P50" i="2"/>
  <c r="O50" i="2"/>
  <c r="N50" i="2"/>
  <c r="M50" i="2"/>
  <c r="L50" i="2"/>
  <c r="K50" i="2"/>
  <c r="J50" i="2"/>
  <c r="I50" i="2"/>
  <c r="H50" i="2"/>
  <c r="G50" i="2"/>
  <c r="F50" i="2"/>
  <c r="E50" i="2"/>
  <c r="D50" i="2"/>
  <c r="C50" i="2"/>
  <c r="CA58" i="2" l="1"/>
  <c r="CA56" i="2"/>
  <c r="CA53" i="2"/>
  <c r="CA51" i="2"/>
  <c r="CA50" i="2"/>
  <c r="CA49" i="2"/>
  <c r="CA48" i="2"/>
  <c r="CB58" i="2"/>
  <c r="CB56" i="2"/>
  <c r="CB53" i="2"/>
  <c r="CB51" i="2"/>
  <c r="CB50" i="2"/>
  <c r="CB49" i="2"/>
  <c r="CB48" i="2"/>
  <c r="CB21" i="2" s="1"/>
  <c r="CC58" i="2"/>
  <c r="CC56" i="2"/>
  <c r="CC53" i="2"/>
  <c r="CC51" i="2"/>
  <c r="CC50" i="2"/>
  <c r="CC49" i="2"/>
  <c r="CC48" i="2"/>
  <c r="CC21" i="2" s="1"/>
  <c r="CD58" i="2"/>
  <c r="CD56" i="2"/>
  <c r="CD53" i="2"/>
  <c r="CD51" i="2"/>
  <c r="CD50" i="2"/>
  <c r="CD49" i="2"/>
  <c r="CD48" i="2"/>
  <c r="CD21" i="2" s="1"/>
  <c r="CE58" i="2"/>
  <c r="CE56" i="2"/>
  <c r="CE53" i="2"/>
  <c r="CE51" i="2"/>
  <c r="CE50" i="2"/>
  <c r="CE49" i="2"/>
  <c r="CE48" i="2"/>
  <c r="CE21" i="2" s="1"/>
  <c r="CF58" i="2"/>
  <c r="CF56" i="2"/>
  <c r="CF53" i="2"/>
  <c r="CF51" i="2"/>
  <c r="CF50" i="2"/>
  <c r="CF49" i="2"/>
  <c r="CF48" i="2"/>
  <c r="CF21" i="2" s="1"/>
  <c r="CG58" i="2"/>
  <c r="CG56" i="2"/>
  <c r="CG53" i="2"/>
  <c r="CG51" i="2"/>
  <c r="CG50" i="2"/>
  <c r="CG49" i="2"/>
  <c r="CG48" i="2"/>
  <c r="CG21" i="2" s="1"/>
  <c r="CH58" i="2"/>
  <c r="CH56" i="2"/>
  <c r="CH53" i="2"/>
  <c r="CH51" i="2"/>
  <c r="CH50" i="2"/>
  <c r="CH49" i="2"/>
  <c r="CH48" i="2"/>
  <c r="CH21" i="2" s="1"/>
  <c r="CI58" i="2"/>
  <c r="CI56" i="2"/>
  <c r="CI53" i="2"/>
  <c r="CI51" i="2"/>
  <c r="CI50" i="2"/>
  <c r="CI49" i="2"/>
  <c r="CI48" i="2"/>
  <c r="CI21" i="2" s="1"/>
  <c r="CJ58" i="2"/>
  <c r="CJ56" i="2"/>
  <c r="CJ53" i="2"/>
  <c r="CJ51" i="2"/>
  <c r="CJ50" i="2"/>
  <c r="CJ49" i="2"/>
  <c r="CJ48" i="2"/>
  <c r="CJ21" i="2" s="1"/>
  <c r="CK58" i="2"/>
  <c r="CK56" i="2"/>
  <c r="CK53" i="2"/>
  <c r="CK51" i="2"/>
  <c r="CK50" i="2"/>
  <c r="CK49" i="2"/>
  <c r="CK48" i="2"/>
  <c r="CK21" i="2" s="1"/>
  <c r="CL100" i="2"/>
  <c r="CL98" i="2"/>
  <c r="CL97" i="2"/>
  <c r="CL96" i="2"/>
  <c r="CL95" i="2"/>
  <c r="CL94" i="2"/>
  <c r="CL93" i="2"/>
  <c r="CL92" i="2"/>
  <c r="CL91" i="2"/>
  <c r="CL90" i="2"/>
  <c r="CL89" i="2"/>
  <c r="CL88" i="2"/>
  <c r="CL87" i="2"/>
  <c r="CL84" i="2"/>
  <c r="CL83" i="2"/>
  <c r="CL82" i="2"/>
  <c r="CL81" i="2"/>
  <c r="CL80" i="2"/>
  <c r="CL79" i="2"/>
  <c r="CL78" i="2"/>
  <c r="CL77" i="2"/>
  <c r="CL76" i="2"/>
  <c r="CL75" i="2"/>
  <c r="CL74" i="2"/>
  <c r="CL73" i="2"/>
  <c r="CL72" i="2"/>
  <c r="CL113" i="2"/>
  <c r="CL112" i="2"/>
  <c r="CM113" i="2"/>
  <c r="CM112" i="2"/>
  <c r="CM100" i="2"/>
  <c r="CM98" i="2"/>
  <c r="CM97" i="2"/>
  <c r="CM96" i="2"/>
  <c r="CM95" i="2"/>
  <c r="CM94" i="2"/>
  <c r="CM93" i="2"/>
  <c r="CM92" i="2"/>
  <c r="CM91" i="2"/>
  <c r="CM90" i="2"/>
  <c r="CM89" i="2"/>
  <c r="CM88" i="2"/>
  <c r="CM87" i="2"/>
  <c r="CM84" i="2"/>
  <c r="CM83" i="2"/>
  <c r="CM82" i="2"/>
  <c r="CM81" i="2"/>
  <c r="CM80" i="2"/>
  <c r="CM79" i="2"/>
  <c r="CM78" i="2"/>
  <c r="CM77" i="2"/>
  <c r="CM76" i="2"/>
  <c r="CM75" i="2"/>
  <c r="CM74" i="2"/>
  <c r="CM73" i="2"/>
  <c r="CM72" i="2"/>
  <c r="CM60" i="2"/>
  <c r="CN113" i="2"/>
  <c r="CN112" i="2"/>
  <c r="CN100" i="2"/>
  <c r="CN98" i="2"/>
  <c r="CN97" i="2"/>
  <c r="CN96" i="2"/>
  <c r="CN95" i="2"/>
  <c r="CN94" i="2"/>
  <c r="CN93" i="2"/>
  <c r="CN92" i="2"/>
  <c r="CN91" i="2"/>
  <c r="CN90" i="2"/>
  <c r="CN89" i="2"/>
  <c r="CN88" i="2"/>
  <c r="CN87" i="2"/>
  <c r="CN84" i="2"/>
  <c r="CN83" i="2"/>
  <c r="CN82" i="2"/>
  <c r="CN81" i="2"/>
  <c r="CN80" i="2"/>
  <c r="CN79" i="2"/>
  <c r="CN78" i="2"/>
  <c r="CN77" i="2"/>
  <c r="CN76" i="2"/>
  <c r="CN75" i="2"/>
  <c r="CN74" i="2"/>
  <c r="CN73" i="2"/>
  <c r="CN72" i="2"/>
  <c r="CN60" i="2"/>
  <c r="CO113" i="2"/>
  <c r="CO112" i="2"/>
  <c r="CO100" i="2"/>
  <c r="CO98" i="2"/>
  <c r="CO97" i="2"/>
  <c r="CO96" i="2"/>
  <c r="CO95" i="2"/>
  <c r="CO94" i="2"/>
  <c r="CO93" i="2"/>
  <c r="CO92" i="2"/>
  <c r="CO91" i="2"/>
  <c r="CO90" i="2"/>
  <c r="CO89" i="2"/>
  <c r="CO88" i="2"/>
  <c r="CO87" i="2"/>
  <c r="CO84" i="2"/>
  <c r="CO83" i="2"/>
  <c r="CO82" i="2"/>
  <c r="CO81" i="2"/>
  <c r="CO80" i="2"/>
  <c r="CO79" i="2"/>
  <c r="CO78" i="2"/>
  <c r="CO77" i="2"/>
  <c r="CO76" i="2"/>
  <c r="CO75" i="2"/>
  <c r="CO74" i="2"/>
  <c r="CO73" i="2"/>
  <c r="CO72" i="2"/>
  <c r="CP60" i="2"/>
  <c r="CQ60" i="2" s="1"/>
  <c r="CR60" i="2" s="1"/>
  <c r="CS60" i="2" s="1"/>
  <c r="CT60" i="2" s="1"/>
  <c r="CU60" i="2" s="1"/>
  <c r="CV60" i="2" s="1"/>
  <c r="CW60" i="2" s="1"/>
  <c r="CX60" i="2" s="1"/>
  <c r="CY60" i="2" s="1"/>
  <c r="CZ60" i="2" s="1"/>
  <c r="CO60" i="2"/>
  <c r="CP113" i="2"/>
  <c r="CP112" i="2"/>
  <c r="CP100" i="2"/>
  <c r="CP98" i="2"/>
  <c r="CP97" i="2"/>
  <c r="CP96" i="2"/>
  <c r="CP95" i="2"/>
  <c r="CP94" i="2"/>
  <c r="CP93" i="2"/>
  <c r="CP92" i="2"/>
  <c r="CP91" i="2"/>
  <c r="CP90" i="2"/>
  <c r="CP89" i="2"/>
  <c r="CP88" i="2"/>
  <c r="CP87" i="2"/>
  <c r="CP84" i="2"/>
  <c r="CP83" i="2"/>
  <c r="CP82" i="2"/>
  <c r="CP81" i="2"/>
  <c r="CP80" i="2"/>
  <c r="CP79" i="2"/>
  <c r="CP78" i="2"/>
  <c r="CP77" i="2"/>
  <c r="CP76" i="2"/>
  <c r="CP75" i="2"/>
  <c r="CP74" i="2"/>
  <c r="CP73" i="2"/>
  <c r="CP72" i="2"/>
  <c r="CT76" i="2" l="1"/>
  <c r="CL103" i="2"/>
  <c r="CL104" i="2"/>
  <c r="CL105" i="2"/>
  <c r="CM104" i="2"/>
  <c r="CM105" i="2"/>
  <c r="CM103" i="2"/>
  <c r="CO105" i="2"/>
  <c r="CO103" i="2"/>
  <c r="CO104" i="2"/>
  <c r="CN104" i="2"/>
  <c r="CN105" i="2"/>
  <c r="CN103" i="2"/>
  <c r="CP105" i="2"/>
  <c r="CP104" i="2"/>
  <c r="CP103" i="2"/>
  <c r="CG63" i="2"/>
  <c r="CC63" i="2"/>
  <c r="CH64" i="2"/>
  <c r="CK66" i="2"/>
  <c r="CD63" i="2"/>
  <c r="CI64" i="2"/>
  <c r="CF64" i="2"/>
  <c r="CK63" i="2"/>
  <c r="CK64" i="2"/>
  <c r="CJ64" i="2"/>
  <c r="CG64" i="2"/>
  <c r="CD64" i="2"/>
  <c r="CC64" i="2"/>
  <c r="CB64" i="2"/>
  <c r="CA64" i="2"/>
  <c r="CJ66" i="2"/>
  <c r="CI66" i="2"/>
  <c r="CH66" i="2"/>
  <c r="CG66" i="2"/>
  <c r="CF66" i="2"/>
  <c r="CE66" i="2"/>
  <c r="CD66" i="2"/>
  <c r="CC66" i="2"/>
  <c r="CB66" i="2"/>
  <c r="CA66" i="2"/>
  <c r="CU76" i="2"/>
  <c r="CE64" i="2"/>
  <c r="CJ63" i="2"/>
  <c r="CF63" i="2"/>
  <c r="CB63" i="2"/>
  <c r="CI63" i="2"/>
  <c r="CE63" i="2"/>
  <c r="CA63" i="2"/>
  <c r="CH63" i="2"/>
  <c r="CW76" i="2" l="1"/>
  <c r="P1931" i="3"/>
  <c r="P1930" i="3"/>
  <c r="P1929" i="3"/>
  <c r="P1928" i="3"/>
  <c r="P1927" i="3"/>
  <c r="P1926" i="3"/>
  <c r="P1925" i="3"/>
  <c r="P1924" i="3"/>
  <c r="P1923" i="3"/>
  <c r="P1922" i="3"/>
  <c r="P1921" i="3"/>
  <c r="P1920" i="3"/>
  <c r="P1919" i="3"/>
  <c r="P1918" i="3"/>
  <c r="P1917" i="3"/>
  <c r="P1916" i="3"/>
  <c r="P1915" i="3"/>
  <c r="P1914" i="3"/>
  <c r="P1913" i="3"/>
  <c r="P1912" i="3"/>
  <c r="P1911" i="3"/>
  <c r="P1910" i="3"/>
  <c r="P1909" i="3"/>
  <c r="P1908" i="3"/>
  <c r="P1907" i="3"/>
  <c r="P1906" i="3"/>
  <c r="P1905" i="3"/>
  <c r="P1904" i="3"/>
  <c r="P1903" i="3"/>
  <c r="P1902" i="3"/>
  <c r="P1901" i="3"/>
  <c r="P1900" i="3"/>
  <c r="P1899" i="3"/>
  <c r="P1898" i="3"/>
  <c r="P1897" i="3"/>
  <c r="P1896" i="3"/>
  <c r="P1895" i="3"/>
  <c r="P1894" i="3"/>
  <c r="P1893" i="3"/>
  <c r="P1892" i="3"/>
  <c r="P1891" i="3"/>
  <c r="P1890" i="3"/>
  <c r="P1889" i="3"/>
  <c r="P1888" i="3"/>
  <c r="P1887" i="3"/>
  <c r="P1886" i="3"/>
  <c r="P1885" i="3"/>
  <c r="P1884" i="3"/>
  <c r="P1883" i="3"/>
  <c r="P1882" i="3"/>
  <c r="P1881" i="3"/>
  <c r="P1880" i="3"/>
  <c r="P1879" i="3"/>
  <c r="P1878" i="3"/>
  <c r="P1877" i="3"/>
  <c r="P1876" i="3"/>
  <c r="P1875" i="3"/>
  <c r="P1874" i="3"/>
  <c r="P1873" i="3"/>
  <c r="P1872" i="3"/>
  <c r="P1871" i="3"/>
  <c r="P1870" i="3"/>
  <c r="P1869" i="3"/>
  <c r="P1868" i="3"/>
  <c r="P1867" i="3"/>
  <c r="P1866" i="3"/>
  <c r="P1865" i="3"/>
  <c r="P1864" i="3"/>
  <c r="P1863" i="3"/>
  <c r="P1862" i="3"/>
  <c r="P1861" i="3"/>
  <c r="P1860" i="3"/>
  <c r="P1859" i="3"/>
  <c r="P1858" i="3"/>
  <c r="P1857" i="3"/>
  <c r="P1856" i="3"/>
  <c r="P1855" i="3"/>
  <c r="P1854" i="3"/>
  <c r="P1853" i="3"/>
  <c r="P1852" i="3"/>
  <c r="P1851" i="3"/>
  <c r="P1850" i="3"/>
  <c r="P1849" i="3"/>
  <c r="P1848" i="3"/>
  <c r="P1847" i="3"/>
  <c r="P1846" i="3"/>
  <c r="P1845" i="3"/>
  <c r="P1844" i="3"/>
  <c r="P1843" i="3"/>
  <c r="P1842" i="3"/>
  <c r="P1841" i="3"/>
  <c r="P1840" i="3"/>
  <c r="P1839" i="3"/>
  <c r="P1838" i="3"/>
  <c r="P1837" i="3"/>
  <c r="P1836" i="3"/>
  <c r="P1835" i="3"/>
  <c r="P1834" i="3"/>
  <c r="P1833" i="3"/>
  <c r="P1832" i="3"/>
  <c r="P1831" i="3"/>
  <c r="P1830" i="3"/>
  <c r="P1829" i="3"/>
  <c r="P1828" i="3"/>
  <c r="P1827" i="3"/>
  <c r="P1826" i="3"/>
  <c r="P1825" i="3"/>
  <c r="P1824" i="3"/>
  <c r="P1823" i="3"/>
  <c r="P1822" i="3"/>
  <c r="P1821" i="3"/>
  <c r="P1820" i="3"/>
  <c r="P1819" i="3"/>
  <c r="P1818" i="3"/>
  <c r="P1817" i="3"/>
  <c r="P1816" i="3"/>
  <c r="P1815" i="3"/>
  <c r="P1814" i="3"/>
  <c r="P1813" i="3"/>
  <c r="P1812" i="3"/>
  <c r="P1811" i="3"/>
  <c r="P1810" i="3"/>
  <c r="P1809" i="3"/>
  <c r="P1808" i="3"/>
  <c r="P1807" i="3"/>
  <c r="P1806" i="3"/>
  <c r="P1805" i="3"/>
  <c r="P1804" i="3"/>
  <c r="P1803" i="3"/>
  <c r="P1802" i="3"/>
  <c r="P1801" i="3"/>
  <c r="P1800" i="3"/>
  <c r="P1799" i="3"/>
  <c r="P1798" i="3"/>
  <c r="P1797" i="3"/>
  <c r="P1796" i="3"/>
  <c r="P1795" i="3"/>
  <c r="P1794" i="3"/>
  <c r="P1793" i="3"/>
  <c r="P1792" i="3"/>
  <c r="P1791" i="3"/>
  <c r="P1790" i="3"/>
  <c r="P1789" i="3"/>
  <c r="P1788" i="3"/>
  <c r="P1787" i="3"/>
  <c r="P1786" i="3"/>
  <c r="P1785" i="3"/>
  <c r="P1784" i="3"/>
  <c r="P1783" i="3"/>
  <c r="P1782" i="3"/>
  <c r="P1781" i="3"/>
  <c r="P1780" i="3"/>
  <c r="P1779" i="3"/>
  <c r="P1778" i="3"/>
  <c r="P1777" i="3"/>
  <c r="P1776" i="3"/>
  <c r="P1775" i="3"/>
  <c r="P1774" i="3"/>
  <c r="P1773" i="3"/>
  <c r="P1772" i="3"/>
  <c r="P1771" i="3"/>
  <c r="P1770" i="3"/>
  <c r="P1769" i="3"/>
  <c r="P1768" i="3"/>
  <c r="P1767" i="3"/>
  <c r="P1766" i="3"/>
  <c r="P1765" i="3"/>
  <c r="P1764" i="3"/>
  <c r="P1763" i="3"/>
  <c r="P1762" i="3"/>
  <c r="P1761" i="3"/>
  <c r="P1760" i="3"/>
  <c r="P1759" i="3"/>
  <c r="P1758" i="3"/>
  <c r="P1757" i="3"/>
  <c r="P1756" i="3"/>
  <c r="P1755" i="3"/>
  <c r="P1754" i="3"/>
  <c r="P1753" i="3"/>
  <c r="P1752" i="3"/>
  <c r="P1751" i="3"/>
  <c r="P1750" i="3"/>
  <c r="P1749" i="3"/>
  <c r="P1748" i="3"/>
  <c r="P1747" i="3"/>
  <c r="P1746" i="3"/>
  <c r="P1745" i="3"/>
  <c r="P1744" i="3"/>
  <c r="P1743" i="3"/>
  <c r="P1742" i="3"/>
  <c r="P1741" i="3"/>
  <c r="P1740" i="3"/>
  <c r="P1739" i="3"/>
  <c r="P1738" i="3"/>
  <c r="P1737" i="3"/>
  <c r="P1736" i="3"/>
  <c r="P1735" i="3"/>
  <c r="P1734" i="3"/>
  <c r="P1733" i="3"/>
  <c r="P1732" i="3"/>
  <c r="P1731" i="3"/>
  <c r="P1730" i="3"/>
  <c r="P1729" i="3"/>
  <c r="P1728" i="3"/>
  <c r="P1727" i="3"/>
  <c r="P1726" i="3"/>
  <c r="P1725" i="3"/>
  <c r="P1724" i="3"/>
  <c r="P1723" i="3"/>
  <c r="P1722" i="3"/>
  <c r="P1721" i="3"/>
  <c r="P1720" i="3"/>
  <c r="P1719" i="3"/>
  <c r="P1718" i="3"/>
  <c r="P1717" i="3"/>
  <c r="P1716" i="3"/>
  <c r="P1715" i="3"/>
  <c r="P1714" i="3"/>
  <c r="P1713" i="3"/>
  <c r="P1712" i="3"/>
  <c r="P1711" i="3"/>
  <c r="P1710" i="3"/>
  <c r="P1709" i="3"/>
  <c r="P1708" i="3"/>
  <c r="P1707" i="3"/>
  <c r="P1706" i="3"/>
  <c r="P1705" i="3"/>
  <c r="P1704" i="3"/>
  <c r="P1703" i="3"/>
  <c r="P1702" i="3"/>
  <c r="P1701" i="3"/>
  <c r="P1700" i="3"/>
  <c r="P1699" i="3"/>
  <c r="P1698" i="3"/>
  <c r="P1697" i="3"/>
  <c r="P1696" i="3"/>
  <c r="P1695" i="3"/>
  <c r="P1694" i="3"/>
  <c r="P1693" i="3"/>
  <c r="P1692" i="3"/>
  <c r="P1691" i="3"/>
  <c r="P1690" i="3"/>
  <c r="P1689" i="3"/>
  <c r="P1688" i="3"/>
  <c r="P1687" i="3"/>
  <c r="P1686" i="3"/>
  <c r="P1685" i="3"/>
  <c r="P1684" i="3"/>
  <c r="P1683" i="3"/>
  <c r="P1682" i="3"/>
  <c r="P1681" i="3"/>
  <c r="P1680" i="3"/>
  <c r="P1679" i="3"/>
  <c r="P1678" i="3"/>
  <c r="P1677" i="3"/>
  <c r="P1676" i="3"/>
  <c r="P1675" i="3"/>
  <c r="P1674" i="3"/>
  <c r="P1673" i="3"/>
  <c r="P1672" i="3"/>
  <c r="P1671" i="3"/>
  <c r="P1670" i="3"/>
  <c r="P1669" i="3"/>
  <c r="P1668" i="3"/>
  <c r="P1667" i="3"/>
  <c r="P1666" i="3"/>
  <c r="P1665" i="3"/>
  <c r="P1664" i="3"/>
  <c r="P1663" i="3"/>
  <c r="P1662" i="3"/>
  <c r="P1661" i="3"/>
  <c r="P1660" i="3"/>
  <c r="P1659" i="3"/>
  <c r="P1658" i="3"/>
  <c r="P1657" i="3"/>
  <c r="P1656" i="3"/>
  <c r="P1655" i="3"/>
  <c r="P1654" i="3"/>
  <c r="P1653" i="3"/>
  <c r="P1652" i="3"/>
  <c r="P1651" i="3"/>
  <c r="P1650" i="3"/>
  <c r="P1649" i="3"/>
  <c r="P1648" i="3"/>
  <c r="P1647" i="3"/>
  <c r="P1646" i="3"/>
  <c r="P1645" i="3"/>
  <c r="P1644" i="3"/>
  <c r="P1643" i="3"/>
  <c r="P1642" i="3"/>
  <c r="P1641" i="3"/>
  <c r="P1640" i="3"/>
  <c r="P1639" i="3"/>
  <c r="P1638" i="3"/>
  <c r="P1637" i="3"/>
  <c r="P1636" i="3"/>
  <c r="P1635" i="3"/>
  <c r="P1634" i="3"/>
  <c r="P1633" i="3"/>
  <c r="P1632" i="3"/>
  <c r="P1631" i="3"/>
  <c r="P1630" i="3"/>
  <c r="P1629" i="3"/>
  <c r="P1628" i="3"/>
  <c r="P1627" i="3"/>
  <c r="P1626" i="3"/>
  <c r="P1625" i="3"/>
  <c r="P1624" i="3"/>
  <c r="P1623" i="3"/>
  <c r="P1622" i="3"/>
  <c r="P1621" i="3"/>
  <c r="P1620" i="3"/>
  <c r="P1619" i="3"/>
  <c r="P1618" i="3"/>
  <c r="P1617" i="3"/>
  <c r="P1616" i="3"/>
  <c r="P1615" i="3"/>
  <c r="P1614" i="3"/>
  <c r="P1613" i="3"/>
  <c r="P1612" i="3"/>
  <c r="P1611" i="3"/>
  <c r="P1610" i="3"/>
  <c r="P1609" i="3"/>
  <c r="P1608" i="3"/>
  <c r="P1607" i="3"/>
  <c r="P1606" i="3"/>
  <c r="P1605" i="3"/>
  <c r="P1604" i="3"/>
  <c r="P1603" i="3"/>
  <c r="P1602" i="3"/>
  <c r="P1601" i="3"/>
  <c r="P1600" i="3"/>
  <c r="P1599" i="3"/>
  <c r="P1598" i="3"/>
  <c r="P1597" i="3"/>
  <c r="P1596" i="3"/>
  <c r="P1595" i="3"/>
  <c r="P1594" i="3"/>
  <c r="P1593" i="3"/>
  <c r="P1592" i="3"/>
  <c r="P1591" i="3"/>
  <c r="P1590" i="3"/>
  <c r="P1589" i="3"/>
  <c r="P1588" i="3"/>
  <c r="P1587" i="3"/>
  <c r="P1586" i="3"/>
  <c r="P1585" i="3"/>
  <c r="P1584" i="3"/>
  <c r="P1583" i="3"/>
  <c r="P1582" i="3"/>
  <c r="P1581" i="3"/>
  <c r="P1580" i="3"/>
  <c r="P1579" i="3"/>
  <c r="P1578" i="3"/>
  <c r="P1577" i="3"/>
  <c r="P1576" i="3"/>
  <c r="P1575" i="3"/>
  <c r="P1574" i="3"/>
  <c r="P1573" i="3"/>
  <c r="P1572" i="3"/>
  <c r="P1571" i="3"/>
  <c r="P1570" i="3"/>
  <c r="P1569" i="3"/>
  <c r="P1568" i="3"/>
  <c r="P1567" i="3"/>
  <c r="P1566" i="3"/>
  <c r="P1565" i="3"/>
  <c r="P1564" i="3"/>
  <c r="P1563" i="3"/>
  <c r="P1562" i="3"/>
  <c r="P1561" i="3"/>
  <c r="P1560" i="3"/>
  <c r="P1559" i="3"/>
  <c r="P1558" i="3"/>
  <c r="P1557" i="3"/>
  <c r="P1556" i="3"/>
  <c r="P1555" i="3"/>
  <c r="P1554" i="3"/>
  <c r="P1553" i="3"/>
  <c r="P1552" i="3"/>
  <c r="P1551" i="3"/>
  <c r="P1550" i="3"/>
  <c r="P1549" i="3"/>
  <c r="P1548" i="3"/>
  <c r="P1547" i="3"/>
  <c r="P1546" i="3"/>
  <c r="P1545" i="3"/>
  <c r="P1544" i="3"/>
  <c r="P1543" i="3"/>
  <c r="P1542" i="3"/>
  <c r="P1541" i="3"/>
  <c r="P1540" i="3"/>
  <c r="P1539" i="3"/>
  <c r="P1538" i="3"/>
  <c r="P1537" i="3"/>
  <c r="P1536" i="3"/>
  <c r="P1535" i="3"/>
  <c r="P1534" i="3"/>
  <c r="P1533" i="3"/>
  <c r="P1532" i="3"/>
  <c r="P1531" i="3"/>
  <c r="P1530" i="3"/>
  <c r="P1529" i="3"/>
  <c r="P1528" i="3"/>
  <c r="P1527" i="3"/>
  <c r="P1526" i="3"/>
  <c r="P1525" i="3"/>
  <c r="P1524" i="3"/>
  <c r="P1523" i="3"/>
  <c r="P1522" i="3"/>
  <c r="P1521" i="3"/>
  <c r="P1520" i="3"/>
  <c r="P1519" i="3"/>
  <c r="P1518" i="3"/>
  <c r="P1517" i="3"/>
  <c r="P1516" i="3"/>
  <c r="P1515" i="3"/>
  <c r="P1514" i="3"/>
  <c r="P1513" i="3"/>
  <c r="P1512" i="3"/>
  <c r="P1511" i="3"/>
  <c r="P1510" i="3"/>
  <c r="P1509" i="3"/>
  <c r="P1508" i="3"/>
  <c r="P1507" i="3"/>
  <c r="P1506" i="3"/>
  <c r="P1505" i="3"/>
  <c r="P1504" i="3"/>
  <c r="P1503" i="3"/>
  <c r="P1502" i="3"/>
  <c r="P1501" i="3"/>
  <c r="P1500" i="3"/>
  <c r="P1499" i="3"/>
  <c r="P1498" i="3"/>
  <c r="P1497" i="3"/>
  <c r="P1496" i="3"/>
  <c r="P1495" i="3"/>
  <c r="P1494" i="3"/>
  <c r="P1493" i="3"/>
  <c r="P1492" i="3"/>
  <c r="P1491" i="3"/>
  <c r="P1490" i="3"/>
  <c r="P1489" i="3"/>
  <c r="P1488" i="3"/>
  <c r="P1487" i="3"/>
  <c r="P1486" i="3"/>
  <c r="P1485" i="3"/>
  <c r="P1484" i="3"/>
  <c r="P1483" i="3"/>
  <c r="P1482" i="3"/>
  <c r="P1481" i="3"/>
  <c r="P1480" i="3"/>
  <c r="P1479" i="3"/>
  <c r="P1478" i="3"/>
  <c r="P1477" i="3"/>
  <c r="P1476" i="3"/>
  <c r="P1475" i="3"/>
  <c r="P1474" i="3"/>
  <c r="P1473" i="3"/>
  <c r="P1472" i="3"/>
  <c r="P1471" i="3"/>
  <c r="P1470" i="3"/>
  <c r="P1469" i="3"/>
  <c r="P1468" i="3"/>
  <c r="P1467" i="3"/>
  <c r="P1466" i="3"/>
  <c r="P1465" i="3"/>
  <c r="P1464" i="3"/>
  <c r="P1463" i="3"/>
  <c r="P1462" i="3"/>
  <c r="P1461" i="3"/>
  <c r="P1460" i="3"/>
  <c r="P1459" i="3"/>
  <c r="P1458" i="3"/>
  <c r="P1457" i="3"/>
  <c r="P1456" i="3"/>
  <c r="P1455" i="3"/>
  <c r="P1454" i="3"/>
  <c r="P1453" i="3"/>
  <c r="P1452" i="3"/>
  <c r="P1451" i="3"/>
  <c r="P1450" i="3"/>
  <c r="P1449" i="3"/>
  <c r="P1448" i="3"/>
  <c r="P1447" i="3"/>
  <c r="P1446" i="3"/>
  <c r="P1445" i="3"/>
  <c r="P1444" i="3"/>
  <c r="P1443" i="3"/>
  <c r="P1442" i="3"/>
  <c r="P1441" i="3"/>
  <c r="P1440" i="3"/>
  <c r="P1439" i="3"/>
  <c r="P1438" i="3"/>
  <c r="P1437" i="3"/>
  <c r="P1436" i="3"/>
  <c r="P1435" i="3"/>
  <c r="P1434" i="3"/>
  <c r="P1433" i="3"/>
  <c r="P1432" i="3"/>
  <c r="P1431" i="3"/>
  <c r="P1430" i="3"/>
  <c r="P1429" i="3"/>
  <c r="P1428" i="3"/>
  <c r="P1427" i="3"/>
  <c r="P1426" i="3"/>
  <c r="P1425" i="3"/>
  <c r="P1424" i="3"/>
  <c r="P1423" i="3"/>
  <c r="P1422" i="3"/>
  <c r="P1421" i="3"/>
  <c r="P1420" i="3"/>
  <c r="P1419" i="3"/>
  <c r="P1418" i="3"/>
  <c r="P1417" i="3"/>
  <c r="P1416" i="3"/>
  <c r="P1415" i="3"/>
  <c r="P1414" i="3"/>
  <c r="P1413" i="3"/>
  <c r="P1412" i="3"/>
  <c r="P1411" i="3"/>
  <c r="P1410" i="3"/>
  <c r="P1409" i="3"/>
  <c r="P1408" i="3"/>
  <c r="P1407" i="3"/>
  <c r="P1406" i="3"/>
  <c r="P1405" i="3"/>
  <c r="P1404" i="3"/>
  <c r="P1403" i="3"/>
  <c r="P1402" i="3"/>
  <c r="P1401" i="3"/>
  <c r="P1400" i="3"/>
  <c r="P1399" i="3"/>
  <c r="P1398" i="3"/>
  <c r="P1397" i="3"/>
  <c r="P1396" i="3"/>
  <c r="P1395" i="3"/>
  <c r="P1394" i="3"/>
  <c r="P1393" i="3"/>
  <c r="P1392" i="3"/>
  <c r="P1391" i="3"/>
  <c r="P1390" i="3"/>
  <c r="P1389" i="3"/>
  <c r="P1388" i="3"/>
  <c r="P1387" i="3"/>
  <c r="P1386" i="3"/>
  <c r="P1385" i="3"/>
  <c r="P1384" i="3"/>
  <c r="P1383" i="3"/>
  <c r="P1382" i="3"/>
  <c r="P1381" i="3"/>
  <c r="P1380" i="3"/>
  <c r="P1379" i="3"/>
  <c r="P1378" i="3"/>
  <c r="P1377" i="3"/>
  <c r="P1376" i="3"/>
  <c r="P1375" i="3"/>
  <c r="P1374" i="3"/>
  <c r="P1373" i="3"/>
  <c r="P1372" i="3"/>
  <c r="P1371" i="3"/>
  <c r="P1370" i="3"/>
  <c r="P1369" i="3"/>
  <c r="P1368" i="3"/>
  <c r="P1367" i="3"/>
  <c r="P1366" i="3"/>
  <c r="P1365" i="3"/>
  <c r="P1364" i="3"/>
  <c r="P1363" i="3"/>
  <c r="P1362" i="3"/>
  <c r="P1361" i="3"/>
  <c r="P1360" i="3"/>
  <c r="P1359" i="3"/>
  <c r="P1358" i="3"/>
  <c r="P1357" i="3"/>
  <c r="P1356" i="3"/>
  <c r="P1355" i="3"/>
  <c r="P1354" i="3"/>
  <c r="P1353" i="3"/>
  <c r="P1352" i="3"/>
  <c r="P1351" i="3"/>
  <c r="P1350" i="3"/>
  <c r="P1349" i="3"/>
  <c r="P1348" i="3"/>
  <c r="P1347" i="3"/>
  <c r="P1346" i="3"/>
  <c r="P1345" i="3"/>
  <c r="P1344" i="3"/>
  <c r="P1343" i="3"/>
  <c r="P1342" i="3"/>
  <c r="P1341" i="3"/>
  <c r="P1340" i="3"/>
  <c r="P1339" i="3"/>
  <c r="P1338" i="3"/>
  <c r="P1337" i="3"/>
  <c r="P1336" i="3"/>
  <c r="P1335" i="3"/>
  <c r="P1334" i="3"/>
  <c r="P1333" i="3"/>
  <c r="P1332" i="3"/>
  <c r="P1331" i="3"/>
  <c r="P1330" i="3"/>
  <c r="P1329" i="3"/>
  <c r="P1328" i="3"/>
  <c r="P1327" i="3"/>
  <c r="P1326" i="3"/>
  <c r="P1325" i="3"/>
  <c r="P1324" i="3"/>
  <c r="P1323" i="3"/>
  <c r="P1322" i="3"/>
  <c r="P1321" i="3"/>
  <c r="P1320" i="3"/>
  <c r="P1319" i="3"/>
  <c r="P1318" i="3"/>
  <c r="P1317" i="3"/>
  <c r="P1316" i="3"/>
  <c r="P1315" i="3"/>
  <c r="P1314" i="3"/>
  <c r="P1313" i="3"/>
  <c r="P1312" i="3"/>
  <c r="P1311" i="3"/>
  <c r="P1310" i="3"/>
  <c r="P1309" i="3"/>
  <c r="P1308" i="3"/>
  <c r="P1307" i="3"/>
  <c r="P1306" i="3"/>
  <c r="P1305" i="3"/>
  <c r="P1304" i="3"/>
  <c r="P1303" i="3"/>
  <c r="P1302" i="3"/>
  <c r="P1301" i="3"/>
  <c r="P1300" i="3"/>
  <c r="P1299" i="3"/>
  <c r="P1298" i="3"/>
  <c r="P1297" i="3"/>
  <c r="P1296" i="3"/>
  <c r="P1295" i="3"/>
  <c r="P1294" i="3"/>
  <c r="P1293" i="3"/>
  <c r="P1292" i="3"/>
  <c r="P1291" i="3"/>
  <c r="P1290" i="3"/>
  <c r="P1289" i="3"/>
  <c r="P1288" i="3"/>
  <c r="P1287" i="3"/>
  <c r="P1286" i="3"/>
  <c r="P1285" i="3"/>
  <c r="P1284" i="3"/>
  <c r="P1283" i="3"/>
  <c r="P1282" i="3"/>
  <c r="P1281" i="3"/>
  <c r="P1280" i="3"/>
  <c r="P1279" i="3"/>
  <c r="P1278" i="3"/>
  <c r="P1277" i="3"/>
  <c r="P1276" i="3"/>
  <c r="P1275" i="3"/>
  <c r="P1274" i="3"/>
  <c r="P1273" i="3"/>
  <c r="P1272" i="3"/>
  <c r="P1271" i="3"/>
  <c r="P1270" i="3"/>
  <c r="P1269" i="3"/>
  <c r="P1268" i="3"/>
  <c r="P1267" i="3"/>
  <c r="P1266" i="3"/>
  <c r="P1265" i="3"/>
  <c r="P1264" i="3"/>
  <c r="P1263" i="3"/>
  <c r="P1262" i="3"/>
  <c r="P1261" i="3"/>
  <c r="P1260" i="3"/>
  <c r="P1259" i="3"/>
  <c r="P1258" i="3"/>
  <c r="P1257" i="3"/>
  <c r="P1256" i="3"/>
  <c r="P1255" i="3"/>
  <c r="P1254" i="3"/>
  <c r="P1253" i="3"/>
  <c r="P1252" i="3"/>
  <c r="P1251" i="3"/>
  <c r="P1250" i="3"/>
  <c r="P1249" i="3"/>
  <c r="P1248" i="3"/>
  <c r="P1247" i="3"/>
  <c r="P1246" i="3"/>
  <c r="P1245" i="3"/>
  <c r="P1244" i="3"/>
  <c r="P1243" i="3"/>
  <c r="P1242" i="3"/>
  <c r="P1241" i="3"/>
  <c r="P1240" i="3"/>
  <c r="P1239" i="3"/>
  <c r="P1238" i="3"/>
  <c r="P1237" i="3"/>
  <c r="P1236" i="3"/>
  <c r="P1235" i="3"/>
  <c r="P1234" i="3"/>
  <c r="P1233" i="3"/>
  <c r="P1232" i="3"/>
  <c r="P1231" i="3"/>
  <c r="P1230" i="3"/>
  <c r="P1229" i="3"/>
  <c r="P1228" i="3"/>
  <c r="P1227" i="3"/>
  <c r="P1226" i="3"/>
  <c r="P1225" i="3"/>
  <c r="P1224" i="3"/>
  <c r="P1223" i="3"/>
  <c r="P1222" i="3"/>
  <c r="P1221" i="3"/>
  <c r="P1220" i="3"/>
  <c r="P1219" i="3"/>
  <c r="P1218" i="3"/>
  <c r="P1217" i="3"/>
  <c r="P1216" i="3"/>
  <c r="P1215" i="3"/>
  <c r="P1214" i="3"/>
  <c r="P1213" i="3"/>
  <c r="P1212" i="3"/>
  <c r="P1211" i="3"/>
  <c r="P1210" i="3"/>
  <c r="P1209" i="3"/>
  <c r="P1208" i="3"/>
  <c r="P1207" i="3"/>
  <c r="P1206" i="3"/>
  <c r="P1205" i="3"/>
  <c r="P1204" i="3"/>
  <c r="P1203" i="3"/>
  <c r="P1202" i="3"/>
  <c r="P1201" i="3"/>
  <c r="P1200" i="3"/>
  <c r="P1199" i="3"/>
  <c r="P1198" i="3"/>
  <c r="P1197" i="3"/>
  <c r="P1196" i="3"/>
  <c r="P1195" i="3"/>
  <c r="P1194" i="3"/>
  <c r="P1193" i="3"/>
  <c r="P1192" i="3"/>
  <c r="P1191" i="3"/>
  <c r="P1190" i="3"/>
  <c r="P1189" i="3"/>
  <c r="P1188" i="3"/>
  <c r="P1187" i="3"/>
  <c r="P1186" i="3"/>
  <c r="P1185" i="3"/>
  <c r="P1184" i="3"/>
  <c r="P1183" i="3"/>
  <c r="P1182" i="3"/>
  <c r="P1181" i="3"/>
  <c r="P1180" i="3"/>
  <c r="P1179" i="3"/>
  <c r="P1178" i="3"/>
  <c r="P1177" i="3"/>
  <c r="P1176" i="3"/>
  <c r="P1175" i="3"/>
  <c r="P1174" i="3"/>
  <c r="P1173" i="3"/>
  <c r="P1172" i="3"/>
  <c r="P1171" i="3"/>
  <c r="P1170" i="3"/>
  <c r="P1169" i="3"/>
  <c r="P1168" i="3"/>
  <c r="P1167" i="3"/>
  <c r="P1166" i="3"/>
  <c r="P1165" i="3"/>
  <c r="P1164" i="3"/>
  <c r="P1163" i="3"/>
  <c r="P1162" i="3"/>
  <c r="P1161" i="3"/>
  <c r="P1160" i="3"/>
  <c r="P1159" i="3"/>
  <c r="P1158" i="3"/>
  <c r="P1157" i="3"/>
  <c r="P1156" i="3"/>
  <c r="P1155" i="3"/>
  <c r="P1154" i="3"/>
  <c r="P1153" i="3"/>
  <c r="P1152" i="3"/>
  <c r="P1151" i="3"/>
  <c r="P1150" i="3"/>
  <c r="P1149" i="3"/>
  <c r="P1148" i="3"/>
  <c r="P1147" i="3"/>
  <c r="P1146" i="3"/>
  <c r="P1145" i="3"/>
  <c r="P1144" i="3"/>
  <c r="P1143" i="3"/>
  <c r="P1142" i="3"/>
  <c r="P1141" i="3"/>
  <c r="P1140" i="3"/>
  <c r="P1139" i="3"/>
  <c r="P1138" i="3"/>
  <c r="P1137" i="3"/>
  <c r="P1136" i="3"/>
  <c r="P1135" i="3"/>
  <c r="P1134" i="3"/>
  <c r="P1133" i="3"/>
  <c r="P1132" i="3"/>
  <c r="P1131" i="3"/>
  <c r="P1130" i="3"/>
  <c r="P1129" i="3"/>
  <c r="P1128" i="3"/>
  <c r="P1127" i="3"/>
  <c r="P1126" i="3"/>
  <c r="P1125" i="3"/>
  <c r="P1124" i="3"/>
  <c r="P1123" i="3"/>
  <c r="P1122" i="3"/>
  <c r="P1121" i="3"/>
  <c r="P1120" i="3"/>
  <c r="P1119" i="3"/>
  <c r="P1118" i="3"/>
  <c r="P1117" i="3"/>
  <c r="P1116" i="3"/>
  <c r="P1115" i="3"/>
  <c r="P1114" i="3"/>
  <c r="P1113" i="3"/>
  <c r="P1112" i="3"/>
  <c r="P1111" i="3"/>
  <c r="P1110" i="3"/>
  <c r="P1109" i="3"/>
  <c r="P1108" i="3"/>
  <c r="P1107" i="3"/>
  <c r="P1106" i="3"/>
  <c r="P1105" i="3"/>
  <c r="P1104" i="3"/>
  <c r="P1103" i="3"/>
  <c r="P1102" i="3"/>
  <c r="P1101" i="3"/>
  <c r="P1100" i="3"/>
  <c r="P1099" i="3"/>
  <c r="P1098" i="3"/>
  <c r="P1097" i="3"/>
  <c r="P1096" i="3"/>
  <c r="P1095" i="3"/>
  <c r="P1094" i="3"/>
  <c r="P1093" i="3"/>
  <c r="P1092" i="3"/>
  <c r="P1091" i="3"/>
  <c r="P1090" i="3"/>
  <c r="P1089" i="3"/>
  <c r="P1088" i="3"/>
  <c r="P1087" i="3"/>
  <c r="P1086" i="3"/>
  <c r="P1085" i="3"/>
  <c r="P1084" i="3"/>
  <c r="P1083" i="3"/>
  <c r="P1082" i="3"/>
  <c r="P1081" i="3"/>
  <c r="P1080" i="3"/>
  <c r="P1079" i="3"/>
  <c r="P1078" i="3"/>
  <c r="P1077" i="3"/>
  <c r="P1076" i="3"/>
  <c r="P1075" i="3"/>
  <c r="P1074" i="3"/>
  <c r="P1073" i="3"/>
  <c r="P1072" i="3"/>
  <c r="P1071" i="3"/>
  <c r="P1070" i="3"/>
  <c r="P1069" i="3"/>
  <c r="P1068" i="3"/>
  <c r="P1067" i="3"/>
  <c r="P1066" i="3"/>
  <c r="P1065" i="3"/>
  <c r="P1064" i="3"/>
  <c r="P1063" i="3"/>
  <c r="P1062" i="3"/>
  <c r="P1061" i="3"/>
  <c r="P1060" i="3"/>
  <c r="P1059" i="3"/>
  <c r="P1058" i="3"/>
  <c r="P1057" i="3"/>
  <c r="P1056" i="3"/>
  <c r="P1055" i="3"/>
  <c r="P1054" i="3"/>
  <c r="P1053" i="3"/>
  <c r="P1052" i="3"/>
  <c r="P1051" i="3"/>
  <c r="P1050" i="3"/>
  <c r="P1049" i="3"/>
  <c r="P1048" i="3"/>
  <c r="P1047" i="3"/>
  <c r="P1046" i="3"/>
  <c r="P1045" i="3"/>
  <c r="P1044" i="3"/>
  <c r="P1043" i="3"/>
  <c r="P1042" i="3"/>
  <c r="P1041" i="3"/>
  <c r="P1040" i="3"/>
  <c r="P1039" i="3"/>
  <c r="P1038" i="3"/>
  <c r="P1037" i="3"/>
  <c r="P1036" i="3"/>
  <c r="P1035" i="3"/>
  <c r="P1034" i="3"/>
  <c r="P1033" i="3"/>
  <c r="P1032" i="3"/>
  <c r="P1031" i="3"/>
  <c r="P1030" i="3"/>
  <c r="P1029" i="3"/>
  <c r="P1028" i="3"/>
  <c r="P1027" i="3"/>
  <c r="P1026" i="3"/>
  <c r="P1025" i="3"/>
  <c r="P1024" i="3"/>
  <c r="P1023" i="3"/>
  <c r="P1022" i="3"/>
  <c r="P1021" i="3"/>
  <c r="P1020" i="3"/>
  <c r="P1019" i="3"/>
  <c r="P1018" i="3"/>
  <c r="P1017" i="3"/>
  <c r="P1016" i="3"/>
  <c r="P1015" i="3"/>
  <c r="P1014" i="3"/>
  <c r="P1013" i="3"/>
  <c r="P1012" i="3"/>
  <c r="P1011" i="3"/>
  <c r="P1010" i="3"/>
  <c r="P1009" i="3"/>
  <c r="P1008" i="3"/>
  <c r="P1007" i="3"/>
  <c r="P1006" i="3"/>
  <c r="P1005" i="3"/>
  <c r="P1004" i="3"/>
  <c r="P1003" i="3"/>
  <c r="P1002" i="3"/>
  <c r="P1001" i="3"/>
  <c r="P1000" i="3"/>
  <c r="P999" i="3"/>
  <c r="P998" i="3"/>
  <c r="P997" i="3"/>
  <c r="P996" i="3"/>
  <c r="P995" i="3"/>
  <c r="P994" i="3"/>
  <c r="P993" i="3"/>
  <c r="P992" i="3"/>
  <c r="P991" i="3"/>
  <c r="P990" i="3"/>
  <c r="P989" i="3"/>
  <c r="P988" i="3"/>
  <c r="P987" i="3"/>
  <c r="P986" i="3"/>
  <c r="P985" i="3"/>
  <c r="P984" i="3"/>
  <c r="P983" i="3"/>
  <c r="P982" i="3"/>
  <c r="P981" i="3"/>
  <c r="P980" i="3"/>
  <c r="P979" i="3"/>
  <c r="P978" i="3"/>
  <c r="P977" i="3"/>
  <c r="P976" i="3"/>
  <c r="P975" i="3"/>
  <c r="P974" i="3"/>
  <c r="P973" i="3"/>
  <c r="P972" i="3"/>
  <c r="P971" i="3"/>
  <c r="P970" i="3"/>
  <c r="P969" i="3"/>
  <c r="P968" i="3"/>
  <c r="P967" i="3"/>
  <c r="P966" i="3"/>
  <c r="P965" i="3"/>
  <c r="P964" i="3"/>
  <c r="P963" i="3"/>
  <c r="P962" i="3"/>
  <c r="P961" i="3"/>
  <c r="P960" i="3"/>
  <c r="P959" i="3"/>
  <c r="P958" i="3"/>
  <c r="P957" i="3"/>
  <c r="P956" i="3"/>
  <c r="P955" i="3"/>
  <c r="P954" i="3"/>
  <c r="P953" i="3"/>
  <c r="P952" i="3"/>
  <c r="P951" i="3"/>
  <c r="P950" i="3"/>
  <c r="P949" i="3"/>
  <c r="P948" i="3"/>
  <c r="P947" i="3"/>
  <c r="P946" i="3"/>
  <c r="P945" i="3"/>
  <c r="P944" i="3"/>
  <c r="P943" i="3"/>
  <c r="P942" i="3"/>
  <c r="P941" i="3"/>
  <c r="P940" i="3"/>
  <c r="P939" i="3"/>
  <c r="P938" i="3"/>
  <c r="P937" i="3"/>
  <c r="P936" i="3"/>
  <c r="P935" i="3"/>
  <c r="P934" i="3"/>
  <c r="P933" i="3"/>
  <c r="P932" i="3"/>
  <c r="P931" i="3"/>
  <c r="P930" i="3"/>
  <c r="P929" i="3"/>
  <c r="P928" i="3"/>
  <c r="P927" i="3"/>
  <c r="P926" i="3"/>
  <c r="P925" i="3"/>
  <c r="P924" i="3"/>
  <c r="P923" i="3"/>
  <c r="P922" i="3"/>
  <c r="P921" i="3"/>
  <c r="P920" i="3"/>
  <c r="P919" i="3"/>
  <c r="P918" i="3"/>
  <c r="P917" i="3"/>
  <c r="P916" i="3"/>
  <c r="P915" i="3"/>
  <c r="P914" i="3"/>
  <c r="P913" i="3"/>
  <c r="P912" i="3"/>
  <c r="P911" i="3"/>
  <c r="P910" i="3"/>
  <c r="P909" i="3"/>
  <c r="P908" i="3"/>
  <c r="P907" i="3"/>
  <c r="P906" i="3"/>
  <c r="P905" i="3"/>
  <c r="P904" i="3"/>
  <c r="P903" i="3"/>
  <c r="P902" i="3"/>
  <c r="P901" i="3"/>
  <c r="P900" i="3"/>
  <c r="P899" i="3"/>
  <c r="P898" i="3"/>
  <c r="P897" i="3"/>
  <c r="P896" i="3"/>
  <c r="P895" i="3"/>
  <c r="P894" i="3"/>
  <c r="P893" i="3"/>
  <c r="P892" i="3"/>
  <c r="P891" i="3"/>
  <c r="P890" i="3"/>
  <c r="P889" i="3"/>
  <c r="P888" i="3"/>
  <c r="P887" i="3"/>
  <c r="P886" i="3"/>
  <c r="P885" i="3"/>
  <c r="P884" i="3"/>
  <c r="P883" i="3"/>
  <c r="P882" i="3"/>
  <c r="P881" i="3"/>
  <c r="P880" i="3"/>
  <c r="P879" i="3"/>
  <c r="P878" i="3"/>
  <c r="P877" i="3"/>
  <c r="P876" i="3"/>
  <c r="P875" i="3"/>
  <c r="P874" i="3"/>
  <c r="P873" i="3"/>
  <c r="P872" i="3"/>
  <c r="P871" i="3"/>
  <c r="P870" i="3"/>
  <c r="P869" i="3"/>
  <c r="P868" i="3"/>
  <c r="P867" i="3"/>
  <c r="P866" i="3"/>
  <c r="P865" i="3"/>
  <c r="P864" i="3"/>
  <c r="P863" i="3"/>
  <c r="P862" i="3"/>
  <c r="P861" i="3"/>
  <c r="P860" i="3"/>
  <c r="P859" i="3"/>
  <c r="P858" i="3"/>
  <c r="P857" i="3"/>
  <c r="P856" i="3"/>
  <c r="P855" i="3"/>
  <c r="P854" i="3"/>
  <c r="P853" i="3"/>
  <c r="P852" i="3"/>
  <c r="P851" i="3"/>
  <c r="P850" i="3"/>
  <c r="P849" i="3"/>
  <c r="P848" i="3"/>
  <c r="P847" i="3"/>
  <c r="P846" i="3"/>
  <c r="P845" i="3"/>
  <c r="P844" i="3"/>
  <c r="P843" i="3"/>
  <c r="P842" i="3"/>
  <c r="P841" i="3"/>
  <c r="P840" i="3"/>
  <c r="P839" i="3"/>
  <c r="P838" i="3"/>
  <c r="P837" i="3"/>
  <c r="P836" i="3"/>
  <c r="P835" i="3"/>
  <c r="P834" i="3"/>
  <c r="P833" i="3"/>
  <c r="P832" i="3"/>
  <c r="P831" i="3"/>
  <c r="P830" i="3"/>
  <c r="P829" i="3"/>
  <c r="P828" i="3"/>
  <c r="P827" i="3"/>
  <c r="P826" i="3"/>
  <c r="P825" i="3"/>
  <c r="P824" i="3"/>
  <c r="P823" i="3"/>
  <c r="P822" i="3"/>
  <c r="P821" i="3"/>
  <c r="P820" i="3"/>
  <c r="P819" i="3"/>
  <c r="P818" i="3"/>
  <c r="P817" i="3"/>
  <c r="P816" i="3"/>
  <c r="P815" i="3"/>
  <c r="P814" i="3"/>
  <c r="P813" i="3"/>
  <c r="P812" i="3"/>
  <c r="P811" i="3"/>
  <c r="P810" i="3"/>
  <c r="P809" i="3"/>
  <c r="P808" i="3"/>
  <c r="P807" i="3"/>
  <c r="P806" i="3"/>
  <c r="P805" i="3"/>
  <c r="P804" i="3"/>
  <c r="P803" i="3"/>
  <c r="P802" i="3"/>
  <c r="P801" i="3"/>
  <c r="P800" i="3"/>
  <c r="P799" i="3"/>
  <c r="P798" i="3"/>
  <c r="P797" i="3"/>
  <c r="P796" i="3"/>
  <c r="P795" i="3"/>
  <c r="P794" i="3"/>
  <c r="P793" i="3"/>
  <c r="P792" i="3"/>
  <c r="P791" i="3"/>
  <c r="P790" i="3"/>
  <c r="P789" i="3"/>
  <c r="P788" i="3"/>
  <c r="P787" i="3"/>
  <c r="P786" i="3"/>
  <c r="P785" i="3"/>
  <c r="P784" i="3"/>
  <c r="P783" i="3"/>
  <c r="P782" i="3"/>
  <c r="P781" i="3"/>
  <c r="P780" i="3"/>
  <c r="P779" i="3"/>
  <c r="P778" i="3"/>
  <c r="P777" i="3"/>
  <c r="P776" i="3"/>
  <c r="P775" i="3"/>
  <c r="P774" i="3"/>
  <c r="P773" i="3"/>
  <c r="P772" i="3"/>
  <c r="P771" i="3"/>
  <c r="P770" i="3"/>
  <c r="P769" i="3"/>
  <c r="P768" i="3"/>
  <c r="P767" i="3"/>
  <c r="P766" i="3"/>
  <c r="P765" i="3"/>
  <c r="P764" i="3"/>
  <c r="P763" i="3"/>
  <c r="P762" i="3"/>
  <c r="P761" i="3"/>
  <c r="P760" i="3"/>
  <c r="P759" i="3"/>
  <c r="P758" i="3"/>
  <c r="P757" i="3"/>
  <c r="P756" i="3"/>
  <c r="P755" i="3"/>
  <c r="P754" i="3"/>
  <c r="P753" i="3"/>
  <c r="P752" i="3"/>
  <c r="P751" i="3"/>
  <c r="P750" i="3"/>
  <c r="P749" i="3"/>
  <c r="P748" i="3"/>
  <c r="P747" i="3"/>
  <c r="P746" i="3"/>
  <c r="P745" i="3"/>
  <c r="P744" i="3"/>
  <c r="P743" i="3"/>
  <c r="P742" i="3"/>
  <c r="P741" i="3"/>
  <c r="P740" i="3"/>
  <c r="P739" i="3"/>
  <c r="P738" i="3"/>
  <c r="P737" i="3"/>
  <c r="P736" i="3"/>
  <c r="P735" i="3"/>
  <c r="P734" i="3"/>
  <c r="P733" i="3"/>
  <c r="P732" i="3"/>
  <c r="P731" i="3"/>
  <c r="P730" i="3"/>
  <c r="P729" i="3"/>
  <c r="P728" i="3"/>
  <c r="P727" i="3"/>
  <c r="P726" i="3"/>
  <c r="P725" i="3"/>
  <c r="P724" i="3"/>
  <c r="P723" i="3"/>
  <c r="P722" i="3"/>
  <c r="P721" i="3"/>
  <c r="P720" i="3"/>
  <c r="P719" i="3"/>
  <c r="P718" i="3"/>
  <c r="P717" i="3"/>
  <c r="P716" i="3"/>
  <c r="P715" i="3"/>
  <c r="P714" i="3"/>
  <c r="P713" i="3"/>
  <c r="P712" i="3"/>
  <c r="P711" i="3"/>
  <c r="P710" i="3"/>
  <c r="P709" i="3"/>
  <c r="P708" i="3"/>
  <c r="P707" i="3"/>
  <c r="P706" i="3"/>
  <c r="P705" i="3"/>
  <c r="P704" i="3"/>
  <c r="P703" i="3"/>
  <c r="P702" i="3"/>
  <c r="P701" i="3"/>
  <c r="P700" i="3"/>
  <c r="P699" i="3"/>
  <c r="P698" i="3"/>
  <c r="P697" i="3"/>
  <c r="P696" i="3"/>
  <c r="P695" i="3"/>
  <c r="P694" i="3"/>
  <c r="P693" i="3"/>
  <c r="P692" i="3"/>
  <c r="P691" i="3"/>
  <c r="P690" i="3"/>
  <c r="P689" i="3"/>
  <c r="P688" i="3"/>
  <c r="P687" i="3"/>
  <c r="P686" i="3"/>
  <c r="P685" i="3"/>
  <c r="P684" i="3"/>
  <c r="P683" i="3"/>
  <c r="P682" i="3"/>
  <c r="P681" i="3"/>
  <c r="P680" i="3"/>
  <c r="P679" i="3"/>
  <c r="P678" i="3"/>
  <c r="P677" i="3"/>
  <c r="P676" i="3"/>
  <c r="P675" i="3"/>
  <c r="P674" i="3"/>
  <c r="P673" i="3"/>
  <c r="P672" i="3"/>
  <c r="P671" i="3"/>
  <c r="P670" i="3"/>
  <c r="P669" i="3"/>
  <c r="P668" i="3"/>
  <c r="P667" i="3"/>
  <c r="P666" i="3"/>
  <c r="P665" i="3"/>
  <c r="P664" i="3"/>
  <c r="P663" i="3"/>
  <c r="P662" i="3"/>
  <c r="P661" i="3"/>
  <c r="P660" i="3"/>
  <c r="P659" i="3"/>
  <c r="P658" i="3"/>
  <c r="P657" i="3"/>
  <c r="P656" i="3"/>
  <c r="P655" i="3"/>
  <c r="P654" i="3"/>
  <c r="P653" i="3"/>
  <c r="P652" i="3"/>
  <c r="P651" i="3"/>
  <c r="P650" i="3"/>
  <c r="P649" i="3"/>
  <c r="P648" i="3"/>
  <c r="P647" i="3"/>
  <c r="P646" i="3"/>
  <c r="P645" i="3"/>
  <c r="P644" i="3"/>
  <c r="P643" i="3"/>
  <c r="P642" i="3"/>
  <c r="P641" i="3"/>
  <c r="P640" i="3"/>
  <c r="P639" i="3"/>
  <c r="P638" i="3"/>
  <c r="P637" i="3"/>
  <c r="P636" i="3"/>
  <c r="P635" i="3"/>
  <c r="P634" i="3"/>
  <c r="P633" i="3"/>
  <c r="P632" i="3"/>
  <c r="P631" i="3"/>
  <c r="P630" i="3"/>
  <c r="P629" i="3"/>
  <c r="P628" i="3"/>
  <c r="P627" i="3"/>
  <c r="P626" i="3"/>
  <c r="P625" i="3"/>
  <c r="P624" i="3"/>
  <c r="P623" i="3"/>
  <c r="P622" i="3"/>
  <c r="P621" i="3"/>
  <c r="P620" i="3"/>
  <c r="P619" i="3"/>
  <c r="P618" i="3"/>
  <c r="P617" i="3"/>
  <c r="P616" i="3"/>
  <c r="P615" i="3"/>
  <c r="P614" i="3"/>
  <c r="P613" i="3"/>
  <c r="P612" i="3"/>
  <c r="P611" i="3"/>
  <c r="P610" i="3"/>
  <c r="P609" i="3"/>
  <c r="P608" i="3"/>
  <c r="P607" i="3"/>
  <c r="P606" i="3"/>
  <c r="P605" i="3"/>
  <c r="P604" i="3"/>
  <c r="P603" i="3"/>
  <c r="P602" i="3"/>
  <c r="P601" i="3"/>
  <c r="P600" i="3"/>
  <c r="P599" i="3"/>
  <c r="P598" i="3"/>
  <c r="P597" i="3"/>
  <c r="P596" i="3"/>
  <c r="P595" i="3"/>
  <c r="P594" i="3"/>
  <c r="P593" i="3"/>
  <c r="P592" i="3"/>
  <c r="P591" i="3"/>
  <c r="P590" i="3"/>
  <c r="P589" i="3"/>
  <c r="P588" i="3"/>
  <c r="P587" i="3"/>
  <c r="P586" i="3"/>
  <c r="P585" i="3"/>
  <c r="P584" i="3"/>
  <c r="P583" i="3"/>
  <c r="P582" i="3"/>
  <c r="P581" i="3"/>
  <c r="P580" i="3"/>
  <c r="P579" i="3"/>
  <c r="P578" i="3"/>
  <c r="P577" i="3"/>
  <c r="P576" i="3"/>
  <c r="P575" i="3"/>
  <c r="P574" i="3"/>
  <c r="P573" i="3"/>
  <c r="P572" i="3"/>
  <c r="P571" i="3"/>
  <c r="P570" i="3"/>
  <c r="P569" i="3"/>
  <c r="P568" i="3"/>
  <c r="P567" i="3"/>
  <c r="P566" i="3"/>
  <c r="P565" i="3"/>
  <c r="P564" i="3"/>
  <c r="P563" i="3"/>
  <c r="P562" i="3"/>
  <c r="P561" i="3"/>
  <c r="P560" i="3"/>
  <c r="P559" i="3"/>
  <c r="P558" i="3"/>
  <c r="P557" i="3"/>
  <c r="P556" i="3"/>
  <c r="P555" i="3"/>
  <c r="P554" i="3"/>
  <c r="P553" i="3"/>
  <c r="P552" i="3"/>
  <c r="P551" i="3"/>
  <c r="P550" i="3"/>
  <c r="P549" i="3"/>
  <c r="P548" i="3"/>
  <c r="P547" i="3"/>
  <c r="P546" i="3"/>
  <c r="P545" i="3"/>
  <c r="P544" i="3"/>
  <c r="P543" i="3"/>
  <c r="P542" i="3"/>
  <c r="P541" i="3"/>
  <c r="P540" i="3"/>
  <c r="P539" i="3"/>
  <c r="P538" i="3"/>
  <c r="P537" i="3"/>
  <c r="P536" i="3"/>
  <c r="P535" i="3"/>
  <c r="P534" i="3"/>
  <c r="P533" i="3"/>
  <c r="P532" i="3"/>
  <c r="P531" i="3"/>
  <c r="P530" i="3"/>
  <c r="P529" i="3"/>
  <c r="P528" i="3"/>
  <c r="P527" i="3"/>
  <c r="P526" i="3"/>
  <c r="P525" i="3"/>
  <c r="P524" i="3"/>
  <c r="P523" i="3"/>
  <c r="P522" i="3"/>
  <c r="P521" i="3"/>
  <c r="P520" i="3"/>
  <c r="P519" i="3"/>
  <c r="P518" i="3"/>
  <c r="P517" i="3"/>
  <c r="P516" i="3"/>
  <c r="P515" i="3"/>
  <c r="P514" i="3"/>
  <c r="P513" i="3"/>
  <c r="P512" i="3"/>
  <c r="P511" i="3"/>
  <c r="P510" i="3"/>
  <c r="P509" i="3"/>
  <c r="P508" i="3"/>
  <c r="P507" i="3"/>
  <c r="P506" i="3"/>
  <c r="P505" i="3"/>
  <c r="P504" i="3"/>
  <c r="P503" i="3"/>
  <c r="P502" i="3"/>
  <c r="P501" i="3"/>
  <c r="P500" i="3"/>
  <c r="P499" i="3"/>
  <c r="P498" i="3"/>
  <c r="P497" i="3"/>
  <c r="P496" i="3"/>
  <c r="P495" i="3"/>
  <c r="P494" i="3"/>
  <c r="P493" i="3"/>
  <c r="P492" i="3"/>
  <c r="P491" i="3"/>
  <c r="P490" i="3"/>
  <c r="P489" i="3"/>
  <c r="P488" i="3"/>
  <c r="P487" i="3"/>
  <c r="P486" i="3"/>
  <c r="P485" i="3"/>
  <c r="P484" i="3"/>
  <c r="P483" i="3"/>
  <c r="P482" i="3"/>
  <c r="P481" i="3"/>
  <c r="P480" i="3"/>
  <c r="P479" i="3"/>
  <c r="P478" i="3"/>
  <c r="P477" i="3"/>
  <c r="P476" i="3"/>
  <c r="P475" i="3"/>
  <c r="P474" i="3"/>
  <c r="P473" i="3"/>
  <c r="P472" i="3"/>
  <c r="P471" i="3"/>
  <c r="P470" i="3"/>
  <c r="P469" i="3"/>
  <c r="P468" i="3"/>
  <c r="P467" i="3"/>
  <c r="P466" i="3"/>
  <c r="P465" i="3"/>
  <c r="P464" i="3"/>
  <c r="P463" i="3"/>
  <c r="P462" i="3"/>
  <c r="P461" i="3"/>
  <c r="P460" i="3"/>
  <c r="P459" i="3"/>
  <c r="P458" i="3"/>
  <c r="P457" i="3"/>
  <c r="P456" i="3"/>
  <c r="P455" i="3"/>
  <c r="P454" i="3"/>
  <c r="P453" i="3"/>
  <c r="P452" i="3"/>
  <c r="P451" i="3"/>
  <c r="P450" i="3"/>
  <c r="P449" i="3"/>
  <c r="P448" i="3"/>
  <c r="P447" i="3"/>
  <c r="P446" i="3"/>
  <c r="P445" i="3"/>
  <c r="P444" i="3"/>
  <c r="P443" i="3"/>
  <c r="P442" i="3"/>
  <c r="P441" i="3"/>
  <c r="P440" i="3"/>
  <c r="P439" i="3"/>
  <c r="P438" i="3"/>
  <c r="P437" i="3"/>
  <c r="P436" i="3"/>
  <c r="P435" i="3"/>
  <c r="P434" i="3"/>
  <c r="P433" i="3"/>
  <c r="P432" i="3"/>
  <c r="P431" i="3"/>
  <c r="P430" i="3"/>
  <c r="P429" i="3"/>
  <c r="P428" i="3"/>
  <c r="P427" i="3"/>
  <c r="P426" i="3"/>
  <c r="P425" i="3"/>
  <c r="P424" i="3"/>
  <c r="P423" i="3"/>
  <c r="P422" i="3"/>
  <c r="P421" i="3"/>
  <c r="P420" i="3"/>
  <c r="P419" i="3"/>
  <c r="P418" i="3"/>
  <c r="P417" i="3"/>
  <c r="P416" i="3"/>
  <c r="P415" i="3"/>
  <c r="P414" i="3"/>
  <c r="P413" i="3"/>
  <c r="P412" i="3"/>
  <c r="P411" i="3"/>
  <c r="P410" i="3"/>
  <c r="P409" i="3"/>
  <c r="P408" i="3"/>
  <c r="P407" i="3"/>
  <c r="P406" i="3"/>
  <c r="P405" i="3"/>
  <c r="P404" i="3"/>
  <c r="P403" i="3"/>
  <c r="P402" i="3"/>
  <c r="P401" i="3"/>
  <c r="P400" i="3"/>
  <c r="P399" i="3"/>
  <c r="P398" i="3"/>
  <c r="P397" i="3"/>
  <c r="P396" i="3"/>
  <c r="P395" i="3"/>
  <c r="P394" i="3"/>
  <c r="P393" i="3"/>
  <c r="P392" i="3"/>
  <c r="P391" i="3"/>
  <c r="P390" i="3"/>
  <c r="P389" i="3"/>
  <c r="P388" i="3"/>
  <c r="P387" i="3"/>
  <c r="P386" i="3"/>
  <c r="P385" i="3"/>
  <c r="P384" i="3"/>
  <c r="P383" i="3"/>
  <c r="P382" i="3"/>
  <c r="P381" i="3"/>
  <c r="P380" i="3"/>
  <c r="P379" i="3"/>
  <c r="P378" i="3"/>
  <c r="P377" i="3"/>
  <c r="P376" i="3"/>
  <c r="P375" i="3"/>
  <c r="P374" i="3"/>
  <c r="P373" i="3"/>
  <c r="P372" i="3"/>
  <c r="P371" i="3"/>
  <c r="P370" i="3"/>
  <c r="P369" i="3"/>
  <c r="P368" i="3"/>
  <c r="P367" i="3"/>
  <c r="P366" i="3"/>
  <c r="P365" i="3"/>
  <c r="P364" i="3"/>
  <c r="P363" i="3"/>
  <c r="P362" i="3"/>
  <c r="P361" i="3"/>
  <c r="P360" i="3"/>
  <c r="P359" i="3"/>
  <c r="P358" i="3"/>
  <c r="P357" i="3"/>
  <c r="P356" i="3"/>
  <c r="P355" i="3"/>
  <c r="P354" i="3"/>
  <c r="P353" i="3"/>
  <c r="P352" i="3"/>
  <c r="P351" i="3"/>
  <c r="P350" i="3"/>
  <c r="P349" i="3"/>
  <c r="P348" i="3"/>
  <c r="P347" i="3"/>
  <c r="P346" i="3"/>
  <c r="P345" i="3"/>
  <c r="P344" i="3"/>
  <c r="P343" i="3"/>
  <c r="P342" i="3"/>
  <c r="P341" i="3"/>
  <c r="P340" i="3"/>
  <c r="P339" i="3"/>
  <c r="P338" i="3"/>
  <c r="P337" i="3"/>
  <c r="P336" i="3"/>
  <c r="P335" i="3"/>
  <c r="P334" i="3"/>
  <c r="P333" i="3"/>
  <c r="P332" i="3"/>
  <c r="P331" i="3"/>
  <c r="P330" i="3"/>
  <c r="P329" i="3"/>
  <c r="P328" i="3"/>
  <c r="P327" i="3"/>
  <c r="P326" i="3"/>
  <c r="P325" i="3"/>
  <c r="P324" i="3"/>
  <c r="P323" i="3"/>
  <c r="P322" i="3"/>
  <c r="P321" i="3"/>
  <c r="P320" i="3"/>
  <c r="P319" i="3"/>
  <c r="P318" i="3"/>
  <c r="P317" i="3"/>
  <c r="P316" i="3"/>
  <c r="P315" i="3"/>
  <c r="P314" i="3"/>
  <c r="P313" i="3"/>
  <c r="P312" i="3"/>
  <c r="P311" i="3"/>
  <c r="P310" i="3"/>
  <c r="P309" i="3"/>
  <c r="P308" i="3"/>
  <c r="P307" i="3"/>
  <c r="P306" i="3"/>
  <c r="P305" i="3"/>
  <c r="P304" i="3"/>
  <c r="P303" i="3"/>
  <c r="P302" i="3"/>
  <c r="P301" i="3"/>
  <c r="P300" i="3"/>
  <c r="P299" i="3"/>
  <c r="P298" i="3"/>
  <c r="P297" i="3"/>
  <c r="P296" i="3"/>
  <c r="P295" i="3"/>
  <c r="P294" i="3"/>
  <c r="P293" i="3"/>
  <c r="P292" i="3"/>
  <c r="P291" i="3"/>
  <c r="P290" i="3"/>
  <c r="P289" i="3"/>
  <c r="P288" i="3"/>
  <c r="P287" i="3"/>
  <c r="P286" i="3"/>
  <c r="P285" i="3"/>
  <c r="P284" i="3"/>
  <c r="P283" i="3"/>
  <c r="P282" i="3"/>
  <c r="P281" i="3"/>
  <c r="P280" i="3"/>
  <c r="P279" i="3"/>
  <c r="P278" i="3"/>
  <c r="P277" i="3"/>
  <c r="P276" i="3"/>
  <c r="P275" i="3"/>
  <c r="P274" i="3"/>
  <c r="P273" i="3"/>
  <c r="P272" i="3"/>
  <c r="P271" i="3"/>
  <c r="P270" i="3"/>
  <c r="P269" i="3"/>
  <c r="P268" i="3"/>
  <c r="P267" i="3"/>
  <c r="P266" i="3"/>
  <c r="P265" i="3"/>
  <c r="P264" i="3"/>
  <c r="P263" i="3"/>
  <c r="P262" i="3"/>
  <c r="P261" i="3"/>
  <c r="P260" i="3"/>
  <c r="P259" i="3"/>
  <c r="P258" i="3"/>
  <c r="P257" i="3"/>
  <c r="P256" i="3"/>
  <c r="P255" i="3"/>
  <c r="P254" i="3"/>
  <c r="P253" i="3"/>
  <c r="P252" i="3"/>
  <c r="P251" i="3"/>
  <c r="P250" i="3"/>
  <c r="P249" i="3"/>
  <c r="P248" i="3"/>
  <c r="P247" i="3"/>
  <c r="P246" i="3"/>
  <c r="P245" i="3"/>
  <c r="P244" i="3"/>
  <c r="P243" i="3"/>
  <c r="P242" i="3"/>
  <c r="P241" i="3"/>
  <c r="P240" i="3"/>
  <c r="P239" i="3"/>
  <c r="P238" i="3"/>
  <c r="P237" i="3"/>
  <c r="P236" i="3"/>
  <c r="P235" i="3"/>
  <c r="P234" i="3"/>
  <c r="P233" i="3"/>
  <c r="P232" i="3"/>
  <c r="P231" i="3"/>
  <c r="P230" i="3"/>
  <c r="P229" i="3"/>
  <c r="P228" i="3"/>
  <c r="P227" i="3"/>
  <c r="P226" i="3"/>
  <c r="P225" i="3"/>
  <c r="P224" i="3"/>
  <c r="P223" i="3"/>
  <c r="P222" i="3"/>
  <c r="P221" i="3"/>
  <c r="P220" i="3"/>
  <c r="P219" i="3"/>
  <c r="P218" i="3"/>
  <c r="P217" i="3"/>
  <c r="P216" i="3"/>
  <c r="P215" i="3"/>
  <c r="P214" i="3"/>
  <c r="P213" i="3"/>
  <c r="P212" i="3"/>
  <c r="P211" i="3"/>
  <c r="P210" i="3"/>
  <c r="P209" i="3"/>
  <c r="P208" i="3"/>
  <c r="P207" i="3"/>
  <c r="P206" i="3"/>
  <c r="P205" i="3"/>
  <c r="P204" i="3"/>
  <c r="P203" i="3"/>
  <c r="P202" i="3"/>
  <c r="P201" i="3"/>
  <c r="P200" i="3"/>
  <c r="P199" i="3"/>
  <c r="P198" i="3"/>
  <c r="P197" i="3"/>
  <c r="P196" i="3"/>
  <c r="P195" i="3"/>
  <c r="P194" i="3"/>
  <c r="P193" i="3"/>
  <c r="P192" i="3"/>
  <c r="P191" i="3"/>
  <c r="P190" i="3"/>
  <c r="P189" i="3"/>
  <c r="P188" i="3"/>
  <c r="P187" i="3"/>
  <c r="P186" i="3"/>
  <c r="P185" i="3"/>
  <c r="P184" i="3"/>
  <c r="P183" i="3"/>
  <c r="P182" i="3"/>
  <c r="P181" i="3"/>
  <c r="P180" i="3"/>
  <c r="P179" i="3"/>
  <c r="P178" i="3"/>
  <c r="P177" i="3"/>
  <c r="P176" i="3"/>
  <c r="P175" i="3"/>
  <c r="T221" i="3" l="1"/>
  <c r="CZ78" i="2" s="1"/>
  <c r="CZ79" i="2" s="1"/>
  <c r="T219" i="3"/>
  <c r="T215" i="3"/>
  <c r="T216" i="3"/>
  <c r="T217" i="3"/>
  <c r="T218" i="3"/>
  <c r="Y239" i="3" l="1"/>
  <c r="Y238" i="3"/>
  <c r="Y236" i="3"/>
  <c r="Y237" i="3"/>
  <c r="Y235" i="3"/>
  <c r="Y234" i="3"/>
  <c r="Y233" i="3"/>
  <c r="Y231" i="3"/>
  <c r="Y230" i="3"/>
  <c r="Y229" i="3"/>
  <c r="Y228" i="3"/>
  <c r="Y232" i="3"/>
  <c r="Y227" i="3"/>
  <c r="Y226" i="3"/>
  <c r="V268" i="3"/>
  <c r="V260" i="3"/>
  <c r="V252" i="3"/>
  <c r="V244" i="3"/>
  <c r="V236" i="3"/>
  <c r="V228" i="3"/>
  <c r="V267" i="3"/>
  <c r="V259" i="3"/>
  <c r="V251" i="3"/>
  <c r="V243" i="3"/>
  <c r="V235" i="3"/>
  <c r="V227" i="3"/>
  <c r="V234" i="3"/>
  <c r="V256" i="3"/>
  <c r="V266" i="3"/>
  <c r="V258" i="3"/>
  <c r="V250" i="3"/>
  <c r="V242" i="3"/>
  <c r="V226" i="3"/>
  <c r="V232" i="3"/>
  <c r="V265" i="3"/>
  <c r="V257" i="3"/>
  <c r="V249" i="3"/>
  <c r="V241" i="3"/>
  <c r="V233" i="3"/>
  <c r="V248" i="3"/>
  <c r="V264" i="3"/>
  <c r="V263" i="3"/>
  <c r="V255" i="3"/>
  <c r="V247" i="3"/>
  <c r="V239" i="3"/>
  <c r="V231" i="3"/>
  <c r="V262" i="3"/>
  <c r="V254" i="3"/>
  <c r="V246" i="3"/>
  <c r="V238" i="3"/>
  <c r="V230" i="3"/>
  <c r="V261" i="3"/>
  <c r="V253" i="3"/>
  <c r="V245" i="3"/>
  <c r="V237" i="3"/>
  <c r="V229" i="3"/>
  <c r="V240" i="3"/>
  <c r="AT64" i="2" l="1"/>
  <c r="AS64" i="2"/>
  <c r="AR64" i="2"/>
  <c r="AQ64" i="2"/>
  <c r="AP64" i="2"/>
  <c r="AO64" i="2"/>
  <c r="AN64" i="2"/>
  <c r="AM64" i="2"/>
  <c r="AL64" i="2"/>
  <c r="AK64" i="2"/>
  <c r="AJ64" i="2"/>
  <c r="AI64" i="2"/>
  <c r="AH64" i="2"/>
  <c r="AG64" i="2"/>
  <c r="AF64" i="2"/>
  <c r="AE64" i="2"/>
  <c r="AD64" i="2"/>
  <c r="AC64" i="2"/>
  <c r="AB64" i="2"/>
  <c r="AA64" i="2"/>
  <c r="Z64" i="2"/>
  <c r="Y64" i="2"/>
  <c r="X64" i="2"/>
  <c r="W64" i="2"/>
  <c r="V64" i="2"/>
  <c r="U64" i="2"/>
  <c r="T64" i="2"/>
  <c r="S64" i="2"/>
  <c r="R64" i="2"/>
  <c r="Q64" i="2"/>
  <c r="P64" i="2"/>
  <c r="O64" i="2"/>
  <c r="N64" i="2"/>
  <c r="M64" i="2"/>
  <c r="L64" i="2"/>
  <c r="K64" i="2"/>
  <c r="J64" i="2"/>
  <c r="I64" i="2"/>
  <c r="H64" i="2"/>
  <c r="G64" i="2"/>
  <c r="F64" i="2"/>
  <c r="E64" i="2"/>
  <c r="D64" i="2"/>
  <c r="C64" i="2"/>
  <c r="AT63" i="2"/>
  <c r="AS63" i="2"/>
  <c r="AR63" i="2"/>
  <c r="AQ63" i="2"/>
  <c r="AP63" i="2"/>
  <c r="AO63" i="2"/>
  <c r="AN63" i="2"/>
  <c r="AM63" i="2"/>
  <c r="AL63" i="2"/>
  <c r="AK63" i="2"/>
  <c r="AJ63" i="2"/>
  <c r="AI63" i="2"/>
  <c r="AH63" i="2"/>
  <c r="AG63" i="2"/>
  <c r="AF63" i="2"/>
  <c r="AE63" i="2"/>
  <c r="AD63" i="2"/>
  <c r="AC63" i="2"/>
  <c r="AB63" i="2"/>
  <c r="AA63" i="2"/>
  <c r="Z63" i="2"/>
  <c r="Y63" i="2"/>
  <c r="X63" i="2"/>
  <c r="W63" i="2"/>
  <c r="V63" i="2"/>
  <c r="U63" i="2"/>
  <c r="T63" i="2"/>
  <c r="S63" i="2"/>
  <c r="R63" i="2"/>
  <c r="Q63" i="2"/>
  <c r="P63" i="2"/>
  <c r="O63" i="2"/>
  <c r="N63" i="2"/>
  <c r="M63" i="2"/>
  <c r="L63" i="2"/>
  <c r="K63" i="2"/>
  <c r="J63" i="2"/>
  <c r="I63" i="2"/>
  <c r="H63" i="2"/>
  <c r="G63" i="2"/>
  <c r="F63" i="2"/>
  <c r="E63" i="2"/>
  <c r="D63" i="2"/>
  <c r="C63" i="2"/>
  <c r="BO114" i="2"/>
  <c r="BN114" i="2"/>
  <c r="BM114" i="2"/>
  <c r="BL114" i="2"/>
  <c r="BK114" i="2"/>
  <c r="BJ114" i="2"/>
  <c r="BI114" i="2"/>
  <c r="BH114" i="2"/>
  <c r="BG114" i="2"/>
  <c r="BF114" i="2"/>
  <c r="BE114" i="2"/>
  <c r="BD114" i="2"/>
  <c r="BC114" i="2"/>
  <c r="BB114" i="2"/>
  <c r="BA114" i="2"/>
  <c r="AZ114" i="2"/>
  <c r="AY114" i="2"/>
  <c r="AX114" i="2"/>
  <c r="AW114" i="2"/>
  <c r="AV114" i="2"/>
  <c r="AU114" i="2"/>
  <c r="AT114" i="2"/>
  <c r="AT116" i="2" s="1"/>
  <c r="AS114" i="2"/>
  <c r="AS116" i="2" s="1"/>
  <c r="AR114" i="2"/>
  <c r="AR116" i="2" s="1"/>
  <c r="AQ114" i="2"/>
  <c r="AP114" i="2"/>
  <c r="AP116" i="2" s="1"/>
  <c r="AO114" i="2"/>
  <c r="AO116" i="2" s="1"/>
  <c r="AN114" i="2"/>
  <c r="AN116" i="2" s="1"/>
  <c r="AM114" i="2"/>
  <c r="AM116" i="2" s="1"/>
  <c r="AL114" i="2"/>
  <c r="AL116" i="2" s="1"/>
  <c r="AK114" i="2"/>
  <c r="AK116" i="2" s="1"/>
  <c r="AJ114" i="2"/>
  <c r="AJ116" i="2" s="1"/>
  <c r="AI114" i="2"/>
  <c r="AI116" i="2" s="1"/>
  <c r="AH114" i="2"/>
  <c r="AH116" i="2" s="1"/>
  <c r="AG114" i="2"/>
  <c r="AG116" i="2" s="1"/>
  <c r="AF114" i="2"/>
  <c r="AF116" i="2" s="1"/>
  <c r="AE114" i="2"/>
  <c r="AE116" i="2" s="1"/>
  <c r="AD114" i="2"/>
  <c r="AD116" i="2" s="1"/>
  <c r="AC114" i="2"/>
  <c r="AC116" i="2" s="1"/>
  <c r="AB114" i="2"/>
  <c r="AB116" i="2" s="1"/>
  <c r="AA114" i="2"/>
  <c r="AA116" i="2" s="1"/>
  <c r="Z114" i="2"/>
  <c r="Z116" i="2" s="1"/>
  <c r="Y114" i="2"/>
  <c r="Y116" i="2" s="1"/>
  <c r="X114" i="2"/>
  <c r="X116" i="2" s="1"/>
  <c r="W114" i="2"/>
  <c r="W116" i="2" s="1"/>
  <c r="AU54" i="2"/>
  <c r="AX58" i="2"/>
  <c r="CL58" i="2" s="1"/>
  <c r="AX56" i="2"/>
  <c r="CL56" i="2" s="1"/>
  <c r="AX53" i="2"/>
  <c r="AX52" i="2"/>
  <c r="AX51" i="2"/>
  <c r="CL51" i="2" s="1"/>
  <c r="AX49" i="2"/>
  <c r="BE85" i="2"/>
  <c r="BB58" i="2"/>
  <c r="CM58" i="2" s="1"/>
  <c r="BB56" i="2"/>
  <c r="CM56" i="2" s="1"/>
  <c r="BB53" i="2"/>
  <c r="BB52" i="2"/>
  <c r="BB51" i="2"/>
  <c r="CM51" i="2" s="1"/>
  <c r="BB49" i="2"/>
  <c r="BF58" i="2"/>
  <c r="CN58" i="2" s="1"/>
  <c r="BM99" i="2"/>
  <c r="BM101" i="2" s="1"/>
  <c r="BM54" i="2"/>
  <c r="BF56" i="2"/>
  <c r="CN56" i="2" s="1"/>
  <c r="BF53" i="2"/>
  <c r="BF52" i="2"/>
  <c r="BF51" i="2"/>
  <c r="CN51" i="2" s="1"/>
  <c r="BF49" i="2"/>
  <c r="BJ58" i="2"/>
  <c r="CO58" i="2" s="1"/>
  <c r="BJ56" i="2"/>
  <c r="CO56" i="2" s="1"/>
  <c r="BJ53" i="2"/>
  <c r="BJ52" i="2"/>
  <c r="BJ51" i="2"/>
  <c r="CO51" i="2" s="1"/>
  <c r="BJ49" i="2"/>
  <c r="BN58" i="2"/>
  <c r="CP58" i="2" s="1"/>
  <c r="BN56" i="2"/>
  <c r="CP56" i="2" s="1"/>
  <c r="CQ56" i="2" s="1"/>
  <c r="CR56" i="2" s="1"/>
  <c r="CS56" i="2" s="1"/>
  <c r="CT56" i="2" s="1"/>
  <c r="CU56" i="2" s="1"/>
  <c r="CV56" i="2" s="1"/>
  <c r="CW56" i="2" s="1"/>
  <c r="CX56" i="2" s="1"/>
  <c r="CY56" i="2" s="1"/>
  <c r="CZ56" i="2" s="1"/>
  <c r="BN53" i="2"/>
  <c r="BN52" i="2"/>
  <c r="BN51" i="2"/>
  <c r="CP51" i="2" s="1"/>
  <c r="BN49" i="2"/>
  <c r="BO85" i="2"/>
  <c r="BL54" i="2"/>
  <c r="BK54" i="2"/>
  <c r="BI54" i="2"/>
  <c r="BH54" i="2"/>
  <c r="BG54" i="2"/>
  <c r="BE54" i="2"/>
  <c r="BD54" i="2"/>
  <c r="BC54" i="2"/>
  <c r="BA54" i="2"/>
  <c r="AZ54" i="2"/>
  <c r="AY54" i="2"/>
  <c r="AW54" i="2"/>
  <c r="AV54" i="2"/>
  <c r="BO54" i="2"/>
  <c r="BM39" i="2"/>
  <c r="BL39" i="2"/>
  <c r="BK39" i="2"/>
  <c r="BI39" i="2"/>
  <c r="BH39" i="2"/>
  <c r="BG39" i="2"/>
  <c r="BE39" i="2"/>
  <c r="BD39" i="2"/>
  <c r="BC39" i="2"/>
  <c r="BA39" i="2"/>
  <c r="AZ39" i="2"/>
  <c r="AY39" i="2"/>
  <c r="BM38" i="2"/>
  <c r="BL38" i="2"/>
  <c r="BK38" i="2"/>
  <c r="BI38" i="2"/>
  <c r="BH38" i="2"/>
  <c r="BG38" i="2"/>
  <c r="BE38" i="2"/>
  <c r="BD38" i="2"/>
  <c r="BC38" i="2"/>
  <c r="BA38" i="2"/>
  <c r="AZ38" i="2"/>
  <c r="AY38" i="2"/>
  <c r="BM37" i="2"/>
  <c r="BL37" i="2"/>
  <c r="BK37" i="2"/>
  <c r="BI37" i="2"/>
  <c r="BH37" i="2"/>
  <c r="BG37" i="2"/>
  <c r="BE37" i="2"/>
  <c r="BD37" i="2"/>
  <c r="BC37" i="2"/>
  <c r="BA37" i="2"/>
  <c r="AZ37" i="2"/>
  <c r="AY37" i="2"/>
  <c r="BM36" i="2"/>
  <c r="BL36" i="2"/>
  <c r="BK36" i="2"/>
  <c r="BI36" i="2"/>
  <c r="BH36" i="2"/>
  <c r="BG36" i="2"/>
  <c r="BE36" i="2"/>
  <c r="BD36" i="2"/>
  <c r="BC36" i="2"/>
  <c r="BA36" i="2"/>
  <c r="AZ36" i="2"/>
  <c r="AY36" i="2"/>
  <c r="BO39" i="2"/>
  <c r="BO38" i="2"/>
  <c r="BO37" i="2"/>
  <c r="BO36" i="2"/>
  <c r="AX33" i="2"/>
  <c r="CL33" i="2" s="1"/>
  <c r="AX32" i="2"/>
  <c r="CL32" i="2" s="1"/>
  <c r="AX31" i="2"/>
  <c r="CL31" i="2" s="1"/>
  <c r="AX30" i="2"/>
  <c r="CL30" i="2" s="1"/>
  <c r="AX29" i="2"/>
  <c r="CL29" i="2" s="1"/>
  <c r="BB33" i="2"/>
  <c r="CM33" i="2" s="1"/>
  <c r="BB32" i="2"/>
  <c r="CM32" i="2" s="1"/>
  <c r="BB31" i="2"/>
  <c r="CM31" i="2" s="1"/>
  <c r="BB30" i="2"/>
  <c r="CM30" i="2" s="1"/>
  <c r="BB29" i="2"/>
  <c r="CM29" i="2" s="1"/>
  <c r="BF33" i="2"/>
  <c r="CN33" i="2" s="1"/>
  <c r="BF32" i="2"/>
  <c r="CN32" i="2" s="1"/>
  <c r="BF31" i="2"/>
  <c r="CN31" i="2" s="1"/>
  <c r="BF30" i="2"/>
  <c r="CN30" i="2" s="1"/>
  <c r="BF29" i="2"/>
  <c r="CN29" i="2" s="1"/>
  <c r="BJ33" i="2"/>
  <c r="CO33" i="2" s="1"/>
  <c r="BJ32" i="2"/>
  <c r="CO32" i="2" s="1"/>
  <c r="BJ31" i="2"/>
  <c r="CO31" i="2" s="1"/>
  <c r="BJ30" i="2"/>
  <c r="CO30" i="2" s="1"/>
  <c r="BJ29" i="2"/>
  <c r="CO29" i="2" s="1"/>
  <c r="BN33" i="2"/>
  <c r="CP33" i="2" s="1"/>
  <c r="BN32" i="2"/>
  <c r="CP32" i="2" s="1"/>
  <c r="BN31" i="2"/>
  <c r="CP31" i="2" s="1"/>
  <c r="BN30" i="2"/>
  <c r="CP30" i="2" s="1"/>
  <c r="BN29" i="2"/>
  <c r="CP29" i="2" s="1"/>
  <c r="BM34" i="2"/>
  <c r="BQ40" i="2" s="1"/>
  <c r="BL34" i="2"/>
  <c r="BK34" i="2"/>
  <c r="BI34" i="2"/>
  <c r="BI45" i="2" s="1"/>
  <c r="BH34" i="2"/>
  <c r="BG34" i="2"/>
  <c r="BE34" i="2"/>
  <c r="BD34" i="2"/>
  <c r="BC34" i="2"/>
  <c r="BA34" i="2"/>
  <c r="BA42" i="2" s="1"/>
  <c r="AZ34" i="2"/>
  <c r="AZ45" i="2" s="1"/>
  <c r="AY34" i="2"/>
  <c r="AW34" i="2"/>
  <c r="AW46" i="2" s="1"/>
  <c r="AV34" i="2"/>
  <c r="AU34" i="2"/>
  <c r="BO34" i="2"/>
  <c r="AT52" i="2"/>
  <c r="AS52" i="2"/>
  <c r="AR52" i="2"/>
  <c r="AQ52" i="2"/>
  <c r="AQ65" i="2" s="1"/>
  <c r="AP52" i="2"/>
  <c r="AO52" i="2"/>
  <c r="AN52" i="2"/>
  <c r="AM52" i="2"/>
  <c r="AM65" i="2" s="1"/>
  <c r="AL52" i="2"/>
  <c r="AK52" i="2"/>
  <c r="AJ52" i="2"/>
  <c r="AI52" i="2"/>
  <c r="AI65" i="2" s="1"/>
  <c r="AH52" i="2"/>
  <c r="AG52" i="2"/>
  <c r="AF52" i="2"/>
  <c r="AE52" i="2"/>
  <c r="AE65" i="2" s="1"/>
  <c r="AD52" i="2"/>
  <c r="AC52" i="2"/>
  <c r="AB52" i="2"/>
  <c r="AA52" i="2"/>
  <c r="AA65" i="2" s="1"/>
  <c r="Z52" i="2"/>
  <c r="Y52" i="2"/>
  <c r="X52" i="2"/>
  <c r="W52" i="2"/>
  <c r="W65" i="2" s="1"/>
  <c r="V52" i="2"/>
  <c r="U52" i="2"/>
  <c r="T52" i="2"/>
  <c r="S52" i="2"/>
  <c r="S65" i="2" s="1"/>
  <c r="R52" i="2"/>
  <c r="Q52" i="2"/>
  <c r="P52" i="2"/>
  <c r="O52" i="2"/>
  <c r="O65" i="2" s="1"/>
  <c r="N52" i="2"/>
  <c r="M52" i="2"/>
  <c r="L52" i="2"/>
  <c r="K52" i="2"/>
  <c r="K65" i="2" s="1"/>
  <c r="J52" i="2"/>
  <c r="I52" i="2"/>
  <c r="H52" i="2"/>
  <c r="G52" i="2"/>
  <c r="G65" i="2" s="1"/>
  <c r="F52" i="2"/>
  <c r="E52" i="2"/>
  <c r="D52" i="2"/>
  <c r="C52" i="2"/>
  <c r="C65" i="2" s="1"/>
  <c r="BM20" i="2"/>
  <c r="BL20" i="2"/>
  <c r="BK20" i="2"/>
  <c r="BI20" i="2"/>
  <c r="BH20" i="2"/>
  <c r="BG20" i="2"/>
  <c r="BE20" i="2"/>
  <c r="BD20" i="2"/>
  <c r="BC20" i="2"/>
  <c r="BA20" i="2"/>
  <c r="AZ20" i="2"/>
  <c r="AY20" i="2"/>
  <c r="BM19" i="2"/>
  <c r="BL19" i="2"/>
  <c r="BK19" i="2"/>
  <c r="BI19" i="2"/>
  <c r="BH19" i="2"/>
  <c r="BG19" i="2"/>
  <c r="BE19" i="2"/>
  <c r="BD19" i="2"/>
  <c r="BC19" i="2"/>
  <c r="BA19" i="2"/>
  <c r="AZ19" i="2"/>
  <c r="AY19" i="2"/>
  <c r="BM18" i="2"/>
  <c r="BL18" i="2"/>
  <c r="BK18" i="2"/>
  <c r="BI18" i="2"/>
  <c r="BH18" i="2"/>
  <c r="BG18" i="2"/>
  <c r="BE18" i="2"/>
  <c r="BD18" i="2"/>
  <c r="BC18" i="2"/>
  <c r="BA18" i="2"/>
  <c r="AZ18" i="2"/>
  <c r="AY18" i="2"/>
  <c r="BM16" i="2"/>
  <c r="BL16" i="2"/>
  <c r="BK16" i="2"/>
  <c r="BI16" i="2"/>
  <c r="BH16" i="2"/>
  <c r="BG16" i="2"/>
  <c r="BE16" i="2"/>
  <c r="BD16" i="2"/>
  <c r="BC16" i="2"/>
  <c r="BA16" i="2"/>
  <c r="AZ16" i="2"/>
  <c r="AY16" i="2"/>
  <c r="BM15" i="2"/>
  <c r="BL15" i="2"/>
  <c r="BK15" i="2"/>
  <c r="BI15" i="2"/>
  <c r="BH15" i="2"/>
  <c r="BG15" i="2"/>
  <c r="BE15" i="2"/>
  <c r="BD15" i="2"/>
  <c r="BC15" i="2"/>
  <c r="BA15" i="2"/>
  <c r="AZ15" i="2"/>
  <c r="AY15" i="2"/>
  <c r="BM14" i="2"/>
  <c r="BL14" i="2"/>
  <c r="BK14" i="2"/>
  <c r="BI14" i="2"/>
  <c r="BH14" i="2"/>
  <c r="BG14" i="2"/>
  <c r="BE14" i="2"/>
  <c r="BD14" i="2"/>
  <c r="BC14" i="2"/>
  <c r="BA14" i="2"/>
  <c r="AZ14" i="2"/>
  <c r="AY14" i="2"/>
  <c r="BO20" i="2"/>
  <c r="BO19" i="2"/>
  <c r="BO18" i="2"/>
  <c r="BO16" i="2"/>
  <c r="BO15" i="2"/>
  <c r="BO14" i="2"/>
  <c r="AX11" i="2"/>
  <c r="CL11" i="2" s="1"/>
  <c r="AX10" i="2"/>
  <c r="CL10" i="2" s="1"/>
  <c r="AX9" i="2"/>
  <c r="CL9" i="2" s="1"/>
  <c r="AX8" i="2"/>
  <c r="CL8" i="2" s="1"/>
  <c r="AX6" i="2"/>
  <c r="CL6" i="2" s="1"/>
  <c r="AX5" i="2"/>
  <c r="CL5" i="2" s="1"/>
  <c r="AX4" i="2"/>
  <c r="CL4" i="2" s="1"/>
  <c r="BB11" i="2"/>
  <c r="CM11" i="2" s="1"/>
  <c r="BB10" i="2"/>
  <c r="CM10" i="2" s="1"/>
  <c r="BB9" i="2"/>
  <c r="CM9" i="2" s="1"/>
  <c r="BB8" i="2"/>
  <c r="CM8" i="2" s="1"/>
  <c r="BB6" i="2"/>
  <c r="CM6" i="2" s="1"/>
  <c r="BB5" i="2"/>
  <c r="CM5" i="2" s="1"/>
  <c r="BB4" i="2"/>
  <c r="CM4" i="2" s="1"/>
  <c r="BF11" i="2"/>
  <c r="CN11" i="2" s="1"/>
  <c r="BF10" i="2"/>
  <c r="CN10" i="2" s="1"/>
  <c r="BF9" i="2"/>
  <c r="CN9" i="2" s="1"/>
  <c r="BF8" i="2"/>
  <c r="CN8" i="2" s="1"/>
  <c r="BF6" i="2"/>
  <c r="CN6" i="2" s="1"/>
  <c r="BF5" i="2"/>
  <c r="CN5" i="2" s="1"/>
  <c r="BF4" i="2"/>
  <c r="CN4" i="2" s="1"/>
  <c r="BJ11" i="2"/>
  <c r="CO11" i="2" s="1"/>
  <c r="BJ10" i="2"/>
  <c r="CO10" i="2" s="1"/>
  <c r="BJ9" i="2"/>
  <c r="CO9" i="2" s="1"/>
  <c r="BJ8" i="2"/>
  <c r="CO8" i="2" s="1"/>
  <c r="BJ6" i="2"/>
  <c r="CO6" i="2" s="1"/>
  <c r="BJ5" i="2"/>
  <c r="CO5" i="2" s="1"/>
  <c r="BJ4" i="2"/>
  <c r="CO4" i="2" s="1"/>
  <c r="BN11" i="2"/>
  <c r="BN10" i="2"/>
  <c r="BN9" i="2"/>
  <c r="BN8" i="2"/>
  <c r="BN6" i="2"/>
  <c r="CP6" i="2" s="1"/>
  <c r="BN5" i="2"/>
  <c r="CP5" i="2" s="1"/>
  <c r="BN4" i="2"/>
  <c r="BO7" i="2"/>
  <c r="BM7" i="2"/>
  <c r="BL7" i="2"/>
  <c r="BI7" i="2"/>
  <c r="BI12" i="2" s="1"/>
  <c r="BH7" i="2"/>
  <c r="BH12" i="2" s="1"/>
  <c r="BG7" i="2"/>
  <c r="BE7" i="2"/>
  <c r="BE12" i="2" s="1"/>
  <c r="BD7" i="2"/>
  <c r="BD12" i="2" s="1"/>
  <c r="BC7" i="2"/>
  <c r="BA7" i="2"/>
  <c r="BA12" i="2" s="1"/>
  <c r="BA48" i="2" s="1"/>
  <c r="AZ7" i="2"/>
  <c r="AZ12" i="2" s="1"/>
  <c r="AY7" i="2"/>
  <c r="AW7" i="2"/>
  <c r="AW12" i="2" s="1"/>
  <c r="AW48" i="2" s="1"/>
  <c r="AW21" i="2" s="1"/>
  <c r="AV7" i="2"/>
  <c r="AV12" i="2" s="1"/>
  <c r="AV48" i="2" s="1"/>
  <c r="AV21" i="2" s="1"/>
  <c r="AU7" i="2"/>
  <c r="BK7" i="2"/>
  <c r="BO115" i="2"/>
  <c r="BN115" i="2"/>
  <c r="BM115" i="2"/>
  <c r="BL115" i="2"/>
  <c r="BK115" i="2"/>
  <c r="BJ115" i="2"/>
  <c r="BI115" i="2"/>
  <c r="BH115" i="2"/>
  <c r="BG115" i="2"/>
  <c r="BF115" i="2"/>
  <c r="BE115" i="2"/>
  <c r="BD115" i="2"/>
  <c r="BC115" i="2"/>
  <c r="BB115" i="2"/>
  <c r="BA115" i="2"/>
  <c r="AZ115" i="2"/>
  <c r="AY115" i="2"/>
  <c r="AX115" i="2"/>
  <c r="AW115" i="2"/>
  <c r="AV115" i="2"/>
  <c r="AU115" i="2"/>
  <c r="BN85" i="2"/>
  <c r="CP85" i="2" s="1"/>
  <c r="BM85" i="2"/>
  <c r="BL85" i="2"/>
  <c r="BK85" i="2"/>
  <c r="BJ85" i="2"/>
  <c r="CO85" i="2" s="1"/>
  <c r="BI85" i="2"/>
  <c r="BH85" i="2"/>
  <c r="BG85" i="2"/>
  <c r="BF85" i="2"/>
  <c r="CN85" i="2" s="1"/>
  <c r="BD85" i="2"/>
  <c r="BC85" i="2"/>
  <c r="BB85" i="2"/>
  <c r="CM85" i="2" s="1"/>
  <c r="BA85" i="2"/>
  <c r="AZ85" i="2"/>
  <c r="AY85" i="2"/>
  <c r="AX85" i="2"/>
  <c r="CL85" i="2" s="1"/>
  <c r="BO99" i="2"/>
  <c r="BO101" i="2" s="1"/>
  <c r="BN99" i="2"/>
  <c r="BL99" i="2"/>
  <c r="BL101" i="2" s="1"/>
  <c r="BK99" i="2"/>
  <c r="BK101" i="2" s="1"/>
  <c r="BJ99" i="2"/>
  <c r="BI99" i="2"/>
  <c r="BI101" i="2" s="1"/>
  <c r="BH99" i="2"/>
  <c r="BH101" i="2" s="1"/>
  <c r="BG99" i="2"/>
  <c r="BG101" i="2" s="1"/>
  <c r="BF99" i="2"/>
  <c r="BE99" i="2"/>
  <c r="BE101" i="2" s="1"/>
  <c r="BD99" i="2"/>
  <c r="BD101" i="2" s="1"/>
  <c r="BC99" i="2"/>
  <c r="BC101" i="2" s="1"/>
  <c r="BB99" i="2"/>
  <c r="BA99" i="2"/>
  <c r="BA101" i="2" s="1"/>
  <c r="AZ99" i="2"/>
  <c r="AZ101" i="2" s="1"/>
  <c r="AY99" i="2"/>
  <c r="AY101" i="2" s="1"/>
  <c r="AX99" i="2"/>
  <c r="BM12" i="2" l="1"/>
  <c r="BQ17" i="2"/>
  <c r="BL45" i="2"/>
  <c r="BP40" i="2"/>
  <c r="BL12" i="2"/>
  <c r="BP17" i="2"/>
  <c r="AW67" i="2"/>
  <c r="AV116" i="2"/>
  <c r="BD116" i="2"/>
  <c r="BL116" i="2"/>
  <c r="BA106" i="2"/>
  <c r="AW116" i="2"/>
  <c r="BE116" i="2"/>
  <c r="BM116" i="2"/>
  <c r="AX116" i="2"/>
  <c r="BF116" i="2"/>
  <c r="BN116" i="2"/>
  <c r="AQ116" i="2"/>
  <c r="CK114" i="2"/>
  <c r="CK116" i="2" s="1"/>
  <c r="AY116" i="2"/>
  <c r="BG116" i="2"/>
  <c r="BO116" i="2"/>
  <c r="AZ116" i="2"/>
  <c r="BH116" i="2"/>
  <c r="BA116" i="2"/>
  <c r="BI116" i="2"/>
  <c r="BB116" i="2"/>
  <c r="BJ116" i="2"/>
  <c r="AU116" i="2"/>
  <c r="BC116" i="2"/>
  <c r="BK116" i="2"/>
  <c r="CF114" i="2"/>
  <c r="CF116" i="2" s="1"/>
  <c r="CG114" i="2"/>
  <c r="CG116" i="2" s="1"/>
  <c r="CH114" i="2"/>
  <c r="CH116" i="2" s="1"/>
  <c r="CI114" i="2"/>
  <c r="CI116" i="2" s="1"/>
  <c r="CJ114" i="2"/>
  <c r="CJ116" i="2" s="1"/>
  <c r="CL49" i="2"/>
  <c r="CL107" i="2" s="1"/>
  <c r="AX107" i="2"/>
  <c r="CO49" i="2"/>
  <c r="CO107" i="2" s="1"/>
  <c r="BJ107" i="2"/>
  <c r="CP49" i="2"/>
  <c r="CP107" i="2" s="1"/>
  <c r="BN107" i="2"/>
  <c r="CM49" i="2"/>
  <c r="CM107" i="2" s="1"/>
  <c r="BB107" i="2"/>
  <c r="CN49" i="2"/>
  <c r="CN107" i="2" s="1"/>
  <c r="BF107" i="2"/>
  <c r="F54" i="2"/>
  <c r="F67" i="2" s="1"/>
  <c r="F65" i="2"/>
  <c r="V54" i="2"/>
  <c r="V67" i="2" s="1"/>
  <c r="V65" i="2"/>
  <c r="CP53" i="2"/>
  <c r="CM115" i="2"/>
  <c r="CO115" i="2"/>
  <c r="H54" i="2"/>
  <c r="H67" i="2" s="1"/>
  <c r="H65" i="2"/>
  <c r="P54" i="2"/>
  <c r="P67" i="2" s="1"/>
  <c r="P65" i="2"/>
  <c r="X54" i="2"/>
  <c r="X67" i="2" s="1"/>
  <c r="X65" i="2"/>
  <c r="AF54" i="2"/>
  <c r="AF67" i="2" s="1"/>
  <c r="AF65" i="2"/>
  <c r="AN54" i="2"/>
  <c r="AN67" i="2" s="1"/>
  <c r="AN65" i="2"/>
  <c r="CL52" i="2"/>
  <c r="AL54" i="2"/>
  <c r="AL67" i="2" s="1"/>
  <c r="AL65" i="2"/>
  <c r="I54" i="2"/>
  <c r="I67" i="2" s="1"/>
  <c r="I65" i="2"/>
  <c r="Q54" i="2"/>
  <c r="Q67" i="2" s="1"/>
  <c r="Q65" i="2"/>
  <c r="Y54" i="2"/>
  <c r="Y67" i="2" s="1"/>
  <c r="Y65" i="2"/>
  <c r="AG54" i="2"/>
  <c r="AG67" i="2" s="1"/>
  <c r="AG65" i="2"/>
  <c r="AO54" i="2"/>
  <c r="AO67" i="2" s="1"/>
  <c r="AO65" i="2"/>
  <c r="CN52" i="2"/>
  <c r="CM52" i="2"/>
  <c r="CL53" i="2"/>
  <c r="BA50" i="2"/>
  <c r="BA63" i="2" s="1"/>
  <c r="BA66" i="2"/>
  <c r="BA65" i="2"/>
  <c r="AT54" i="2"/>
  <c r="AT67" i="2" s="1"/>
  <c r="AT65" i="2"/>
  <c r="AV50" i="2"/>
  <c r="AV63" i="2" s="1"/>
  <c r="AV66" i="2"/>
  <c r="AV65" i="2"/>
  <c r="J54" i="2"/>
  <c r="J67" i="2" s="1"/>
  <c r="J65" i="2"/>
  <c r="R54" i="2"/>
  <c r="R67" i="2" s="1"/>
  <c r="R65" i="2"/>
  <c r="Z54" i="2"/>
  <c r="Z67" i="2" s="1"/>
  <c r="Z65" i="2"/>
  <c r="AH54" i="2"/>
  <c r="AH67" i="2" s="1"/>
  <c r="AH65" i="2"/>
  <c r="AP54" i="2"/>
  <c r="AP67" i="2" s="1"/>
  <c r="AP65" i="2"/>
  <c r="CN53" i="2"/>
  <c r="CM53" i="2"/>
  <c r="N54" i="2"/>
  <c r="N67" i="2" s="1"/>
  <c r="N65" i="2"/>
  <c r="AW50" i="2"/>
  <c r="AW63" i="2" s="1"/>
  <c r="AW65" i="2"/>
  <c r="AW66" i="2"/>
  <c r="CO52" i="2"/>
  <c r="AW64" i="2"/>
  <c r="D54" i="2"/>
  <c r="D67" i="2" s="1"/>
  <c r="D65" i="2"/>
  <c r="L54" i="2"/>
  <c r="L67" i="2" s="1"/>
  <c r="L65" i="2"/>
  <c r="T54" i="2"/>
  <c r="T67" i="2" s="1"/>
  <c r="T65" i="2"/>
  <c r="AB54" i="2"/>
  <c r="AB67" i="2" s="1"/>
  <c r="AB65" i="2"/>
  <c r="AJ54" i="2"/>
  <c r="AJ67" i="2" s="1"/>
  <c r="AJ65" i="2"/>
  <c r="AR54" i="2"/>
  <c r="AR67" i="2" s="1"/>
  <c r="AR65" i="2"/>
  <c r="CO53" i="2"/>
  <c r="AD54" i="2"/>
  <c r="AD67" i="2" s="1"/>
  <c r="AD65" i="2"/>
  <c r="E54" i="2"/>
  <c r="E67" i="2" s="1"/>
  <c r="E65" i="2"/>
  <c r="M54" i="2"/>
  <c r="M67" i="2" s="1"/>
  <c r="M65" i="2"/>
  <c r="U54" i="2"/>
  <c r="U67" i="2" s="1"/>
  <c r="U65" i="2"/>
  <c r="AC54" i="2"/>
  <c r="AC67" i="2" s="1"/>
  <c r="AC65" i="2"/>
  <c r="AK54" i="2"/>
  <c r="AK67" i="2" s="1"/>
  <c r="AK65" i="2"/>
  <c r="AS54" i="2"/>
  <c r="AS67" i="2" s="1"/>
  <c r="AS65" i="2"/>
  <c r="AV67" i="2"/>
  <c r="CP52" i="2"/>
  <c r="CL114" i="2"/>
  <c r="CN114" i="2"/>
  <c r="CP114" i="2"/>
  <c r="BA64" i="2"/>
  <c r="CM19" i="2"/>
  <c r="BA67" i="2"/>
  <c r="CM14" i="2"/>
  <c r="CO14" i="2"/>
  <c r="BL23" i="2"/>
  <c r="CM27" i="2"/>
  <c r="CM25" i="2"/>
  <c r="CM23" i="2"/>
  <c r="CM26" i="2"/>
  <c r="CM24" i="2"/>
  <c r="CP10" i="2"/>
  <c r="CM15" i="2"/>
  <c r="CO38" i="2"/>
  <c r="CN16" i="2"/>
  <c r="AU46" i="2"/>
  <c r="CP37" i="2"/>
  <c r="CM38" i="2"/>
  <c r="AV64" i="2"/>
  <c r="O54" i="2"/>
  <c r="CD52" i="2"/>
  <c r="CD65" i="2" s="1"/>
  <c r="AM54" i="2"/>
  <c r="CJ52" i="2"/>
  <c r="CJ65" i="2" s="1"/>
  <c r="CP38" i="2"/>
  <c r="CM39" i="2"/>
  <c r="CM114" i="2"/>
  <c r="CO114" i="2"/>
  <c r="CO37" i="2"/>
  <c r="BN101" i="2"/>
  <c r="CP101" i="2" s="1"/>
  <c r="CP99" i="2"/>
  <c r="CN26" i="2"/>
  <c r="CN24" i="2"/>
  <c r="CN27" i="2"/>
  <c r="CN25" i="2"/>
  <c r="CN23" i="2"/>
  <c r="CP11" i="2"/>
  <c r="CQ11" i="2" s="1"/>
  <c r="CR11" i="2" s="1"/>
  <c r="CS11" i="2" s="1"/>
  <c r="CT11" i="2" s="1"/>
  <c r="CU11" i="2" s="1"/>
  <c r="CV11" i="2" s="1"/>
  <c r="CW11" i="2" s="1"/>
  <c r="CX11" i="2" s="1"/>
  <c r="CY11" i="2" s="1"/>
  <c r="CZ11" i="2" s="1"/>
  <c r="CM36" i="2"/>
  <c r="AX101" i="2"/>
  <c r="CL101" i="2" s="1"/>
  <c r="CL99" i="2"/>
  <c r="BC12" i="2"/>
  <c r="BC27" i="2" s="1"/>
  <c r="CM16" i="2"/>
  <c r="G54" i="2"/>
  <c r="CB52" i="2"/>
  <c r="CB65" i="2" s="1"/>
  <c r="AE54" i="2"/>
  <c r="CH52" i="2"/>
  <c r="CH65" i="2" s="1"/>
  <c r="CP36" i="2"/>
  <c r="CM37" i="2"/>
  <c r="CO15" i="2"/>
  <c r="CQ5" i="2"/>
  <c r="CR5" i="2" s="1"/>
  <c r="CS5" i="2" s="1"/>
  <c r="CT5" i="2" s="1"/>
  <c r="CU5" i="2" s="1"/>
  <c r="CV5" i="2" s="1"/>
  <c r="CW5" i="2" s="1"/>
  <c r="CX5" i="2" s="1"/>
  <c r="CY5" i="2" s="1"/>
  <c r="CZ5" i="2" s="1"/>
  <c r="CP15" i="2"/>
  <c r="CN36" i="2"/>
  <c r="CQ6" i="2"/>
  <c r="CR6" i="2" s="1"/>
  <c r="CS6" i="2" s="1"/>
  <c r="CT6" i="2" s="1"/>
  <c r="CU6" i="2" s="1"/>
  <c r="CV6" i="2" s="1"/>
  <c r="CW6" i="2" s="1"/>
  <c r="CX6" i="2" s="1"/>
  <c r="CY6" i="2" s="1"/>
  <c r="CZ6" i="2" s="1"/>
  <c r="CP16" i="2"/>
  <c r="CM20" i="2"/>
  <c r="CN14" i="2"/>
  <c r="BF101" i="2"/>
  <c r="CN101" i="2" s="1"/>
  <c r="CN99" i="2"/>
  <c r="CN15" i="2"/>
  <c r="W54" i="2"/>
  <c r="CF52" i="2"/>
  <c r="CF65" i="2" s="1"/>
  <c r="CO39" i="2"/>
  <c r="CP4" i="2"/>
  <c r="CM18" i="2"/>
  <c r="AU12" i="2"/>
  <c r="AU25" i="2" s="1"/>
  <c r="CO16" i="2"/>
  <c r="CN18" i="2"/>
  <c r="BG12" i="2"/>
  <c r="BG25" i="2" s="1"/>
  <c r="CO18" i="2"/>
  <c r="CN19" i="2"/>
  <c r="CP39" i="2"/>
  <c r="CN37" i="2"/>
  <c r="BB101" i="2"/>
  <c r="CM101" i="2" s="1"/>
  <c r="CM99" i="2"/>
  <c r="BJ101" i="2"/>
  <c r="CO101" i="2" s="1"/>
  <c r="CO99" i="2"/>
  <c r="CL115" i="2"/>
  <c r="CN115" i="2"/>
  <c r="CP115" i="2"/>
  <c r="CP8" i="2"/>
  <c r="CO19" i="2"/>
  <c r="CN20" i="2"/>
  <c r="C54" i="2"/>
  <c r="CA52" i="2"/>
  <c r="CA65" i="2" s="1"/>
  <c r="K54" i="2"/>
  <c r="CC52" i="2"/>
  <c r="CC65" i="2" s="1"/>
  <c r="S54" i="2"/>
  <c r="CE52" i="2"/>
  <c r="CE65" i="2" s="1"/>
  <c r="AA54" i="2"/>
  <c r="CG52" i="2"/>
  <c r="CG65" i="2" s="1"/>
  <c r="AI54" i="2"/>
  <c r="CI52" i="2"/>
  <c r="CI65" i="2" s="1"/>
  <c r="AQ54" i="2"/>
  <c r="CK52" i="2"/>
  <c r="CK65" i="2" s="1"/>
  <c r="AY45" i="2"/>
  <c r="CN38" i="2"/>
  <c r="AY12" i="2"/>
  <c r="AY23" i="2" s="1"/>
  <c r="CP9" i="2"/>
  <c r="CO20" i="2"/>
  <c r="BK43" i="2"/>
  <c r="CO36" i="2"/>
  <c r="CN39" i="2"/>
  <c r="BF54" i="2"/>
  <c r="CN54" i="2" s="1"/>
  <c r="BE40" i="2"/>
  <c r="BN37" i="2"/>
  <c r="BB38" i="2"/>
  <c r="BG40" i="2"/>
  <c r="BN38" i="2"/>
  <c r="BF36" i="2"/>
  <c r="BB39" i="2"/>
  <c r="BK17" i="2"/>
  <c r="AX54" i="2"/>
  <c r="BB54" i="2"/>
  <c r="BJ54" i="2"/>
  <c r="BN54" i="2"/>
  <c r="BG42" i="2"/>
  <c r="BI42" i="2"/>
  <c r="BC40" i="2"/>
  <c r="BM40" i="2"/>
  <c r="BJ38" i="2"/>
  <c r="BB36" i="2"/>
  <c r="BI44" i="2"/>
  <c r="BO40" i="2"/>
  <c r="BD40" i="2"/>
  <c r="BN36" i="2"/>
  <c r="BJ39" i="2"/>
  <c r="BB37" i="2"/>
  <c r="BC45" i="2"/>
  <c r="BH40" i="2"/>
  <c r="BN39" i="2"/>
  <c r="BF37" i="2"/>
  <c r="BC43" i="2"/>
  <c r="BK45" i="2"/>
  <c r="BM45" i="2"/>
  <c r="BK40" i="2"/>
  <c r="BJ36" i="2"/>
  <c r="BF39" i="2"/>
  <c r="BO43" i="2"/>
  <c r="BM43" i="2"/>
  <c r="AY46" i="2"/>
  <c r="BO45" i="2"/>
  <c r="AY44" i="2"/>
  <c r="BA46" i="2"/>
  <c r="AY42" i="2"/>
  <c r="BA44" i="2"/>
  <c r="BG46" i="2"/>
  <c r="BG44" i="2"/>
  <c r="BI46" i="2"/>
  <c r="AU45" i="2"/>
  <c r="AU43" i="2"/>
  <c r="AZ40" i="2"/>
  <c r="BO44" i="2"/>
  <c r="AZ42" i="2"/>
  <c r="BH42" i="2"/>
  <c r="AV43" i="2"/>
  <c r="BD43" i="2"/>
  <c r="BL43" i="2"/>
  <c r="AZ44" i="2"/>
  <c r="BH44" i="2"/>
  <c r="AV45" i="2"/>
  <c r="BD45" i="2"/>
  <c r="AZ46" i="2"/>
  <c r="BH46" i="2"/>
  <c r="AW43" i="2"/>
  <c r="BF38" i="2"/>
  <c r="BO46" i="2"/>
  <c r="BE43" i="2"/>
  <c r="AY40" i="2"/>
  <c r="AU42" i="2"/>
  <c r="BC42" i="2"/>
  <c r="BK42" i="2"/>
  <c r="AY43" i="2"/>
  <c r="BG43" i="2"/>
  <c r="AU44" i="2"/>
  <c r="BC44" i="2"/>
  <c r="BK44" i="2"/>
  <c r="BG45" i="2"/>
  <c r="BC46" i="2"/>
  <c r="BK46" i="2"/>
  <c r="BA40" i="2"/>
  <c r="BL40" i="2"/>
  <c r="BJ37" i="2"/>
  <c r="AV42" i="2"/>
  <c r="BD42" i="2"/>
  <c r="BL42" i="2"/>
  <c r="AZ43" i="2"/>
  <c r="BH43" i="2"/>
  <c r="AV44" i="2"/>
  <c r="BD44" i="2"/>
  <c r="BL44" i="2"/>
  <c r="BH45" i="2"/>
  <c r="AV46" i="2"/>
  <c r="BD46" i="2"/>
  <c r="BL46" i="2"/>
  <c r="AW45" i="2"/>
  <c r="BI40" i="2"/>
  <c r="AW42" i="2"/>
  <c r="BE42" i="2"/>
  <c r="BM42" i="2"/>
  <c r="BA43" i="2"/>
  <c r="BI43" i="2"/>
  <c r="AW44" i="2"/>
  <c r="BE44" i="2"/>
  <c r="BM44" i="2"/>
  <c r="BA45" i="2"/>
  <c r="BE46" i="2"/>
  <c r="BM46" i="2"/>
  <c r="BE45" i="2"/>
  <c r="BO42" i="2"/>
  <c r="BN15" i="2"/>
  <c r="BJ16" i="2"/>
  <c r="BN18" i="2"/>
  <c r="BJ19" i="2"/>
  <c r="BF20" i="2"/>
  <c r="AZ21" i="2"/>
  <c r="BN20" i="2"/>
  <c r="BB14" i="2"/>
  <c r="AX34" i="2"/>
  <c r="AX46" i="2" s="1"/>
  <c r="BB34" i="2"/>
  <c r="CM34" i="2" s="1"/>
  <c r="BF34" i="2"/>
  <c r="BF45" i="2" s="1"/>
  <c r="BJ34" i="2"/>
  <c r="CO34" i="2" s="1"/>
  <c r="BN34" i="2"/>
  <c r="BN44" i="2" s="1"/>
  <c r="BE21" i="2"/>
  <c r="BF18" i="2"/>
  <c r="BB19" i="2"/>
  <c r="AV25" i="2"/>
  <c r="BH21" i="2"/>
  <c r="AZ24" i="2"/>
  <c r="BD21" i="2"/>
  <c r="BN14" i="2"/>
  <c r="BJ15" i="2"/>
  <c r="BF16" i="2"/>
  <c r="BB18" i="2"/>
  <c r="AV27" i="2"/>
  <c r="AV23" i="2"/>
  <c r="BD27" i="2"/>
  <c r="BD25" i="2"/>
  <c r="BD23" i="2"/>
  <c r="BG17" i="2"/>
  <c r="AZ48" i="2"/>
  <c r="AZ106" i="2" s="1"/>
  <c r="BF14" i="2"/>
  <c r="BB15" i="2"/>
  <c r="AZ26" i="2"/>
  <c r="BH48" i="2"/>
  <c r="BH106" i="2" s="1"/>
  <c r="BI21" i="2"/>
  <c r="BN19" i="2"/>
  <c r="BJ20" i="2"/>
  <c r="AW23" i="2"/>
  <c r="BE23" i="2"/>
  <c r="BA24" i="2"/>
  <c r="BI24" i="2"/>
  <c r="AW25" i="2"/>
  <c r="BE25" i="2"/>
  <c r="BA26" i="2"/>
  <c r="BI26" i="2"/>
  <c r="AW27" i="2"/>
  <c r="BE27" i="2"/>
  <c r="BI48" i="2"/>
  <c r="BI106" i="2" s="1"/>
  <c r="BH24" i="2"/>
  <c r="BH26" i="2"/>
  <c r="AY17" i="2"/>
  <c r="BO17" i="2"/>
  <c r="BJ14" i="2"/>
  <c r="BF15" i="2"/>
  <c r="BB16" i="2"/>
  <c r="AZ23" i="2"/>
  <c r="BH23" i="2"/>
  <c r="AV24" i="2"/>
  <c r="BD24" i="2"/>
  <c r="AZ25" i="2"/>
  <c r="BH25" i="2"/>
  <c r="AV26" i="2"/>
  <c r="BD26" i="2"/>
  <c r="AZ27" i="2"/>
  <c r="BH27" i="2"/>
  <c r="BD48" i="2"/>
  <c r="BD106" i="2" s="1"/>
  <c r="BA21" i="2"/>
  <c r="BA23" i="2"/>
  <c r="BI23" i="2"/>
  <c r="AW24" i="2"/>
  <c r="BE24" i="2"/>
  <c r="BA25" i="2"/>
  <c r="BI25" i="2"/>
  <c r="AW26" i="2"/>
  <c r="BE26" i="2"/>
  <c r="BA27" i="2"/>
  <c r="BI27" i="2"/>
  <c r="BE48" i="2"/>
  <c r="BE106" i="2" s="1"/>
  <c r="BN16" i="2"/>
  <c r="BJ18" i="2"/>
  <c r="BF19" i="2"/>
  <c r="BB20" i="2"/>
  <c r="AZ17" i="2"/>
  <c r="BH17" i="2"/>
  <c r="BA17" i="2"/>
  <c r="BI17" i="2"/>
  <c r="BO12" i="2"/>
  <c r="BK12" i="2"/>
  <c r="BC17" i="2"/>
  <c r="BD17" i="2"/>
  <c r="BL17" i="2"/>
  <c r="BE17" i="2"/>
  <c r="BM17" i="2"/>
  <c r="AX7" i="2"/>
  <c r="AX12" i="2" s="1"/>
  <c r="AX27" i="2" s="1"/>
  <c r="BB7" i="2"/>
  <c r="CM7" i="2" s="1"/>
  <c r="BF7" i="2"/>
  <c r="CN7" i="2" s="1"/>
  <c r="BJ7" i="2"/>
  <c r="CO7" i="2" s="1"/>
  <c r="BN7" i="2"/>
  <c r="CP7" i="2" s="1"/>
  <c r="CM116" i="2" l="1"/>
  <c r="CO116" i="2"/>
  <c r="BQ21" i="2"/>
  <c r="BM21" i="2"/>
  <c r="BM23" i="2"/>
  <c r="BM25" i="2"/>
  <c r="BM27" i="2"/>
  <c r="BM24" i="2"/>
  <c r="BM26" i="2"/>
  <c r="BM48" i="2"/>
  <c r="BP21" i="2"/>
  <c r="BL27" i="2"/>
  <c r="BL25" i="2"/>
  <c r="BL21" i="2"/>
  <c r="BL24" i="2"/>
  <c r="BL26" i="2"/>
  <c r="BL48" i="2"/>
  <c r="CP116" i="2"/>
  <c r="BA55" i="2"/>
  <c r="BG27" i="2"/>
  <c r="BG26" i="2"/>
  <c r="BC25" i="2"/>
  <c r="BC26" i="2"/>
  <c r="AV55" i="2"/>
  <c r="AV57" i="2" s="1"/>
  <c r="AW55" i="2"/>
  <c r="AW57" i="2" s="1"/>
  <c r="CN116" i="2"/>
  <c r="CL116" i="2"/>
  <c r="BG24" i="2"/>
  <c r="BC23" i="2"/>
  <c r="BG23" i="2"/>
  <c r="BC24" i="2"/>
  <c r="BI66" i="2"/>
  <c r="BI65" i="2"/>
  <c r="BL65" i="2"/>
  <c r="BL66" i="2"/>
  <c r="BH66" i="2"/>
  <c r="BH65" i="2"/>
  <c r="BD67" i="2"/>
  <c r="BD65" i="2"/>
  <c r="BD66" i="2"/>
  <c r="BE65" i="2"/>
  <c r="BE66" i="2"/>
  <c r="BO26" i="2"/>
  <c r="BO27" i="2"/>
  <c r="BO25" i="2"/>
  <c r="BO24" i="2"/>
  <c r="BO23" i="2"/>
  <c r="AZ66" i="2"/>
  <c r="AZ65" i="2"/>
  <c r="BM65" i="2"/>
  <c r="BM66" i="2"/>
  <c r="BG21" i="2"/>
  <c r="AU23" i="2"/>
  <c r="CN34" i="2"/>
  <c r="CO40" i="2" s="1"/>
  <c r="CO17" i="2"/>
  <c r="AU24" i="2"/>
  <c r="CM46" i="2"/>
  <c r="CM45" i="2"/>
  <c r="CM42" i="2"/>
  <c r="CM44" i="2"/>
  <c r="CM43" i="2"/>
  <c r="CB54" i="2"/>
  <c r="CB67" i="2" s="1"/>
  <c r="G67" i="2"/>
  <c r="AZ50" i="2"/>
  <c r="AZ64" i="2"/>
  <c r="AY48" i="2"/>
  <c r="AY106" i="2" s="1"/>
  <c r="AY24" i="2"/>
  <c r="CO42" i="2"/>
  <c r="CN17" i="2"/>
  <c r="CJ54" i="2"/>
  <c r="CJ67" i="2" s="1"/>
  <c r="AM67" i="2"/>
  <c r="CQ10" i="2"/>
  <c r="CR10" i="2" s="1"/>
  <c r="CS10" i="2" s="1"/>
  <c r="CT10" i="2" s="1"/>
  <c r="CU10" i="2" s="1"/>
  <c r="CV10" i="2" s="1"/>
  <c r="CW10" i="2" s="1"/>
  <c r="CX10" i="2" s="1"/>
  <c r="CY10" i="2" s="1"/>
  <c r="CZ10" i="2" s="1"/>
  <c r="CP20" i="2"/>
  <c r="BD50" i="2"/>
  <c r="BD64" i="2"/>
  <c r="BI50" i="2"/>
  <c r="BI64" i="2"/>
  <c r="AY25" i="2"/>
  <c r="CP34" i="2"/>
  <c r="CI54" i="2"/>
  <c r="CI67" i="2" s="1"/>
  <c r="AI67" i="2"/>
  <c r="CA54" i="2"/>
  <c r="CA67" i="2" s="1"/>
  <c r="C67" i="2"/>
  <c r="CL7" i="2"/>
  <c r="CM17" i="2" s="1"/>
  <c r="CM54" i="2"/>
  <c r="BC48" i="2"/>
  <c r="BC106" i="2" s="1"/>
  <c r="CD54" i="2"/>
  <c r="CD67" i="2" s="1"/>
  <c r="O67" i="2"/>
  <c r="CO44" i="2"/>
  <c r="CF54" i="2"/>
  <c r="CF67" i="2" s="1"/>
  <c r="W67" i="2"/>
  <c r="CK54" i="2"/>
  <c r="CK67" i="2" s="1"/>
  <c r="AQ67" i="2"/>
  <c r="CP54" i="2"/>
  <c r="AU27" i="2"/>
  <c r="CL12" i="2"/>
  <c r="CO46" i="2"/>
  <c r="AU26" i="2"/>
  <c r="BH50" i="2"/>
  <c r="BH64" i="2"/>
  <c r="CG54" i="2"/>
  <c r="CG67" i="2" s="1"/>
  <c r="AA67" i="2"/>
  <c r="CO45" i="2"/>
  <c r="AZ67" i="2"/>
  <c r="CP17" i="2"/>
  <c r="BC21" i="2"/>
  <c r="CL27" i="2"/>
  <c r="CL25" i="2"/>
  <c r="CL23" i="2"/>
  <c r="CL26" i="2"/>
  <c r="CL24" i="2"/>
  <c r="AY26" i="2"/>
  <c r="AY27" i="2"/>
  <c r="CH54" i="2"/>
  <c r="CH67" i="2" s="1"/>
  <c r="AE67" i="2"/>
  <c r="BI67" i="2"/>
  <c r="CC54" i="2"/>
  <c r="CC67" i="2" s="1"/>
  <c r="K67" i="2"/>
  <c r="BE50" i="2"/>
  <c r="BE64" i="2"/>
  <c r="BE67" i="2"/>
  <c r="AY21" i="2"/>
  <c r="CO43" i="2"/>
  <c r="AU48" i="2"/>
  <c r="AU21" i="2" s="1"/>
  <c r="CQ9" i="2"/>
  <c r="CR9" i="2" s="1"/>
  <c r="CS9" i="2" s="1"/>
  <c r="CT9" i="2" s="1"/>
  <c r="CU9" i="2" s="1"/>
  <c r="CV9" i="2" s="1"/>
  <c r="CW9" i="2" s="1"/>
  <c r="CX9" i="2" s="1"/>
  <c r="CY9" i="2" s="1"/>
  <c r="CZ9" i="2" s="1"/>
  <c r="CP19" i="2"/>
  <c r="CE54" i="2"/>
  <c r="CE67" i="2" s="1"/>
  <c r="S67" i="2"/>
  <c r="CQ8" i="2"/>
  <c r="CP18" i="2"/>
  <c r="BG48" i="2"/>
  <c r="BG106" i="2" s="1"/>
  <c r="CQ4" i="2"/>
  <c r="CP14" i="2"/>
  <c r="CL54" i="2"/>
  <c r="CL34" i="2"/>
  <c r="CO54" i="2"/>
  <c r="BH67" i="2"/>
  <c r="BB40" i="2"/>
  <c r="BJ40" i="2"/>
  <c r="BF42" i="2"/>
  <c r="AX45" i="2"/>
  <c r="BF46" i="2"/>
  <c r="BJ45" i="2"/>
  <c r="BN43" i="2"/>
  <c r="BN42" i="2"/>
  <c r="BF43" i="2"/>
  <c r="BF44" i="2"/>
  <c r="BJ42" i="2"/>
  <c r="AX44" i="2"/>
  <c r="BB45" i="2"/>
  <c r="AX43" i="2"/>
  <c r="BB44" i="2"/>
  <c r="BB42" i="2"/>
  <c r="AX42" i="2"/>
  <c r="BN40" i="2"/>
  <c r="BN45" i="2"/>
  <c r="BN46" i="2"/>
  <c r="BJ43" i="2"/>
  <c r="BJ46" i="2"/>
  <c r="BF40" i="2"/>
  <c r="BB43" i="2"/>
  <c r="BJ44" i="2"/>
  <c r="BB46" i="2"/>
  <c r="AX23" i="2"/>
  <c r="BK21" i="2"/>
  <c r="BK27" i="2"/>
  <c r="BK25" i="2"/>
  <c r="BK23" i="2"/>
  <c r="BK48" i="2"/>
  <c r="BK106" i="2" s="1"/>
  <c r="BK24" i="2"/>
  <c r="BK26" i="2"/>
  <c r="BO48" i="2"/>
  <c r="BO106" i="2" s="1"/>
  <c r="CP27" i="2"/>
  <c r="CP26" i="2"/>
  <c r="CP25" i="2"/>
  <c r="CP24" i="2"/>
  <c r="CP23" i="2"/>
  <c r="AX48" i="2"/>
  <c r="AX24" i="2"/>
  <c r="AX26" i="2"/>
  <c r="AX25" i="2"/>
  <c r="BO21" i="2"/>
  <c r="BJ12" i="2"/>
  <c r="CO12" i="2" s="1"/>
  <c r="BJ17" i="2"/>
  <c r="BN12" i="2"/>
  <c r="CP12" i="2" s="1"/>
  <c r="BN17" i="2"/>
  <c r="BF12" i="2"/>
  <c r="CN12" i="2" s="1"/>
  <c r="BF17" i="2"/>
  <c r="BB12" i="2"/>
  <c r="CM12" i="2" s="1"/>
  <c r="CM21" i="2" s="1"/>
  <c r="BB17" i="2"/>
  <c r="BM106" i="2" l="1"/>
  <c r="BM64" i="2"/>
  <c r="BM67" i="2"/>
  <c r="BM50" i="2"/>
  <c r="BL106" i="2"/>
  <c r="BL50" i="2"/>
  <c r="BL64" i="2"/>
  <c r="BL67" i="2"/>
  <c r="BA57" i="2"/>
  <c r="BA68" i="2"/>
  <c r="AX106" i="2"/>
  <c r="AX21" i="2"/>
  <c r="CN44" i="2"/>
  <c r="CN45" i="2"/>
  <c r="CN42" i="2"/>
  <c r="CN40" i="2"/>
  <c r="CP21" i="2"/>
  <c r="AW68" i="2"/>
  <c r="AV68" i="2"/>
  <c r="BC66" i="2"/>
  <c r="BC65" i="2"/>
  <c r="AX65" i="2"/>
  <c r="AX66" i="2"/>
  <c r="BG66" i="2"/>
  <c r="BG65" i="2"/>
  <c r="BK66" i="2"/>
  <c r="BK65" i="2"/>
  <c r="BO65" i="2"/>
  <c r="BO66" i="2"/>
  <c r="AU66" i="2"/>
  <c r="AU65" i="2"/>
  <c r="AY65" i="2"/>
  <c r="AY66" i="2"/>
  <c r="CN43" i="2"/>
  <c r="CN46" i="2"/>
  <c r="CN21" i="2"/>
  <c r="CO21" i="2"/>
  <c r="BK50" i="2"/>
  <c r="BK64" i="2"/>
  <c r="BK67" i="2"/>
  <c r="BA59" i="2"/>
  <c r="BA69" i="2"/>
  <c r="BC50" i="2"/>
  <c r="BC64" i="2"/>
  <c r="BC67" i="2"/>
  <c r="BI55" i="2"/>
  <c r="BI63" i="2"/>
  <c r="AX50" i="2"/>
  <c r="AX64" i="2"/>
  <c r="BE55" i="2"/>
  <c r="BE63" i="2"/>
  <c r="BD55" i="2"/>
  <c r="BD63" i="2"/>
  <c r="CR8" i="2"/>
  <c r="CL48" i="2"/>
  <c r="AU50" i="2"/>
  <c r="AU64" i="2"/>
  <c r="AU67" i="2"/>
  <c r="CP40" i="2"/>
  <c r="CP44" i="2"/>
  <c r="CP43" i="2"/>
  <c r="CP46" i="2"/>
  <c r="CP42" i="2"/>
  <c r="CP45" i="2"/>
  <c r="AY50" i="2"/>
  <c r="AY64" i="2"/>
  <c r="AY67" i="2"/>
  <c r="BL55" i="2"/>
  <c r="BL63" i="2"/>
  <c r="CO23" i="2"/>
  <c r="CO24" i="2"/>
  <c r="CO25" i="2"/>
  <c r="CO27" i="2"/>
  <c r="CO26" i="2"/>
  <c r="CL46" i="2"/>
  <c r="CL44" i="2"/>
  <c r="CL43" i="2"/>
  <c r="CL45" i="2"/>
  <c r="CL42" i="2"/>
  <c r="AV59" i="2"/>
  <c r="AV69" i="2"/>
  <c r="AW59" i="2"/>
  <c r="AW69" i="2"/>
  <c r="AX67" i="2"/>
  <c r="AZ55" i="2"/>
  <c r="AZ63" i="2"/>
  <c r="CM40" i="2"/>
  <c r="CR4" i="2"/>
  <c r="CQ7" i="2"/>
  <c r="CQ17" i="2" s="1"/>
  <c r="BM55" i="2"/>
  <c r="BM63" i="2"/>
  <c r="BG50" i="2"/>
  <c r="BG64" i="2"/>
  <c r="BG67" i="2"/>
  <c r="BO50" i="2"/>
  <c r="BO67" i="2"/>
  <c r="BO64" i="2"/>
  <c r="BH55" i="2"/>
  <c r="BH63" i="2"/>
  <c r="BF48" i="2"/>
  <c r="BF106" i="2" s="1"/>
  <c r="BF25" i="2"/>
  <c r="BF23" i="2"/>
  <c r="BF27" i="2"/>
  <c r="BF26" i="2"/>
  <c r="BF24" i="2"/>
  <c r="BN21" i="2"/>
  <c r="BN48" i="2"/>
  <c r="BN26" i="2"/>
  <c r="BN27" i="2"/>
  <c r="BN23" i="2"/>
  <c r="BN24" i="2"/>
  <c r="BN25" i="2"/>
  <c r="BJ27" i="2"/>
  <c r="BJ23" i="2"/>
  <c r="BJ48" i="2"/>
  <c r="BJ24" i="2"/>
  <c r="BJ25" i="2"/>
  <c r="BJ26" i="2"/>
  <c r="BB21" i="2"/>
  <c r="BB23" i="2"/>
  <c r="BB48" i="2"/>
  <c r="BB106" i="2" s="1"/>
  <c r="BB27" i="2"/>
  <c r="BB24" i="2"/>
  <c r="BB25" i="2"/>
  <c r="BB26" i="2"/>
  <c r="BF21" i="2"/>
  <c r="BJ21" i="2"/>
  <c r="CL106" i="2" l="1"/>
  <c r="CL21" i="2"/>
  <c r="CO48" i="2"/>
  <c r="BJ106" i="2"/>
  <c r="BA108" i="2"/>
  <c r="BA109" i="2"/>
  <c r="CP48" i="2"/>
  <c r="BN106" i="2"/>
  <c r="CO66" i="2"/>
  <c r="CP64" i="2"/>
  <c r="CL64" i="2"/>
  <c r="CL66" i="2"/>
  <c r="CL65" i="2"/>
  <c r="BB65" i="2"/>
  <c r="BB66" i="2"/>
  <c r="BN65" i="2"/>
  <c r="BN66" i="2"/>
  <c r="BF65" i="2"/>
  <c r="BF66" i="2"/>
  <c r="BJ65" i="2"/>
  <c r="BJ66" i="2"/>
  <c r="CL67" i="2"/>
  <c r="BB50" i="2"/>
  <c r="CM50" i="2" s="1"/>
  <c r="BB64" i="2"/>
  <c r="BB67" i="2"/>
  <c r="BL57" i="2"/>
  <c r="BL68" i="2"/>
  <c r="BA70" i="2"/>
  <c r="BA61" i="2"/>
  <c r="BA111" i="2"/>
  <c r="CQ12" i="2"/>
  <c r="AV61" i="2"/>
  <c r="AV70" i="2"/>
  <c r="AV111" i="2"/>
  <c r="CM48" i="2"/>
  <c r="CM106" i="2" s="1"/>
  <c r="BI57" i="2"/>
  <c r="BI68" i="2"/>
  <c r="AW111" i="2"/>
  <c r="AW70" i="2"/>
  <c r="AW61" i="2"/>
  <c r="AZ68" i="2"/>
  <c r="AZ57" i="2"/>
  <c r="BD57" i="2"/>
  <c r="BD68" i="2"/>
  <c r="BK55" i="2"/>
  <c r="BK63" i="2"/>
  <c r="BM57" i="2"/>
  <c r="BM68" i="2"/>
  <c r="CS8" i="2"/>
  <c r="CS4" i="2"/>
  <c r="CR7" i="2"/>
  <c r="CR17" i="2" s="1"/>
  <c r="BF50" i="2"/>
  <c r="CN50" i="2" s="1"/>
  <c r="BF64" i="2"/>
  <c r="BF67" i="2"/>
  <c r="BN50" i="2"/>
  <c r="BN64" i="2"/>
  <c r="BN67" i="2"/>
  <c r="CL50" i="2"/>
  <c r="CL63" i="2" s="1"/>
  <c r="AU63" i="2"/>
  <c r="AU55" i="2"/>
  <c r="CN48" i="2"/>
  <c r="CN106" i="2" s="1"/>
  <c r="AX55" i="2"/>
  <c r="AX63" i="2"/>
  <c r="BO55" i="2"/>
  <c r="BO63" i="2"/>
  <c r="AY63" i="2"/>
  <c r="AY55" i="2"/>
  <c r="BJ50" i="2"/>
  <c r="CO50" i="2" s="1"/>
  <c r="CO63" i="2" s="1"/>
  <c r="BJ64" i="2"/>
  <c r="BJ67" i="2"/>
  <c r="BG63" i="2"/>
  <c r="BG55" i="2"/>
  <c r="BH68" i="2"/>
  <c r="BH57" i="2"/>
  <c r="BE57" i="2"/>
  <c r="BE68" i="2"/>
  <c r="BC63" i="2"/>
  <c r="BC55" i="2"/>
  <c r="CB3" i="2"/>
  <c r="CC3" i="2" s="1"/>
  <c r="CD3" i="2" s="1"/>
  <c r="CE3" i="2" s="1"/>
  <c r="CF3" i="2" s="1"/>
  <c r="CG3" i="2" s="1"/>
  <c r="CH3" i="2" s="1"/>
  <c r="CI3" i="2" s="1"/>
  <c r="CJ3" i="2" s="1"/>
  <c r="CK3" i="2" s="1"/>
  <c r="CL3" i="2" s="1"/>
  <c r="CM3" i="2" s="1"/>
  <c r="CN3" i="2" s="1"/>
  <c r="CO3" i="2" s="1"/>
  <c r="CP3" i="2" s="1"/>
  <c r="CQ3" i="2" s="1"/>
  <c r="CR3" i="2" s="1"/>
  <c r="CS3" i="2" s="1"/>
  <c r="CT3" i="2" s="1"/>
  <c r="CU3" i="2" s="1"/>
  <c r="CV3" i="2" s="1"/>
  <c r="CW3" i="2" s="1"/>
  <c r="CX3" i="2" s="1"/>
  <c r="CY3" i="2" s="1"/>
  <c r="CZ3" i="2" s="1"/>
  <c r="DA3" i="2" s="1"/>
  <c r="DB3" i="2" s="1"/>
  <c r="DC3" i="2" s="1"/>
  <c r="DD3" i="2" s="1"/>
  <c r="DE3" i="2" s="1"/>
  <c r="DF3" i="2" s="1"/>
  <c r="DG3" i="2" s="1"/>
  <c r="DH3" i="2" s="1"/>
  <c r="DI3" i="2" s="1"/>
  <c r="DJ3" i="2" s="1"/>
  <c r="DK3" i="2" s="1"/>
  <c r="DL3" i="2" s="1"/>
  <c r="DM3" i="2" s="1"/>
  <c r="DN3" i="2" s="1"/>
  <c r="DO3" i="2" s="1"/>
  <c r="DP3" i="2" s="1"/>
  <c r="DQ3" i="2" s="1"/>
  <c r="DR3" i="2" s="1"/>
  <c r="DS3" i="2" s="1"/>
  <c r="DT3" i="2" s="1"/>
  <c r="DU3" i="2" s="1"/>
  <c r="DV3" i="2" s="1"/>
  <c r="DW3" i="2" s="1"/>
  <c r="DX3" i="2" s="1"/>
  <c r="DY3" i="2" s="1"/>
  <c r="DZ3" i="2" s="1"/>
  <c r="EA3" i="2" s="1"/>
  <c r="EB3" i="2" s="1"/>
  <c r="EC3" i="2" s="1"/>
  <c r="ED3" i="2" s="1"/>
  <c r="EE3" i="2" s="1"/>
  <c r="EF3" i="2" s="1"/>
  <c r="EG3" i="2" s="1"/>
  <c r="EH3" i="2" s="1"/>
  <c r="EI3" i="2" s="1"/>
  <c r="EJ3" i="2" s="1"/>
  <c r="EK3" i="2" s="1"/>
  <c r="EL3" i="2" s="1"/>
  <c r="EM3" i="2" s="1"/>
  <c r="EN3" i="2" s="1"/>
  <c r="EO3" i="2" s="1"/>
  <c r="EP3" i="2" s="1"/>
  <c r="EQ3" i="2" s="1"/>
  <c r="ER3" i="2" s="1"/>
  <c r="ES3" i="2" s="1"/>
  <c r="ET3" i="2" s="1"/>
  <c r="EU3" i="2" s="1"/>
  <c r="EV3" i="2" s="1"/>
  <c r="EW3" i="2" s="1"/>
  <c r="EX3" i="2" s="1"/>
  <c r="T220" i="3"/>
  <c r="CQ48" i="2" l="1"/>
  <c r="CQ51" i="2" s="1"/>
  <c r="CQ21" i="2"/>
  <c r="CM63" i="2"/>
  <c r="CP65" i="2"/>
  <c r="CP106" i="2"/>
  <c r="CP67" i="2"/>
  <c r="CO64" i="2"/>
  <c r="CO106" i="2"/>
  <c r="CP66" i="2"/>
  <c r="CO65" i="2"/>
  <c r="CO67" i="2"/>
  <c r="CM66" i="2"/>
  <c r="CM65" i="2"/>
  <c r="CN63" i="2"/>
  <c r="CN66" i="2"/>
  <c r="CN65" i="2"/>
  <c r="C5" i="1"/>
  <c r="C8" i="1" s="1"/>
  <c r="CZ82" i="2"/>
  <c r="CR12" i="2"/>
  <c r="CR48" i="2" s="1"/>
  <c r="CQ49" i="2"/>
  <c r="CQ50" i="2" s="1"/>
  <c r="CQ53" i="2"/>
  <c r="CQ52" i="2"/>
  <c r="BG57" i="2"/>
  <c r="BG68" i="2"/>
  <c r="CT4" i="2"/>
  <c r="CS7" i="2"/>
  <c r="CS17" i="2" s="1"/>
  <c r="BO57" i="2"/>
  <c r="BO68" i="2"/>
  <c r="AZ59" i="2"/>
  <c r="AZ69" i="2"/>
  <c r="BN55" i="2"/>
  <c r="BN63" i="2"/>
  <c r="CM64" i="2"/>
  <c r="CM67" i="2"/>
  <c r="BE59" i="2"/>
  <c r="BE69" i="2"/>
  <c r="BJ55" i="2"/>
  <c r="CO55" i="2" s="1"/>
  <c r="CO68" i="2" s="1"/>
  <c r="BJ63" i="2"/>
  <c r="CN64" i="2"/>
  <c r="CN67" i="2"/>
  <c r="BD59" i="2"/>
  <c r="BD69" i="2"/>
  <c r="AX57" i="2"/>
  <c r="AX68" i="2"/>
  <c r="BM59" i="2"/>
  <c r="BM69" i="2"/>
  <c r="CL55" i="2"/>
  <c r="CL68" i="2" s="1"/>
  <c r="AU68" i="2"/>
  <c r="AU57" i="2"/>
  <c r="BI59" i="2"/>
  <c r="BI69" i="2"/>
  <c r="BC57" i="2"/>
  <c r="BC68" i="2"/>
  <c r="CT8" i="2"/>
  <c r="BL59" i="2"/>
  <c r="BL69" i="2"/>
  <c r="BH59" i="2"/>
  <c r="BH69" i="2"/>
  <c r="AY57" i="2"/>
  <c r="AY68" i="2"/>
  <c r="BF55" i="2"/>
  <c r="CN55" i="2" s="1"/>
  <c r="CN68" i="2" s="1"/>
  <c r="BF63" i="2"/>
  <c r="CP50" i="2"/>
  <c r="CP63" i="2" s="1"/>
  <c r="BK68" i="2"/>
  <c r="BK57" i="2"/>
  <c r="BB55" i="2"/>
  <c r="BB63" i="2"/>
  <c r="BM108" i="2" l="1"/>
  <c r="BM109" i="2"/>
  <c r="AZ109" i="2"/>
  <c r="AZ108" i="2"/>
  <c r="BI109" i="2"/>
  <c r="BI108" i="2"/>
  <c r="BL109" i="2"/>
  <c r="BL108" i="2"/>
  <c r="BE108" i="2"/>
  <c r="BE109" i="2"/>
  <c r="BH109" i="2"/>
  <c r="BH108" i="2"/>
  <c r="BD109" i="2"/>
  <c r="BD108" i="2"/>
  <c r="CR21" i="2"/>
  <c r="CS12" i="2"/>
  <c r="CS21" i="2" s="1"/>
  <c r="CQ54" i="2"/>
  <c r="CQ55" i="2"/>
  <c r="CR52" i="2"/>
  <c r="CR51" i="2"/>
  <c r="CR49" i="2"/>
  <c r="CR50" i="2" s="1"/>
  <c r="CR53" i="2"/>
  <c r="BN57" i="2"/>
  <c r="CP57" i="2" s="1"/>
  <c r="CP69" i="2" s="1"/>
  <c r="BN68" i="2"/>
  <c r="BM111" i="2"/>
  <c r="BM70" i="2"/>
  <c r="BM61" i="2"/>
  <c r="AZ70" i="2"/>
  <c r="AZ111" i="2"/>
  <c r="AZ61" i="2"/>
  <c r="BE61" i="2"/>
  <c r="BE70" i="2"/>
  <c r="BE111" i="2"/>
  <c r="CT7" i="2"/>
  <c r="CT17" i="2" s="1"/>
  <c r="CU4" i="2"/>
  <c r="BK59" i="2"/>
  <c r="BK69" i="2"/>
  <c r="AY59" i="2"/>
  <c r="AY69" i="2"/>
  <c r="BG59" i="2"/>
  <c r="BG69" i="2"/>
  <c r="CP55" i="2"/>
  <c r="BH70" i="2"/>
  <c r="BH111" i="2"/>
  <c r="BH61" i="2"/>
  <c r="BJ57" i="2"/>
  <c r="CO57" i="2" s="1"/>
  <c r="CO69" i="2" s="1"/>
  <c r="BJ68" i="2"/>
  <c r="BC59" i="2"/>
  <c r="BC69" i="2"/>
  <c r="BL61" i="2"/>
  <c r="BL70" i="2"/>
  <c r="BL111" i="2"/>
  <c r="AX59" i="2"/>
  <c r="AX69" i="2"/>
  <c r="BO59" i="2"/>
  <c r="BO69" i="2"/>
  <c r="BF57" i="2"/>
  <c r="BF68" i="2"/>
  <c r="BI70" i="2"/>
  <c r="BI61" i="2"/>
  <c r="BI111" i="2"/>
  <c r="CU8" i="2"/>
  <c r="AU59" i="2"/>
  <c r="CL57" i="2"/>
  <c r="CL69" i="2" s="1"/>
  <c r="AU69" i="2"/>
  <c r="BD61" i="2"/>
  <c r="BD70" i="2"/>
  <c r="BD111" i="2"/>
  <c r="BB57" i="2"/>
  <c r="BB68" i="2"/>
  <c r="CM55" i="2"/>
  <c r="CM68" i="2" s="1"/>
  <c r="C55" i="2"/>
  <c r="O55" i="2"/>
  <c r="AI55" i="2"/>
  <c r="H55" i="2"/>
  <c r="AC55" i="2"/>
  <c r="U55" i="2"/>
  <c r="AS55" i="2"/>
  <c r="M55" i="2"/>
  <c r="I55" i="2"/>
  <c r="N55" i="2"/>
  <c r="Q55" i="2"/>
  <c r="F55" i="2"/>
  <c r="W55" i="2"/>
  <c r="AM55" i="2"/>
  <c r="AJ55" i="2"/>
  <c r="AL55" i="2"/>
  <c r="Z55" i="2"/>
  <c r="S55" i="2"/>
  <c r="Y55" i="2"/>
  <c r="AB55" i="2"/>
  <c r="J55" i="2"/>
  <c r="AR55" i="2"/>
  <c r="AP55" i="2"/>
  <c r="G55" i="2"/>
  <c r="AD55" i="2"/>
  <c r="T55" i="2"/>
  <c r="AE55" i="2"/>
  <c r="K55" i="2"/>
  <c r="AO55" i="2"/>
  <c r="AN55" i="2"/>
  <c r="AF55" i="2"/>
  <c r="D55" i="2"/>
  <c r="AK55" i="2"/>
  <c r="AH55" i="2"/>
  <c r="AQ55" i="2"/>
  <c r="R55" i="2"/>
  <c r="E55" i="2"/>
  <c r="V55" i="2"/>
  <c r="L55" i="2"/>
  <c r="P55" i="2"/>
  <c r="X55" i="2"/>
  <c r="AA55" i="2"/>
  <c r="AT55" i="2"/>
  <c r="AG55" i="2"/>
  <c r="BC108" i="2" l="1"/>
  <c r="BC109" i="2"/>
  <c r="BK109" i="2"/>
  <c r="BK108" i="2"/>
  <c r="BG108" i="2"/>
  <c r="BG109" i="2"/>
  <c r="BO108" i="2"/>
  <c r="BO109" i="2"/>
  <c r="AY108" i="2"/>
  <c r="AY109" i="2"/>
  <c r="AX109" i="2"/>
  <c r="AX108" i="2"/>
  <c r="CP68" i="2"/>
  <c r="CR76" i="2"/>
  <c r="CR77" i="2" s="1"/>
  <c r="CS48" i="2"/>
  <c r="CR55" i="2"/>
  <c r="CR68" i="2" s="1"/>
  <c r="CR54" i="2"/>
  <c r="CQ68" i="2"/>
  <c r="CQ57" i="2"/>
  <c r="CQ58" i="2" s="1"/>
  <c r="CQ59" i="2" s="1"/>
  <c r="CQ72" i="2" s="1"/>
  <c r="CT12" i="2"/>
  <c r="CT21" i="2" s="1"/>
  <c r="CU7" i="2"/>
  <c r="CU17" i="2" s="1"/>
  <c r="CV4" i="2"/>
  <c r="BB59" i="2"/>
  <c r="BB69" i="2"/>
  <c r="BG111" i="2"/>
  <c r="BG70" i="2"/>
  <c r="BG61" i="2"/>
  <c r="BO70" i="2"/>
  <c r="BO61" i="2"/>
  <c r="BO111" i="2"/>
  <c r="BC70" i="2"/>
  <c r="BC111" i="2"/>
  <c r="BC61" i="2"/>
  <c r="CV8" i="2"/>
  <c r="AX111" i="2"/>
  <c r="AX70" i="2"/>
  <c r="AX61" i="2"/>
  <c r="BJ59" i="2"/>
  <c r="BJ69" i="2"/>
  <c r="CM57" i="2"/>
  <c r="CM69" i="2" s="1"/>
  <c r="BF59" i="2"/>
  <c r="BF69" i="2"/>
  <c r="BN59" i="2"/>
  <c r="BN69" i="2"/>
  <c r="AU111" i="2"/>
  <c r="CL59" i="2"/>
  <c r="AU70" i="2"/>
  <c r="AU61" i="2"/>
  <c r="CN57" i="2"/>
  <c r="CN69" i="2" s="1"/>
  <c r="BK70" i="2"/>
  <c r="BK61" i="2"/>
  <c r="BK111" i="2"/>
  <c r="AY111" i="2"/>
  <c r="AY70" i="2"/>
  <c r="AY61" i="2"/>
  <c r="V57" i="2"/>
  <c r="V68" i="2"/>
  <c r="AG57" i="2"/>
  <c r="AG68" i="2"/>
  <c r="AC57" i="2"/>
  <c r="AC68" i="2"/>
  <c r="AQ57" i="2"/>
  <c r="CK55" i="2"/>
  <c r="CK68" i="2" s="1"/>
  <c r="AQ68" i="2"/>
  <c r="AI57" i="2"/>
  <c r="CI55" i="2"/>
  <c r="CI68" i="2" s="1"/>
  <c r="AI68" i="2"/>
  <c r="AR57" i="2"/>
  <c r="AR68" i="2"/>
  <c r="E57" i="2"/>
  <c r="E68" i="2"/>
  <c r="R57" i="2"/>
  <c r="R68" i="2"/>
  <c r="H57" i="2"/>
  <c r="H68" i="2"/>
  <c r="AA57" i="2"/>
  <c r="CG55" i="2"/>
  <c r="CG68" i="2" s="1"/>
  <c r="AA68" i="2"/>
  <c r="N57" i="2"/>
  <c r="N68" i="2"/>
  <c r="O57" i="2"/>
  <c r="CD55" i="2"/>
  <c r="CD68" i="2" s="1"/>
  <c r="O68" i="2"/>
  <c r="U57" i="2"/>
  <c r="U68" i="2"/>
  <c r="W57" i="2"/>
  <c r="CF55" i="2"/>
  <c r="CF68" i="2" s="1"/>
  <c r="W68" i="2"/>
  <c r="K57" i="2"/>
  <c r="CC55" i="2"/>
  <c r="CC68" i="2" s="1"/>
  <c r="K68" i="2"/>
  <c r="AT57" i="2"/>
  <c r="AT68" i="2"/>
  <c r="Y57" i="2"/>
  <c r="Y68" i="2"/>
  <c r="S57" i="2"/>
  <c r="CE55" i="2"/>
  <c r="CE68" i="2" s="1"/>
  <c r="S68" i="2"/>
  <c r="AK57" i="2"/>
  <c r="AK68" i="2"/>
  <c r="AD57" i="2"/>
  <c r="AD68" i="2"/>
  <c r="Z57" i="2"/>
  <c r="Z68" i="2"/>
  <c r="I57" i="2"/>
  <c r="I68" i="2"/>
  <c r="AN57" i="2"/>
  <c r="AN68" i="2"/>
  <c r="AO57" i="2"/>
  <c r="AO68" i="2"/>
  <c r="F57" i="2"/>
  <c r="F68" i="2"/>
  <c r="AE57" i="2"/>
  <c r="CH55" i="2"/>
  <c r="CH68" i="2" s="1"/>
  <c r="AE68" i="2"/>
  <c r="AH57" i="2"/>
  <c r="AH68" i="2"/>
  <c r="X57" i="2"/>
  <c r="X68" i="2"/>
  <c r="P57" i="2"/>
  <c r="P68" i="2"/>
  <c r="D57" i="2"/>
  <c r="D68" i="2"/>
  <c r="G57" i="2"/>
  <c r="CB55" i="2"/>
  <c r="CB68" i="2" s="1"/>
  <c r="G68" i="2"/>
  <c r="AL57" i="2"/>
  <c r="AL68" i="2"/>
  <c r="M57" i="2"/>
  <c r="M68" i="2"/>
  <c r="C57" i="2"/>
  <c r="CA55" i="2"/>
  <c r="CA68" i="2" s="1"/>
  <c r="C68" i="2"/>
  <c r="AM57" i="2"/>
  <c r="CJ55" i="2"/>
  <c r="CJ68" i="2" s="1"/>
  <c r="AM68" i="2"/>
  <c r="J57" i="2"/>
  <c r="J68" i="2"/>
  <c r="AB57" i="2"/>
  <c r="AB68" i="2"/>
  <c r="Q57" i="2"/>
  <c r="Q68" i="2"/>
  <c r="T57" i="2"/>
  <c r="T68" i="2"/>
  <c r="L57" i="2"/>
  <c r="L68" i="2"/>
  <c r="AF57" i="2"/>
  <c r="AF68" i="2"/>
  <c r="AP57" i="2"/>
  <c r="AP68" i="2"/>
  <c r="AJ57" i="2"/>
  <c r="AJ68" i="2"/>
  <c r="AS57" i="2"/>
  <c r="AS68" i="2"/>
  <c r="CS52" i="2" l="1"/>
  <c r="CL70" i="2"/>
  <c r="CL108" i="2"/>
  <c r="CL109" i="2"/>
  <c r="CP59" i="2"/>
  <c r="BN109" i="2"/>
  <c r="BN108" i="2"/>
  <c r="CO59" i="2"/>
  <c r="BJ108" i="2"/>
  <c r="BJ109" i="2"/>
  <c r="CN59" i="2"/>
  <c r="BF109" i="2"/>
  <c r="BF108" i="2"/>
  <c r="CS53" i="2"/>
  <c r="CL111" i="2"/>
  <c r="CM59" i="2"/>
  <c r="BB109" i="2"/>
  <c r="BB108" i="2"/>
  <c r="CS49" i="2"/>
  <c r="CS50" i="2" s="1"/>
  <c r="CS51" i="2"/>
  <c r="CR57" i="2"/>
  <c r="CR58" i="2" s="1"/>
  <c r="CR59" i="2" s="1"/>
  <c r="CR72" i="2" s="1"/>
  <c r="CT48" i="2"/>
  <c r="CQ61" i="2"/>
  <c r="CQ70" i="2"/>
  <c r="BJ70" i="2"/>
  <c r="BJ111" i="2"/>
  <c r="CO111" i="2" s="1"/>
  <c r="BJ61" i="2"/>
  <c r="BB70" i="2"/>
  <c r="BB61" i="2"/>
  <c r="BB111" i="2"/>
  <c r="CM111" i="2" s="1"/>
  <c r="BF70" i="2"/>
  <c r="BF61" i="2"/>
  <c r="BF111" i="2"/>
  <c r="CN111" i="2" s="1"/>
  <c r="CW4" i="2"/>
  <c r="CV7" i="2"/>
  <c r="CV17" i="2" s="1"/>
  <c r="BN70" i="2"/>
  <c r="BN61" i="2"/>
  <c r="BN111" i="2"/>
  <c r="CP111" i="2" s="1"/>
  <c r="CU12" i="2"/>
  <c r="CW8" i="2"/>
  <c r="CL61" i="2"/>
  <c r="G59" i="2"/>
  <c r="CB57" i="2"/>
  <c r="CB69" i="2" s="1"/>
  <c r="G69" i="2"/>
  <c r="AH59" i="2"/>
  <c r="AH69" i="2"/>
  <c r="Y59" i="2"/>
  <c r="Y69" i="2"/>
  <c r="W59" i="2"/>
  <c r="CF57" i="2"/>
  <c r="CF69" i="2" s="1"/>
  <c r="W69" i="2"/>
  <c r="E59" i="2"/>
  <c r="E69" i="2"/>
  <c r="AQ59" i="2"/>
  <c r="CK57" i="2"/>
  <c r="CK69" i="2" s="1"/>
  <c r="AQ69" i="2"/>
  <c r="AF59" i="2"/>
  <c r="AF69" i="2"/>
  <c r="AB59" i="2"/>
  <c r="AB69" i="2"/>
  <c r="C59" i="2"/>
  <c r="CA57" i="2"/>
  <c r="CA69" i="2" s="1"/>
  <c r="C69" i="2"/>
  <c r="AN59" i="2"/>
  <c r="AN69" i="2"/>
  <c r="AD59" i="2"/>
  <c r="AD69" i="2"/>
  <c r="Z59" i="2"/>
  <c r="Z69" i="2"/>
  <c r="D59" i="2"/>
  <c r="D69" i="2"/>
  <c r="AT59" i="2"/>
  <c r="AT69" i="2"/>
  <c r="U59" i="2"/>
  <c r="U69" i="2"/>
  <c r="AA59" i="2"/>
  <c r="CG57" i="2"/>
  <c r="CG69" i="2" s="1"/>
  <c r="AA69" i="2"/>
  <c r="AR59" i="2"/>
  <c r="AR69" i="2"/>
  <c r="AC59" i="2"/>
  <c r="AC69" i="2"/>
  <c r="AP59" i="2"/>
  <c r="AP69" i="2"/>
  <c r="AS59" i="2"/>
  <c r="AS69" i="2"/>
  <c r="L59" i="2"/>
  <c r="L69" i="2"/>
  <c r="J59" i="2"/>
  <c r="J69" i="2"/>
  <c r="M59" i="2"/>
  <c r="M69" i="2"/>
  <c r="AE59" i="2"/>
  <c r="CH57" i="2"/>
  <c r="CH69" i="2" s="1"/>
  <c r="AE69" i="2"/>
  <c r="AK59" i="2"/>
  <c r="AK69" i="2"/>
  <c r="AO59" i="2"/>
  <c r="AO69" i="2"/>
  <c r="P59" i="2"/>
  <c r="P69" i="2"/>
  <c r="H59" i="2"/>
  <c r="H69" i="2"/>
  <c r="AG59" i="2"/>
  <c r="AG69" i="2"/>
  <c r="Q59" i="2"/>
  <c r="Q69" i="2"/>
  <c r="N59" i="2"/>
  <c r="N69" i="2"/>
  <c r="AJ59" i="2"/>
  <c r="AJ69" i="2"/>
  <c r="T59" i="2"/>
  <c r="T69" i="2"/>
  <c r="AL59" i="2"/>
  <c r="AL69" i="2"/>
  <c r="F59" i="2"/>
  <c r="F69" i="2"/>
  <c r="I59" i="2"/>
  <c r="I69" i="2"/>
  <c r="K59" i="2"/>
  <c r="CC57" i="2"/>
  <c r="CC69" i="2" s="1"/>
  <c r="K69" i="2"/>
  <c r="O59" i="2"/>
  <c r="CD57" i="2"/>
  <c r="CD69" i="2" s="1"/>
  <c r="O69" i="2"/>
  <c r="AI59" i="2"/>
  <c r="CI57" i="2"/>
  <c r="CI69" i="2" s="1"/>
  <c r="AI69" i="2"/>
  <c r="AM59" i="2"/>
  <c r="CJ57" i="2"/>
  <c r="CJ69" i="2" s="1"/>
  <c r="AM69" i="2"/>
  <c r="X59" i="2"/>
  <c r="X69" i="2"/>
  <c r="S59" i="2"/>
  <c r="CE57" i="2"/>
  <c r="CE69" i="2" s="1"/>
  <c r="S69" i="2"/>
  <c r="R59" i="2"/>
  <c r="R69" i="2"/>
  <c r="V59" i="2"/>
  <c r="V69" i="2"/>
  <c r="CS54" i="2" l="1"/>
  <c r="CT51" i="2"/>
  <c r="CM70" i="2"/>
  <c r="CM108" i="2"/>
  <c r="CM109" i="2"/>
  <c r="CO70" i="2"/>
  <c r="CO109" i="2"/>
  <c r="CO108" i="2"/>
  <c r="CP70" i="2"/>
  <c r="CP108" i="2"/>
  <c r="CP109" i="2"/>
  <c r="CN70" i="2"/>
  <c r="CN108" i="2"/>
  <c r="CN109" i="2"/>
  <c r="CN61" i="2"/>
  <c r="CM61" i="2"/>
  <c r="CS55" i="2"/>
  <c r="CS57" i="2" s="1"/>
  <c r="CS58" i="2" s="1"/>
  <c r="CS59" i="2" s="1"/>
  <c r="CS72" i="2" s="1"/>
  <c r="CT53" i="2"/>
  <c r="CR70" i="2"/>
  <c r="CR61" i="2"/>
  <c r="CT52" i="2"/>
  <c r="CT49" i="2"/>
  <c r="CT50" i="2" s="1"/>
  <c r="CO61" i="2"/>
  <c r="CV12" i="2"/>
  <c r="CV21" i="2" s="1"/>
  <c r="CX8" i="2"/>
  <c r="CW7" i="2"/>
  <c r="CW17" i="2" s="1"/>
  <c r="CX4" i="2"/>
  <c r="CU21" i="2"/>
  <c r="CU48" i="2"/>
  <c r="CP61" i="2"/>
  <c r="L61" i="2"/>
  <c r="L70" i="2"/>
  <c r="L111" i="2"/>
  <c r="D61" i="2"/>
  <c r="D70" i="2"/>
  <c r="D111" i="2"/>
  <c r="C61" i="2"/>
  <c r="CA59" i="2"/>
  <c r="CA70" i="2" s="1"/>
  <c r="C70" i="2"/>
  <c r="C111" i="2"/>
  <c r="Y61" i="2"/>
  <c r="Y70" i="2"/>
  <c r="Y111" i="2"/>
  <c r="N61" i="2"/>
  <c r="N70" i="2"/>
  <c r="N111" i="2"/>
  <c r="AL61" i="2"/>
  <c r="AL70" i="2"/>
  <c r="AL111" i="2"/>
  <c r="Q61" i="2"/>
  <c r="Q70" i="2"/>
  <c r="Q111" i="2"/>
  <c r="AO61" i="2"/>
  <c r="AO70" i="2"/>
  <c r="AO111" i="2"/>
  <c r="AA61" i="2"/>
  <c r="CG59" i="2"/>
  <c r="CG70" i="2" s="1"/>
  <c r="AA70" i="2"/>
  <c r="AA111" i="2"/>
  <c r="Z61" i="2"/>
  <c r="Z70" i="2"/>
  <c r="Z111" i="2"/>
  <c r="AQ61" i="2"/>
  <c r="CK59" i="2"/>
  <c r="CK70" i="2" s="1"/>
  <c r="AQ70" i="2"/>
  <c r="AQ111" i="2"/>
  <c r="F61" i="2"/>
  <c r="F70" i="2"/>
  <c r="F111" i="2"/>
  <c r="R61" i="2"/>
  <c r="R70" i="2"/>
  <c r="R111" i="2"/>
  <c r="M61" i="2"/>
  <c r="M70" i="2"/>
  <c r="M111" i="2"/>
  <c r="AP61" i="2"/>
  <c r="AP70" i="2"/>
  <c r="AP111" i="2"/>
  <c r="AB61" i="2"/>
  <c r="AB70" i="2"/>
  <c r="AB111" i="2"/>
  <c r="AH61" i="2"/>
  <c r="AH70" i="2"/>
  <c r="AH111" i="2"/>
  <c r="AR61" i="2"/>
  <c r="AR70" i="2"/>
  <c r="AR111" i="2"/>
  <c r="P61" i="2"/>
  <c r="P111" i="2"/>
  <c r="P70" i="2"/>
  <c r="AS61" i="2"/>
  <c r="AS70" i="2"/>
  <c r="AS111" i="2"/>
  <c r="K61" i="2"/>
  <c r="CC59" i="2"/>
  <c r="CC70" i="2" s="1"/>
  <c r="K70" i="2"/>
  <c r="K111" i="2"/>
  <c r="T61" i="2"/>
  <c r="T70" i="2"/>
  <c r="T111" i="2"/>
  <c r="AG61" i="2"/>
  <c r="AG70" i="2"/>
  <c r="AG111" i="2"/>
  <c r="AK61" i="2"/>
  <c r="AK70" i="2"/>
  <c r="AK111" i="2"/>
  <c r="U61" i="2"/>
  <c r="U70" i="2"/>
  <c r="U111" i="2"/>
  <c r="AD61" i="2"/>
  <c r="AD70" i="2"/>
  <c r="AD111" i="2"/>
  <c r="E61" i="2"/>
  <c r="E70" i="2"/>
  <c r="E111" i="2"/>
  <c r="X61" i="2"/>
  <c r="X111" i="2"/>
  <c r="X70" i="2"/>
  <c r="O61" i="2"/>
  <c r="CD59" i="2"/>
  <c r="CD70" i="2" s="1"/>
  <c r="O111" i="2"/>
  <c r="O70" i="2"/>
  <c r="J61" i="2"/>
  <c r="J70" i="2"/>
  <c r="J111" i="2"/>
  <c r="AC61" i="2"/>
  <c r="AC70" i="2"/>
  <c r="AC111" i="2"/>
  <c r="AF61" i="2"/>
  <c r="AF111" i="2"/>
  <c r="AF70" i="2"/>
  <c r="W61" i="2"/>
  <c r="CF59" i="2"/>
  <c r="CF70" i="2" s="1"/>
  <c r="W111" i="2"/>
  <c r="W70" i="2"/>
  <c r="V61" i="2"/>
  <c r="V70" i="2"/>
  <c r="V111" i="2"/>
  <c r="AE61" i="2"/>
  <c r="CH59" i="2"/>
  <c r="CH70" i="2" s="1"/>
  <c r="AE111" i="2"/>
  <c r="AE70" i="2"/>
  <c r="AM61" i="2"/>
  <c r="CJ59" i="2"/>
  <c r="CJ70" i="2" s="1"/>
  <c r="AM111" i="2"/>
  <c r="AM70" i="2"/>
  <c r="S61" i="2"/>
  <c r="CE59" i="2"/>
  <c r="CE70" i="2" s="1"/>
  <c r="S70" i="2"/>
  <c r="S111" i="2"/>
  <c r="AI61" i="2"/>
  <c r="CI59" i="2"/>
  <c r="CI70" i="2" s="1"/>
  <c r="AI70" i="2"/>
  <c r="AI111" i="2"/>
  <c r="I61" i="2"/>
  <c r="I70" i="2"/>
  <c r="I111" i="2"/>
  <c r="AJ61" i="2"/>
  <c r="AJ70" i="2"/>
  <c r="AJ111" i="2"/>
  <c r="H61" i="2"/>
  <c r="H70" i="2"/>
  <c r="H111" i="2"/>
  <c r="AT61" i="2"/>
  <c r="AT70" i="2"/>
  <c r="AT111" i="2"/>
  <c r="AN61" i="2"/>
  <c r="AN111" i="2"/>
  <c r="AN70" i="2"/>
  <c r="G61" i="2"/>
  <c r="CB59" i="2"/>
  <c r="CB70" i="2" s="1"/>
  <c r="G111" i="2"/>
  <c r="G70" i="2"/>
  <c r="CT54" i="2" l="1"/>
  <c r="CI111" i="2"/>
  <c r="CG111" i="2"/>
  <c r="CK111" i="2"/>
  <c r="CD111" i="2"/>
  <c r="CC111" i="2"/>
  <c r="CA111" i="2"/>
  <c r="CJ111" i="2"/>
  <c r="CB111" i="2"/>
  <c r="CE111" i="2"/>
  <c r="CF111" i="2"/>
  <c r="CH111" i="2"/>
  <c r="CS68" i="2"/>
  <c r="CV48" i="2"/>
  <c r="CT55" i="2"/>
  <c r="CT57" i="2" s="1"/>
  <c r="CT58" i="2" s="1"/>
  <c r="CT59" i="2" s="1"/>
  <c r="CT72" i="2" s="1"/>
  <c r="CS61" i="2"/>
  <c r="CS70" i="2"/>
  <c r="CU51" i="2"/>
  <c r="CU52" i="2"/>
  <c r="CU53" i="2"/>
  <c r="CU49" i="2"/>
  <c r="CU50" i="2" s="1"/>
  <c r="CY4" i="2"/>
  <c r="CX7" i="2"/>
  <c r="CX17" i="2" s="1"/>
  <c r="CW12" i="2"/>
  <c r="CY8" i="2"/>
  <c r="CF61" i="2"/>
  <c r="CE61" i="2"/>
  <c r="CH61" i="2"/>
  <c r="CB61" i="2"/>
  <c r="CG61" i="2"/>
  <c r="CI61" i="2"/>
  <c r="CJ61" i="2"/>
  <c r="CD61" i="2"/>
  <c r="CK61" i="2"/>
  <c r="CC61" i="2"/>
  <c r="CA61" i="2"/>
  <c r="CV53" i="2" l="1"/>
  <c r="CT68" i="2"/>
  <c r="CV52" i="2"/>
  <c r="CV51" i="2"/>
  <c r="CV49" i="2"/>
  <c r="CV50" i="2" s="1"/>
  <c r="CU55" i="2"/>
  <c r="CT61" i="2"/>
  <c r="CT70" i="2"/>
  <c r="CU54" i="2"/>
  <c r="CZ8" i="2"/>
  <c r="CW21" i="2"/>
  <c r="CW48" i="2"/>
  <c r="CZ4" i="2"/>
  <c r="CZ7" i="2" s="1"/>
  <c r="CY7" i="2"/>
  <c r="CY17" i="2" s="1"/>
  <c r="CX12" i="2"/>
  <c r="CV55" i="2" l="1"/>
  <c r="CV68" i="2" s="1"/>
  <c r="CV54" i="2"/>
  <c r="CU57" i="2"/>
  <c r="CU58" i="2" s="1"/>
  <c r="CU59" i="2" s="1"/>
  <c r="CU72" i="2" s="1"/>
  <c r="CU68" i="2"/>
  <c r="CW53" i="2"/>
  <c r="CW49" i="2"/>
  <c r="CW50" i="2" s="1"/>
  <c r="CW52" i="2"/>
  <c r="CW51" i="2"/>
  <c r="CX21" i="2"/>
  <c r="CX48" i="2"/>
  <c r="CZ17" i="2"/>
  <c r="CY12" i="2"/>
  <c r="CZ12" i="2"/>
  <c r="CW54" i="2" l="1"/>
  <c r="CW67" i="2" s="1"/>
  <c r="CV57" i="2"/>
  <c r="CV58" i="2" s="1"/>
  <c r="CV59" i="2" s="1"/>
  <c r="CW55" i="2"/>
  <c r="CW68" i="2" s="1"/>
  <c r="CX53" i="2"/>
  <c r="CX49" i="2"/>
  <c r="CX50" i="2" s="1"/>
  <c r="CX52" i="2"/>
  <c r="CX51" i="2"/>
  <c r="CU61" i="2"/>
  <c r="CU70" i="2"/>
  <c r="CZ48" i="2"/>
  <c r="CZ21" i="2"/>
  <c r="CY21" i="2"/>
  <c r="CY48" i="2"/>
  <c r="CX54" i="2" l="1"/>
  <c r="CX67" i="2" s="1"/>
  <c r="CV61" i="2"/>
  <c r="CV72" i="2"/>
  <c r="CV70" i="2"/>
  <c r="CX55" i="2"/>
  <c r="CW57" i="2"/>
  <c r="CW58" i="2" s="1"/>
  <c r="CW59" i="2" s="1"/>
  <c r="CY53" i="2"/>
  <c r="CY49" i="2"/>
  <c r="CY50" i="2" s="1"/>
  <c r="CY52" i="2"/>
  <c r="CY51" i="2"/>
  <c r="CZ52" i="2"/>
  <c r="CZ53" i="2"/>
  <c r="CZ49" i="2"/>
  <c r="CZ50" i="2" s="1"/>
  <c r="CZ51" i="2"/>
  <c r="CW72" i="2" l="1"/>
  <c r="CX57" i="2"/>
  <c r="CX58" i="2" s="1"/>
  <c r="CX59" i="2" s="1"/>
  <c r="CX61" i="2" s="1"/>
  <c r="CY54" i="2"/>
  <c r="CY67" i="2" s="1"/>
  <c r="CW61" i="2"/>
  <c r="CY55" i="2"/>
  <c r="CY68" i="2" s="1"/>
  <c r="CX68" i="2"/>
  <c r="CW70" i="2"/>
  <c r="CZ54" i="2"/>
  <c r="CZ67" i="2" s="1"/>
  <c r="CZ55" i="2"/>
  <c r="CX72" i="2" l="1"/>
  <c r="CX70" i="2"/>
  <c r="CY57" i="2"/>
  <c r="CY58" i="2" s="1"/>
  <c r="CY59" i="2" s="1"/>
  <c r="CZ68" i="2"/>
  <c r="CY72" i="2" l="1"/>
  <c r="CZ57" i="2" s="1"/>
  <c r="CZ58" i="2" s="1"/>
  <c r="CZ59" i="2" s="1"/>
  <c r="CY70" i="2"/>
  <c r="CY61" i="2"/>
  <c r="CZ72" i="2" l="1"/>
  <c r="DA59" i="2"/>
  <c r="DB59" i="2" s="1"/>
  <c r="DC59" i="2" s="1"/>
  <c r="DD59" i="2" s="1"/>
  <c r="DE59" i="2" s="1"/>
  <c r="DF59" i="2" s="1"/>
  <c r="DG59" i="2" s="1"/>
  <c r="DH59" i="2" s="1"/>
  <c r="DI59" i="2" s="1"/>
  <c r="DJ59" i="2" s="1"/>
  <c r="DK59" i="2" s="1"/>
  <c r="DL59" i="2" s="1"/>
  <c r="DM59" i="2" s="1"/>
  <c r="DN59" i="2" s="1"/>
  <c r="DO59" i="2" s="1"/>
  <c r="DP59" i="2" s="1"/>
  <c r="DQ59" i="2" s="1"/>
  <c r="DR59" i="2" s="1"/>
  <c r="DS59" i="2" s="1"/>
  <c r="DT59" i="2" s="1"/>
  <c r="DU59" i="2" s="1"/>
  <c r="DV59" i="2" s="1"/>
  <c r="DW59" i="2" s="1"/>
  <c r="DX59" i="2" s="1"/>
  <c r="DY59" i="2" s="1"/>
  <c r="DZ59" i="2" s="1"/>
  <c r="EA59" i="2" s="1"/>
  <c r="EB59" i="2" s="1"/>
  <c r="EC59" i="2" s="1"/>
  <c r="ED59" i="2" s="1"/>
  <c r="EE59" i="2" s="1"/>
  <c r="EF59" i="2" s="1"/>
  <c r="EG59" i="2" s="1"/>
  <c r="EH59" i="2" s="1"/>
  <c r="EI59" i="2" s="1"/>
  <c r="EJ59" i="2" s="1"/>
  <c r="EK59" i="2" s="1"/>
  <c r="EL59" i="2" s="1"/>
  <c r="EM59" i="2" s="1"/>
  <c r="EN59" i="2" s="1"/>
  <c r="EO59" i="2" s="1"/>
  <c r="EP59" i="2" s="1"/>
  <c r="EQ59" i="2" s="1"/>
  <c r="ER59" i="2" s="1"/>
  <c r="ES59" i="2" s="1"/>
  <c r="ET59" i="2" s="1"/>
  <c r="EU59" i="2" s="1"/>
  <c r="EV59" i="2" s="1"/>
  <c r="EW59" i="2" s="1"/>
  <c r="EX59" i="2" s="1"/>
  <c r="CZ70" i="2"/>
  <c r="CZ61" i="2"/>
  <c r="CZ81" i="2" l="1"/>
  <c r="CZ83" i="2" s="1"/>
  <c r="CZ85" i="2" l="1"/>
  <c r="CY86" i="2" s="1" a="1"/>
  <c r="CY86" i="2" s="1"/>
  <c r="DA85"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<sst xmlns="http://schemas.openxmlformats.org/spreadsheetml/2006/main" count="6803" uniqueCount="4221">
  <si>
    <t xml:space="preserve">Price </t>
  </si>
  <si>
    <t>SO</t>
  </si>
  <si>
    <t>MC</t>
  </si>
  <si>
    <t>Cash</t>
  </si>
  <si>
    <t>Debt</t>
  </si>
  <si>
    <t>EV</t>
  </si>
  <si>
    <t>Investor Relations Contact:</t>
  </si>
  <si>
    <t>SEC filings</t>
  </si>
  <si>
    <t>Godel Terminal</t>
  </si>
  <si>
    <t>[Bold Title]</t>
  </si>
  <si>
    <t>Line Titles</t>
  </si>
  <si>
    <t>&lt;-- General</t>
  </si>
  <si>
    <t>&lt;-- Info</t>
  </si>
  <si>
    <t>Notes:</t>
  </si>
  <si>
    <t>[X]</t>
  </si>
  <si>
    <t>[Y]</t>
  </si>
  <si>
    <t>[Z]</t>
  </si>
  <si>
    <t>Close</t>
  </si>
  <si>
    <t>High</t>
  </si>
  <si>
    <t>Low</t>
  </si>
  <si>
    <t>Open</t>
  </si>
  <si>
    <t>Volume</t>
  </si>
  <si>
    <t>UTC Date</t>
  </si>
  <si>
    <t>Change</t>
  </si>
  <si>
    <t>Min</t>
  </si>
  <si>
    <t>Max</t>
  </si>
  <si>
    <t>Mean μ</t>
  </si>
  <si>
    <t>Median</t>
  </si>
  <si>
    <t>SD σ</t>
  </si>
  <si>
    <t xml:space="preserve">  3σ 1-Day Δ: ±</t>
  </si>
  <si>
    <t>β (1-year avg.)</t>
  </si>
  <si>
    <t>&lt;- Sortino Ratio (Downside Risk Adjusted Return)</t>
  </si>
  <si>
    <r>
      <rPr>
        <i/>
        <sz val="11"/>
        <color theme="1"/>
        <rFont val="Calibre"/>
      </rPr>
      <t>n</t>
    </r>
    <r>
      <rPr>
        <sz val="11"/>
        <color theme="1"/>
        <rFont val="Calibre"/>
      </rPr>
      <t xml:space="preserve"> =</t>
    </r>
  </si>
  <si>
    <t>Histogram Data</t>
  </si>
  <si>
    <t>Distribution Overlay</t>
  </si>
  <si>
    <t>SD Lines</t>
  </si>
  <si>
    <t>Bin</t>
  </si>
  <si>
    <t>Frequency</t>
  </si>
  <si>
    <r>
      <t xml:space="preserve"> (X) 1-Day</t>
    </r>
    <r>
      <rPr>
        <b/>
        <i/>
        <sz val="11"/>
        <color theme="1"/>
        <rFont val="Calibri"/>
        <family val="2"/>
        <scheme val="minor"/>
      </rPr>
      <t xml:space="preserve"> Δ </t>
    </r>
    <r>
      <rPr>
        <i/>
        <sz val="11"/>
        <color theme="1"/>
        <rFont val="Calibri"/>
        <family val="2"/>
        <scheme val="minor"/>
      </rPr>
      <t xml:space="preserve"> </t>
    </r>
  </si>
  <si>
    <t xml:space="preserve">(Y) Pop. Density </t>
  </si>
  <si>
    <t>X</t>
  </si>
  <si>
    <t>Y</t>
  </si>
  <si>
    <t>Q1 2020</t>
  </si>
  <si>
    <t>Q1 2021</t>
  </si>
  <si>
    <t>Q1 2022</t>
  </si>
  <si>
    <t>Q1 2023</t>
  </si>
  <si>
    <t>Q1 2024</t>
  </si>
  <si>
    <t>Q1 2025</t>
  </si>
  <si>
    <t>[Use for Graphing]</t>
  </si>
  <si>
    <t>Quarterly</t>
  </si>
  <si>
    <t>Revenues</t>
  </si>
  <si>
    <t>Ttl Revenues</t>
  </si>
  <si>
    <t>U.S. Revenues</t>
  </si>
  <si>
    <t>U.S. % of Revenues</t>
  </si>
  <si>
    <t>U.S. Revenue Growth Y/y</t>
  </si>
  <si>
    <t>COGS</t>
  </si>
  <si>
    <t>GP</t>
  </si>
  <si>
    <t>Gross Profit Margin</t>
  </si>
  <si>
    <t>R&amp;D as % of Revenue</t>
  </si>
  <si>
    <t>SG&amp;A as % of Revenue</t>
  </si>
  <si>
    <t>Operating Profit Margin</t>
  </si>
  <si>
    <t>Effective Tax Rate</t>
  </si>
  <si>
    <t>Net Profit Margin</t>
  </si>
  <si>
    <t xml:space="preserve">Cash &amp; CEs </t>
  </si>
  <si>
    <t>ST Investments</t>
  </si>
  <si>
    <t>Current Ratio</t>
  </si>
  <si>
    <t>Quick Ratio</t>
  </si>
  <si>
    <t>Cash Ratio</t>
  </si>
  <si>
    <t>Ttl Asset Turnover</t>
  </si>
  <si>
    <t>Inventory Turnover Ratio</t>
  </si>
  <si>
    <t>Return on Assets</t>
  </si>
  <si>
    <t>Return on Equity</t>
  </si>
  <si>
    <t>Net Income</t>
  </si>
  <si>
    <t>CFFO</t>
  </si>
  <si>
    <t>FCF</t>
  </si>
  <si>
    <t>SC</t>
  </si>
  <si>
    <t>FCF per Share</t>
  </si>
  <si>
    <t>Revenues:</t>
  </si>
  <si>
    <t>Balance Sheet Scope:</t>
  </si>
  <si>
    <t>Mean</t>
  </si>
  <si>
    <t>-3σ</t>
  </si>
  <si>
    <t>-2σ</t>
  </si>
  <si>
    <t>-1σ</t>
  </si>
  <si>
    <t>1σ</t>
  </si>
  <si>
    <t>2σ</t>
  </si>
  <si>
    <t>3σ</t>
  </si>
  <si>
    <t xml:space="preserve">Email: </t>
  </si>
  <si>
    <t>&lt;- Sharpe Ratio (Risk Adjusted Return)</t>
  </si>
  <si>
    <t>Resources:</t>
  </si>
  <si>
    <t>Earnings Calls</t>
  </si>
  <si>
    <t>Equity Analysis</t>
  </si>
  <si>
    <t>Alphabet IR Page</t>
  </si>
  <si>
    <t>https://abc.xyz/investor/</t>
  </si>
  <si>
    <t>https://seekingalpha.com/symbol/GOOGL/earnings/transcripts</t>
  </si>
  <si>
    <t>https://stockanalysis.com/stocks/googl/</t>
  </si>
  <si>
    <t>https://app.godelterminal.com/</t>
  </si>
  <si>
    <t>Registered Exchange: NASDAQ</t>
  </si>
  <si>
    <t>Founded: 1998</t>
  </si>
  <si>
    <t>investor-relations@abc.xyz</t>
  </si>
  <si>
    <t>Current CEO: Sundar Pichai</t>
  </si>
  <si>
    <t>[The other bets segments obviously operates more projects than stated in The Company's provided description … Research further</t>
  </si>
  <si>
    <t>DeepMind:</t>
  </si>
  <si>
    <t>Waymo:</t>
  </si>
  <si>
    <t>Verily:</t>
  </si>
  <si>
    <t>X Labs:</t>
  </si>
  <si>
    <t>Google Ventures:</t>
  </si>
  <si>
    <t>Calico</t>
  </si>
  <si>
    <t xml:space="preserve">Willow Project: </t>
  </si>
  <si>
    <t>Industry: Internet Content &amp; Information</t>
  </si>
  <si>
    <t>Sector: Communication Services</t>
  </si>
  <si>
    <t>https://www.macrotrends.net/stocks/charts/GOOGL/alphabet/financial-statements</t>
  </si>
  <si>
    <t>MacroTrends</t>
  </si>
  <si>
    <t>Chronicle:</t>
  </si>
  <si>
    <t>Google is working to acquire Wiz, a global cloud security firm for $32B … May be held up by regulators, but if the acquisition goes through it'll greatly expands The Company's cybersecurity offering</t>
  </si>
  <si>
    <t>DeepMind’s work spans the sciences, generative and applied AI, and interdisciplinary innovation</t>
  </si>
  <si>
    <t>AI / ML Research - DeepMind has become renowned for pioneering breakthroughs in deep reinforcement learning, neural networks, and general-purpose AI systems</t>
  </si>
  <si>
    <t xml:space="preserve">Founded as Google’s self-driving car project in 2009, Waymo has since evolved into a pioneer in the development and commercialization of fully autonomous vehicles </t>
  </si>
  <si>
    <t>Life Sciences/Healthcare Technology - Verily develops tools and platforms for health data analytics, disease detection, clinical research, and precision medicine</t>
  </si>
  <si>
    <t>Verily develops advanced health data analytics platforms, precision health tools, and medical devices aimed at improving patient outcomes and enabling more personalized, proactive care</t>
  </si>
  <si>
    <t>Its portfolio includes projects in chronic disease management, diagnostics, population health, and clinical trial technology</t>
  </si>
  <si>
    <t>Palantir of healthcare???? Further research is required…</t>
  </si>
  <si>
    <t xml:space="preserve">Quantum Computing - Google’s Willow quantum chip, unveiled in December 2024, represents a major leap forward in quantum computing </t>
  </si>
  <si>
    <t>This was really the spark to bubble up the other publicly traded "quantum players" ; some of which are incredibly low quality, if not fraudulent products/businesses</t>
  </si>
  <si>
    <r>
      <t xml:space="preserve">Do further research into "real" quantum players… Off the top of my head: GOOG: Willow, IBM: Heron, Honeywell: Model H, Microsoft: Majorana 1 … </t>
    </r>
    <r>
      <rPr>
        <b/>
        <sz val="11"/>
        <color theme="1"/>
        <rFont val="Calibre"/>
      </rPr>
      <t>[research others]</t>
    </r>
  </si>
  <si>
    <t xml:space="preserve">Commit to further research … but the true break through from the initial demonstration seemed to be the error correction software, which may allow for easier qubit scaling in future chip iterations </t>
  </si>
  <si>
    <t>Greater &gt; amts. of qubits to run any interesting algos (like Shor's to break RSA) … and a high gate fidelity is required for the calculations to actually produce a useful output beyond the capabilities of a tradition computer</t>
  </si>
  <si>
    <t>The Willow chip was developed at Google’s dedicated fabrication facility</t>
  </si>
  <si>
    <t>Willow sets new standards for quantum hardware with improved error rates, coherence times, and energy efficiency, positioning it as a leading platform for building large-scale, fault-tolerant quantum computers</t>
  </si>
  <si>
    <t>Its innovations move quantum computing significantly closer to practical, real-world applications in fields such as drug discovery, materials science, optimization, and artificial intelligence</t>
  </si>
  <si>
    <t>While challenges remain-particularly in further reducing error rates and scaling to thousands of qubits-Willow marks a pivotal step toward commercially viable quantum machines</t>
  </si>
  <si>
    <t>Moonshot R&amp;D Lab - X is Alphabet’s innovation lab for breakthrough technologies. Projects spun out of X include:</t>
  </si>
  <si>
    <t xml:space="preserve">Intrinsic: </t>
  </si>
  <si>
    <t xml:space="preserve">Wing: </t>
  </si>
  <si>
    <t>Drone-based delivery services, with pilot programs in Australia and the U.S.</t>
  </si>
  <si>
    <t>Industrial robotics software; focusing on software to make industrial robots easier to use and more flexible</t>
  </si>
  <si>
    <t>Cybersecurity tool, later integrated into Cloud Services - Chronicle develops cybersecurity tools and platforms to help organizations detect and prevent cyber threats</t>
  </si>
  <si>
    <t>Developed smart contact lenses for glucose monitoring, now part of Verily.</t>
  </si>
  <si>
    <t>Google Contact Lens:</t>
  </si>
  <si>
    <t>Pioneered deep learning research, now integrated into Google DeepMind.</t>
  </si>
  <si>
    <t>Google Brain:</t>
  </si>
  <si>
    <t>Develops underwater robotics and vision systems for sustainable aquaculture.</t>
  </si>
  <si>
    <t>TidalX:</t>
  </si>
  <si>
    <t>Applies artificial intelligence to improve crop yields and agricultural resilience.</t>
  </si>
  <si>
    <t>Heritable Agriculture:</t>
  </si>
  <si>
    <t>Delivers high-speed internet using free-space optical (light beam) communications.</t>
  </si>
  <si>
    <t>Taara:</t>
  </si>
  <si>
    <t>Provides real-time supply chain monitoring and analytics using sensors and AI.</t>
  </si>
  <si>
    <t>Chorus:</t>
  </si>
  <si>
    <t>Uses sensors and AI to support sustainable agriculture and crop monitoring.</t>
  </si>
  <si>
    <t>Mineral:</t>
  </si>
  <si>
    <t>Willow features 105 superconducting qubits and achieves two landmark breakthroughs</t>
  </si>
  <si>
    <r>
      <t>(</t>
    </r>
    <r>
      <rPr>
        <i/>
        <sz val="11"/>
        <color theme="1"/>
        <rFont val="Calibre"/>
      </rPr>
      <t>ii</t>
    </r>
    <r>
      <rPr>
        <sz val="11"/>
        <color theme="1"/>
        <rFont val="Calibre"/>
      </rPr>
      <t>) Completes benchmark computations in under five minutes that would take the world’s fastest classical supercomputers an estimated 10 septillion years</t>
    </r>
  </si>
  <si>
    <t>Longevity and Aging Research - Calico Life Sciences conducts research into aging and age-related diseases, aiming to extend human lifespan and healthspan</t>
  </si>
  <si>
    <t>Google's operating VC firm</t>
  </si>
  <si>
    <t>Other Bets</t>
  </si>
  <si>
    <t>Ad Services:</t>
  </si>
  <si>
    <t>Google Search:</t>
  </si>
  <si>
    <t>YouTube:</t>
  </si>
  <si>
    <t>Android Mobile Software:</t>
  </si>
  <si>
    <t>Chrome Browser:</t>
  </si>
  <si>
    <t>Google Devices  [Hardware]:</t>
  </si>
  <si>
    <t>Gmail Services:</t>
  </si>
  <si>
    <t>Google Drive Services:</t>
  </si>
  <si>
    <t>Google Maps App:</t>
  </si>
  <si>
    <t>Google Photos App:</t>
  </si>
  <si>
    <t>Google Play Online Marketplace:</t>
  </si>
  <si>
    <r>
      <rPr>
        <b/>
        <sz val="11"/>
        <color theme="1"/>
        <rFont val="Calibre"/>
      </rPr>
      <t>Google’s ad services</t>
    </r>
    <r>
      <rPr>
        <sz val="11"/>
        <color theme="1"/>
        <rFont val="Calibre"/>
      </rPr>
      <t xml:space="preserve"> are the </t>
    </r>
    <r>
      <rPr>
        <b/>
        <sz val="11"/>
        <color theme="1"/>
        <rFont val="Calibre"/>
      </rPr>
      <t>company’s primary revenue driver</t>
    </r>
    <r>
      <rPr>
        <sz val="11"/>
        <color theme="1"/>
        <rFont val="Calibre"/>
      </rPr>
      <t xml:space="preserve">, encompassing platforms like </t>
    </r>
    <r>
      <rPr>
        <b/>
        <sz val="11"/>
        <color theme="1"/>
        <rFont val="Calibre"/>
      </rPr>
      <t>Google Ads</t>
    </r>
    <r>
      <rPr>
        <sz val="11"/>
        <color theme="1"/>
        <rFont val="Calibre"/>
      </rPr>
      <t xml:space="preserve"> (formerly AdWords), </t>
    </r>
    <r>
      <rPr>
        <b/>
        <sz val="11"/>
        <color theme="1"/>
        <rFont val="Calibre"/>
      </rPr>
      <t>AdSense</t>
    </r>
    <r>
      <rPr>
        <sz val="11"/>
        <color theme="1"/>
        <rFont val="Calibre"/>
      </rPr>
      <t xml:space="preserve">, and </t>
    </r>
    <r>
      <rPr>
        <b/>
        <sz val="11"/>
        <color theme="1"/>
        <rFont val="Calibre"/>
      </rPr>
      <t>DoubleClick</t>
    </r>
  </si>
  <si>
    <t>These services facilitate digital advertising across Google’s own products (Search, YouTube, etc.) and third-party websites, leveraging user data for targeted advertising</t>
  </si>
  <si>
    <t>Pioneered ad marketplace based on target demographics and demand … Investigate further</t>
  </si>
  <si>
    <t>Continual innovation includes AI-powered features and integration with other Google services</t>
  </si>
  <si>
    <t>Gemini has been incorporated into Search, but I personally do not enjoy the summarization tool as it stands</t>
  </si>
  <si>
    <r>
      <rPr>
        <b/>
        <sz val="11"/>
        <color theme="1"/>
        <rFont val="Calibre"/>
      </rPr>
      <t>Search</t>
    </r>
    <r>
      <rPr>
        <sz val="11"/>
        <color theme="1"/>
        <rFont val="Calibre"/>
      </rPr>
      <t xml:space="preserve"> remains the </t>
    </r>
    <r>
      <rPr>
        <b/>
        <sz val="11"/>
        <color theme="1"/>
        <rFont val="Calibre"/>
      </rPr>
      <t>most visited website globally</t>
    </r>
    <r>
      <rPr>
        <sz val="11"/>
        <color theme="1"/>
        <rFont val="Calibre"/>
      </rPr>
      <t xml:space="preserve"> and is the </t>
    </r>
    <r>
      <rPr>
        <b/>
        <sz val="11"/>
        <color theme="1"/>
        <rFont val="Calibre"/>
      </rPr>
      <t>foundation for Google’s</t>
    </r>
    <r>
      <rPr>
        <sz val="11"/>
        <color theme="1"/>
        <rFont val="Calibre"/>
      </rPr>
      <t xml:space="preserve"> data-driven </t>
    </r>
    <r>
      <rPr>
        <b/>
        <sz val="11"/>
        <color theme="1"/>
        <rFont val="Calibre"/>
      </rPr>
      <t>advertising model</t>
    </r>
    <r>
      <rPr>
        <sz val="11"/>
        <color theme="1"/>
        <rFont val="Calibre"/>
      </rPr>
      <t xml:space="preserve"> --  </t>
    </r>
    <r>
      <rPr>
        <b/>
        <sz val="11"/>
        <color theme="1"/>
        <rFont val="Calibre"/>
      </rPr>
      <t>5 trillion queries reported in 2024</t>
    </r>
  </si>
  <si>
    <t>Operates semi-independently within Google, with a distinct brand and user community</t>
  </si>
  <si>
    <r>
      <t xml:space="preserve">Acquired in 2006 for $1.65 billion, YouTube has been developed into the world’s largest online video-sharing platform -- </t>
    </r>
    <r>
      <rPr>
        <b/>
        <sz val="11"/>
        <color theme="1"/>
        <rFont val="Calibre"/>
      </rPr>
      <t>2.5+ billion MAO (Monthly Active Users)</t>
    </r>
  </si>
  <si>
    <t>!!!Massive network effect!!!</t>
  </si>
  <si>
    <t>Android powers billions of devices globally, including smartphones, tablets, wearables, and TVs</t>
  </si>
  <si>
    <t>Key to Google’s ecosystem, driving search, Play Store, and services adoption on mobile devices</t>
  </si>
  <si>
    <r>
      <t>Acquired in 2005 for an estimated $50 million, Android is now the world’s most widely used mobile operating system with</t>
    </r>
    <r>
      <rPr>
        <b/>
        <sz val="11"/>
        <color theme="1"/>
        <rFont val="Calibre"/>
      </rPr>
      <t xml:space="preserve"> over 3 billion MAO (Monthly Active Users)</t>
    </r>
    <r>
      <rPr>
        <sz val="11"/>
        <color theme="1"/>
        <rFont val="Calibre"/>
      </rPr>
      <t xml:space="preserve"> -- </t>
    </r>
    <r>
      <rPr>
        <b/>
        <sz val="11"/>
        <color theme="1"/>
        <rFont val="Calibre"/>
      </rPr>
      <t>Open Source</t>
    </r>
    <r>
      <rPr>
        <sz val="11"/>
        <color theme="1"/>
        <rFont val="Calibre"/>
      </rPr>
      <t xml:space="preserve"> </t>
    </r>
  </si>
  <si>
    <t>Google Play is the official app store for Android devices, launched in 2012 (merging Android Market, Google Music, and Google eBookstore)</t>
  </si>
  <si>
    <t>Revenue streams include app sales, in-app purchases (recognized on a net basis), and digital content subscriptions</t>
  </si>
  <si>
    <t>Essential for Android’s ecosystem, supporting developers and content creators</t>
  </si>
  <si>
    <t xml:space="preserve">!!! Epic Games just won a landmark lawsuit that removes certain distribution rights away from the app store, removing the requirement for all sales to be funneled through the playstore!!! </t>
  </si>
  <si>
    <r>
      <t xml:space="preserve">Launched in 2008, Chrome is now the dominant web browser worldwide -- </t>
    </r>
    <r>
      <rPr>
        <b/>
        <sz val="11"/>
        <color theme="1"/>
        <rFont val="Calibre"/>
      </rPr>
      <t>3.45 billion MAO (Monthly Active Users)</t>
    </r>
  </si>
  <si>
    <t>Chrome serves as a gateway to Google’s web services, integrates with Google accounts, and supports web standards and security</t>
  </si>
  <si>
    <t>U.S. DOJ ruled Google to be a monopoly and ordered for the company to divest from its chrome web browser … remedy hearings taking place in 2025 onward … lets see how Trump Admin plays</t>
  </si>
  <si>
    <t>The browser is central to Google’s strategy of maintaining user engagement across platforms</t>
  </si>
  <si>
    <r>
      <t xml:space="preserve">Includes hardware such as the </t>
    </r>
    <r>
      <rPr>
        <b/>
        <sz val="11"/>
        <color theme="1"/>
        <rFont val="Calibre"/>
      </rPr>
      <t>Pixel phone family</t>
    </r>
    <r>
      <rPr>
        <sz val="11"/>
        <color theme="1"/>
        <rFont val="Calibre"/>
      </rPr>
      <t xml:space="preserve">, </t>
    </r>
    <r>
      <rPr>
        <b/>
        <sz val="11"/>
        <color theme="1"/>
        <rFont val="Calibre"/>
      </rPr>
      <t>Nest smart home products</t>
    </r>
    <r>
      <rPr>
        <sz val="11"/>
        <color theme="1"/>
        <rFont val="Calibre"/>
      </rPr>
      <t xml:space="preserve"> (acquired 2014 for $3.2 billion), </t>
    </r>
    <r>
      <rPr>
        <b/>
        <sz val="11"/>
        <color theme="1"/>
        <rFont val="Calibre"/>
      </rPr>
      <t>Chromecast</t>
    </r>
    <r>
      <rPr>
        <sz val="11"/>
        <color theme="1"/>
        <rFont val="Calibre"/>
      </rPr>
      <t xml:space="preserve">, and </t>
    </r>
    <r>
      <rPr>
        <b/>
        <sz val="11"/>
        <color theme="1"/>
        <rFont val="Calibre"/>
      </rPr>
      <t>Google Home</t>
    </r>
  </si>
  <si>
    <t>Device sales are a smaller revenue stream but strategically important for ecosystem integration and data collection … in-network devices generating organic, high quality data sets</t>
  </si>
  <si>
    <t>Acquisition of Motorola Mobility in 2012 for $12.5 billion (later sold to Lenovo in 2014), which briefly expanded Google’s hardware footprint</t>
  </si>
  <si>
    <t>Gmail is one of the most popular email services globally, launched in 2004</t>
  </si>
  <si>
    <t>It is integrated with Google Workspace and offers free and paid (business) versions</t>
  </si>
  <si>
    <t>Gmail is a key driver for user engagement and data for Google’s ad targeting</t>
  </si>
  <si>
    <t>Google Drive provides cloud storage and file synchronization, launched in 2012</t>
  </si>
  <si>
    <t>Integrated with Google Workspace (Docs, Sheets, Slides), it supports both consumer and enterprise users</t>
  </si>
  <si>
    <t>Revenue is generated through premium storage subscriptions (Google One)</t>
  </si>
  <si>
    <t>The reason Gmail &amp; Google Drive services really dominated goes back to their original release and offering … unlike other firms who began charging for data storage after the first 100mb, Google extended an offer of free storage up to 5GB</t>
  </si>
  <si>
    <t>This network effect, paired with high switching costs gave Google a foothold to expand in the early 2000's</t>
  </si>
  <si>
    <t>Launched in 2005, Google Maps is a leading mapping and navigation service</t>
  </si>
  <si>
    <t>Really cool math behind quickest route optimization problems</t>
  </si>
  <si>
    <t>Enhanced by acquisitions such as Where2, ZipDash, and Waze (2013, $1.3 billion)</t>
  </si>
  <si>
    <t>Tons of app M&amp;A + internal development in the early 2000's and mid 2010's</t>
  </si>
  <si>
    <t>Generates revenue through advertising (local business listings), API access for developers, and integration with other Google services</t>
  </si>
  <si>
    <t>Great conglomerate offering, similar to Windows office but on the consumer side</t>
  </si>
  <si>
    <t>Launched in 2015, Google Photos offers cloud-based photo storage and management</t>
  </si>
  <si>
    <t>Fits into consumer drive / hardware ecosystem</t>
  </si>
  <si>
    <t>Features include AI-powered search, editing, and sharing</t>
  </si>
  <si>
    <t>Monetization comes from paid storage plans under Google One -- similar business segment to Apple's ICloud consumer storage</t>
  </si>
  <si>
    <t>AI Infrastructure:</t>
  </si>
  <si>
    <t>Google Workspaces:</t>
  </si>
  <si>
    <t>Data &amp; Analytics:</t>
  </si>
  <si>
    <t>Cybersecurity:</t>
  </si>
  <si>
    <t>Vertex AI Platform:</t>
  </si>
  <si>
    <t>Other Enterprise Cloud Services:</t>
  </si>
  <si>
    <t>Provides scalable computing, storage, and networking resources tailored for artificial intelligence workloads. Enables enterprises to build, train, and deploy AI models efficiently</t>
  </si>
  <si>
    <t>Google’s unified machine learning platform for developing, training, and deploying ML models at scale. Integrates with other Google Cloud services to streamline AI operations for businesses</t>
  </si>
  <si>
    <t>Offers a suite of security solutions to protect enterprise data, applications, and cloud infrastructure. Services include threat detection, identity management, and compliance tools</t>
  </si>
  <si>
    <t>Delivers cloud-based tools for data storage, management, analysis, and visualization. Supports big data workloads and advanced analytics, helping organizations derive insights from large datasets</t>
  </si>
  <si>
    <t>A comprehensive suite of cloud-based productivity and collaboration tools, including Calendar, Gmail, Docs, Drive, and Meet. Designed for enterprise communication, document management, and workflow automation</t>
  </si>
  <si>
    <t>Includes a range of additional services for enterprise customers, such as cloud migration, app modernization, and industry-specific solutions. Supports digital transformation and operational efficiency</t>
  </si>
  <si>
    <t>Search Ads</t>
  </si>
  <si>
    <t>Youtube Ads</t>
  </si>
  <si>
    <t>Network Ads</t>
  </si>
  <si>
    <t>Ttl Google Ad Revenue</t>
  </si>
  <si>
    <t>Google Cloud</t>
  </si>
  <si>
    <t>Hedging Gains (losses)</t>
  </si>
  <si>
    <t>Search Revenue Growth Y/y</t>
  </si>
  <si>
    <t>Youtube Revenue Growth Y/y</t>
  </si>
  <si>
    <t>Network Growth Y/y</t>
  </si>
  <si>
    <t>Ad Revenue Growth Y/y</t>
  </si>
  <si>
    <t>Subscription, Platform, &amp; Device Growth Y/y</t>
  </si>
  <si>
    <t>Subscriptions, Platforms, &amp; Devices</t>
  </si>
  <si>
    <t>Cloud Growth Y/y</t>
  </si>
  <si>
    <t>Other Bets Growth Y/y</t>
  </si>
  <si>
    <t>Ttl Revenue Growth Y/y</t>
  </si>
  <si>
    <t>Ad revenues % of Ttl Revenues</t>
  </si>
  <si>
    <t>Subs, Platform &amp; Device % of Ttl Revenues</t>
  </si>
  <si>
    <t>Cloud % of Ttl Revenues</t>
  </si>
  <si>
    <t>Other Bets % of Ttl Revenues</t>
  </si>
  <si>
    <t>Hedging % of Ttl Revenues</t>
  </si>
  <si>
    <t>EMEA Revenues</t>
  </si>
  <si>
    <t>APAC Revenues</t>
  </si>
  <si>
    <t>Other Americas Revenues</t>
  </si>
  <si>
    <t>EMEA Revenue Growth Y/y</t>
  </si>
  <si>
    <t>APAC Revenue Growth Y/y</t>
  </si>
  <si>
    <t>Other Americas Revenue Growth Y/y</t>
  </si>
  <si>
    <t>EMEA % of Revenues</t>
  </si>
  <si>
    <t>APAC % of Revenues</t>
  </si>
  <si>
    <t>Other Americas % of Revenues</t>
  </si>
  <si>
    <t>Hedging % of Revenues</t>
  </si>
  <si>
    <t>Google Employee Snapshot (Q4'24)</t>
  </si>
  <si>
    <r>
      <t xml:space="preserve">The </t>
    </r>
    <r>
      <rPr>
        <b/>
        <sz val="11"/>
        <color theme="1"/>
        <rFont val="Calibre"/>
      </rPr>
      <t>Google Services</t>
    </r>
    <r>
      <rPr>
        <sz val="11"/>
        <color theme="1"/>
        <rFont val="Calibre"/>
      </rPr>
      <t xml:space="preserve"> segment provides products and services, </t>
    </r>
    <r>
      <rPr>
        <b/>
        <sz val="11"/>
        <color theme="1"/>
        <rFont val="Calibre"/>
      </rPr>
      <t>including ads, Android, Chrome, devices, Gmail, Google Drive, Google Maps, Google Photos, Google Play, Search, and YouTube</t>
    </r>
  </si>
  <si>
    <r>
      <t>It is also involved in the</t>
    </r>
    <r>
      <rPr>
        <b/>
        <sz val="11"/>
        <color theme="1"/>
        <rFont val="Calibre"/>
      </rPr>
      <t xml:space="preserve"> sale of apps and in-app purchases and digital content in the Google Play and YouTube</t>
    </r>
    <r>
      <rPr>
        <sz val="11"/>
        <color theme="1"/>
        <rFont val="Calibre"/>
      </rPr>
      <t xml:space="preserve">; and </t>
    </r>
    <r>
      <rPr>
        <b/>
        <sz val="11"/>
        <color theme="1"/>
        <rFont val="Calibre"/>
      </rPr>
      <t>devices</t>
    </r>
    <r>
      <rPr>
        <sz val="11"/>
        <color theme="1"/>
        <rFont val="Calibre"/>
      </rPr>
      <t xml:space="preserve">, as well as in the provision of </t>
    </r>
    <r>
      <rPr>
        <b/>
        <sz val="11"/>
        <color theme="1"/>
        <rFont val="Calibre"/>
      </rPr>
      <t>YouTube consumer subscription services</t>
    </r>
  </si>
  <si>
    <r>
      <t xml:space="preserve">The </t>
    </r>
    <r>
      <rPr>
        <b/>
        <sz val="11"/>
        <color theme="1"/>
        <rFont val="Calibre"/>
      </rPr>
      <t>Google Cloud</t>
    </r>
    <r>
      <rPr>
        <sz val="11"/>
        <color theme="1"/>
        <rFont val="Calibre"/>
      </rPr>
      <t xml:space="preserve"> segment offers </t>
    </r>
    <r>
      <rPr>
        <b/>
        <sz val="11"/>
        <color theme="1"/>
        <rFont val="Calibre"/>
      </rPr>
      <t>AI infrastructure, Vertex AI platform, cybersecurity, data and analytics, and other services</t>
    </r>
    <r>
      <rPr>
        <sz val="11"/>
        <color theme="1"/>
        <rFont val="Calibre"/>
      </rPr>
      <t xml:space="preserve">; </t>
    </r>
    <r>
      <rPr>
        <b/>
        <sz val="11"/>
        <color theme="1"/>
        <rFont val="Calibre"/>
      </rPr>
      <t xml:space="preserve">Google Workspace </t>
    </r>
    <r>
      <rPr>
        <sz val="11"/>
        <color theme="1"/>
        <rFont val="Calibre"/>
      </rPr>
      <t xml:space="preserve">that include </t>
    </r>
    <r>
      <rPr>
        <b/>
        <sz val="11"/>
        <color theme="1"/>
        <rFont val="Calibre"/>
      </rPr>
      <t>cloud-based communication and collaboration tools for enterprises</t>
    </r>
    <r>
      <rPr>
        <sz val="11"/>
        <color theme="1"/>
        <rFont val="Calibre"/>
      </rPr>
      <t xml:space="preserve">, such as </t>
    </r>
    <r>
      <rPr>
        <b/>
        <sz val="11"/>
        <color theme="1"/>
        <rFont val="Calibre"/>
      </rPr>
      <t>Calendar, Gmail, Docs, Drive</t>
    </r>
    <r>
      <rPr>
        <sz val="11"/>
        <color theme="1"/>
        <rFont val="Calibre"/>
      </rPr>
      <t xml:space="preserve">, and </t>
    </r>
    <r>
      <rPr>
        <b/>
        <sz val="11"/>
        <color theme="1"/>
        <rFont val="Calibre"/>
      </rPr>
      <t>Meet</t>
    </r>
    <r>
      <rPr>
        <sz val="11"/>
        <color theme="1"/>
        <rFont val="Calibre"/>
      </rPr>
      <t xml:space="preserve">; and </t>
    </r>
    <r>
      <rPr>
        <b/>
        <sz val="11"/>
        <color theme="1"/>
        <rFont val="Calibre"/>
      </rPr>
      <t>other services for enterprise customers</t>
    </r>
  </si>
  <si>
    <r>
      <t xml:space="preserve">The </t>
    </r>
    <r>
      <rPr>
        <b/>
        <sz val="11"/>
        <color theme="1"/>
        <rFont val="Calibre"/>
      </rPr>
      <t xml:space="preserve">Other Bets </t>
    </r>
    <r>
      <rPr>
        <sz val="11"/>
        <color theme="1"/>
        <rFont val="Calibre"/>
      </rPr>
      <t xml:space="preserve">segment sells </t>
    </r>
    <r>
      <rPr>
        <b/>
        <sz val="11"/>
        <color theme="1"/>
        <rFont val="Calibre"/>
      </rPr>
      <t>healthcare-related</t>
    </r>
    <r>
      <rPr>
        <sz val="11"/>
        <color theme="1"/>
        <rFont val="Calibre"/>
      </rPr>
      <t xml:space="preserve"> and </t>
    </r>
    <r>
      <rPr>
        <b/>
        <sz val="11"/>
        <color theme="1"/>
        <rFont val="Calibre"/>
      </rPr>
      <t>internet services</t>
    </r>
    <r>
      <rPr>
        <sz val="11"/>
        <color theme="1"/>
        <rFont val="Calibre"/>
      </rPr>
      <t xml:space="preserve">. </t>
    </r>
  </si>
  <si>
    <t>The Company was incorporated in 1998 and is headquartered in Mountain View, California</t>
  </si>
  <si>
    <r>
      <t>Google Cloud Services</t>
    </r>
    <r>
      <rPr>
        <sz val="11"/>
        <color theme="1"/>
        <rFont val="Calibre"/>
      </rPr>
      <t xml:space="preserve"> [can be understood as The Company's enterprise oriented segments]</t>
    </r>
  </si>
  <si>
    <r>
      <t xml:space="preserve">Google Services </t>
    </r>
    <r>
      <rPr>
        <sz val="11"/>
        <color theme="1"/>
        <rFont val="Calibre"/>
      </rPr>
      <t>[can be understood as The Company's consumer oriented segments]</t>
    </r>
  </si>
  <si>
    <t>R&amp;D</t>
  </si>
  <si>
    <t>Sales and Marketing</t>
  </si>
  <si>
    <t>General and Admin</t>
  </si>
  <si>
    <t>Ttl SG&amp;A</t>
  </si>
  <si>
    <t>Operating Income</t>
  </si>
  <si>
    <t>Other Income (expenses), net</t>
  </si>
  <si>
    <t>Pretax Income</t>
  </si>
  <si>
    <t>Taxes</t>
  </si>
  <si>
    <t>NI</t>
  </si>
  <si>
    <t>EPS</t>
  </si>
  <si>
    <t>GOOG, GOOGL</t>
  </si>
  <si>
    <t>Alphabet Inc. (GOOG, GOOGL)</t>
  </si>
  <si>
    <t>https://www.sec.gov/edgar/browse/?CIK=1652044&amp;owner=exclude</t>
  </si>
  <si>
    <t>A/R</t>
  </si>
  <si>
    <t>Other Current Assets</t>
  </si>
  <si>
    <t>LT Investments</t>
  </si>
  <si>
    <t>Operating Lease Assets</t>
  </si>
  <si>
    <t>Goodwill</t>
  </si>
  <si>
    <t>Other LT Assets</t>
  </si>
  <si>
    <t>Ttl Assets</t>
  </si>
  <si>
    <t>A/P</t>
  </si>
  <si>
    <t>Accrued Compensation</t>
  </si>
  <si>
    <t>Other Current Liabilities</t>
  </si>
  <si>
    <t>Deferred Revenues</t>
  </si>
  <si>
    <t>LT Debt</t>
  </si>
  <si>
    <t>Accrued Revenue Share to Partners</t>
  </si>
  <si>
    <t>LT Operating Lease Liabilities</t>
  </si>
  <si>
    <t>Other LT Liabilities</t>
  </si>
  <si>
    <t>Ttl Liabilities</t>
  </si>
  <si>
    <t>SE</t>
  </si>
  <si>
    <t>Ttl L + SE</t>
  </si>
  <si>
    <t>CapEx</t>
  </si>
  <si>
    <t xml:space="preserve">SC </t>
  </si>
  <si>
    <t>Employees: 183,323 (Q4'24)</t>
  </si>
  <si>
    <t>LT Defered Revenues</t>
  </si>
  <si>
    <t>LT Income Taxes Payable</t>
  </si>
  <si>
    <t>LT Income Tax Liability</t>
  </si>
  <si>
    <t>Inventories</t>
  </si>
  <si>
    <t>Intangibles</t>
  </si>
  <si>
    <t>Income Taxes Recievable</t>
  </si>
  <si>
    <t>ST Income Taxes Payable</t>
  </si>
  <si>
    <t>Massive CapEx spend into these data centers has really cut into FCF in recent quarters … Investment CapEx turns into future earnings … Is that earnings growth already priced in though?</t>
  </si>
  <si>
    <t>[Create AI/ data center CapEx scope to track capital investment, quarterly + projected future investment demands]</t>
  </si>
  <si>
    <t>Mon, 08 Oct 2018 00:00:00 GMT</t>
  </si>
  <si>
    <t>Tue, 09 Oct 2018 00:00:00 GMT</t>
  </si>
  <si>
    <t>Wed, 10 Oct 2018 00:00:00 GMT</t>
  </si>
  <si>
    <t>Thu, 11 Oct 2018 00:00:00 GMT</t>
  </si>
  <si>
    <t>Fri, 12 Oct 2018 00:00:00 GMT</t>
  </si>
  <si>
    <t>Mon, 15 Oct 2018 00:00:00 GMT</t>
  </si>
  <si>
    <t>Tue, 16 Oct 2018 00:00:00 GMT</t>
  </si>
  <si>
    <t>Wed, 17 Oct 2018 00:00:00 GMT</t>
  </si>
  <si>
    <t>Thu, 18 Oct 2018 00:00:00 GMT</t>
  </si>
  <si>
    <t>Fri, 19 Oct 2018 00:00:00 GMT</t>
  </si>
  <si>
    <t>Mon, 22 Oct 2018 00:00:00 GMT</t>
  </si>
  <si>
    <t>Tue, 23 Oct 2018 00:00:00 GMT</t>
  </si>
  <si>
    <t>Wed, 24 Oct 2018 00:00:00 GMT</t>
  </si>
  <si>
    <t>Thu, 25 Oct 2018 00:00:00 GMT</t>
  </si>
  <si>
    <t>Fri, 26 Oct 2018 00:00:00 GMT</t>
  </si>
  <si>
    <t>Mon, 29 Oct 2018 00:00:00 GMT</t>
  </si>
  <si>
    <t>Tue, 30 Oct 2018 00:00:00 GMT</t>
  </si>
  <si>
    <t>Wed, 31 Oct 2018 00:00:00 GMT</t>
  </si>
  <si>
    <t>Thu, 01 Nov 2018 00:00:00 GMT</t>
  </si>
  <si>
    <t>Fri, 02 Nov 2018 00:00:00 GMT</t>
  </si>
  <si>
    <t>Mon, 05 Nov 2018 00:00:00 GMT</t>
  </si>
  <si>
    <t>Tue, 06 Nov 2018 00:00:00 GMT</t>
  </si>
  <si>
    <t>Wed, 07 Nov 2018 00:00:00 GMT</t>
  </si>
  <si>
    <t>Thu, 08 Nov 2018 00:00:00 GMT</t>
  </si>
  <si>
    <t>Fri, 09 Nov 2018 00:00:00 GMT</t>
  </si>
  <si>
    <t>Mon, 12 Nov 2018 00:00:00 GMT</t>
  </si>
  <si>
    <t>Tue, 13 Nov 2018 00:00:00 GMT</t>
  </si>
  <si>
    <t>Wed, 14 Nov 2018 00:00:00 GMT</t>
  </si>
  <si>
    <t>Thu, 15 Nov 2018 00:00:00 GMT</t>
  </si>
  <si>
    <t>Fri, 16 Nov 2018 00:00:00 GMT</t>
  </si>
  <si>
    <t>Mon, 19 Nov 2018 00:00:00 GMT</t>
  </si>
  <si>
    <t>Tue, 20 Nov 2018 00:00:00 GMT</t>
  </si>
  <si>
    <t>Wed, 21 Nov 2018 00:00:00 GMT</t>
  </si>
  <si>
    <t>Fri, 23 Nov 2018 00:00:00 GMT</t>
  </si>
  <si>
    <t>Mon, 26 Nov 2018 00:00:00 GMT</t>
  </si>
  <si>
    <t>Tue, 27 Nov 2018 00:00:00 GMT</t>
  </si>
  <si>
    <t>Wed, 28 Nov 2018 00:00:00 GMT</t>
  </si>
  <si>
    <t>Thu, 29 Nov 2018 00:00:00 GMT</t>
  </si>
  <si>
    <t>Fri, 30 Nov 2018 00:00:00 GMT</t>
  </si>
  <si>
    <t>Mon, 03 Dec 2018 00:00:00 GMT</t>
  </si>
  <si>
    <t>Tue, 04 Dec 2018 00:00:00 GMT</t>
  </si>
  <si>
    <t>Thu, 06 Dec 2018 00:00:00 GMT</t>
  </si>
  <si>
    <t>Fri, 07 Dec 2018 00:00:00 GMT</t>
  </si>
  <si>
    <t>Mon, 10 Dec 2018 00:00:00 GMT</t>
  </si>
  <si>
    <t>Tue, 11 Dec 2018 00:00:00 GMT</t>
  </si>
  <si>
    <t>Wed, 12 Dec 2018 00:00:00 GMT</t>
  </si>
  <si>
    <t>Thu, 13 Dec 2018 00:00:00 GMT</t>
  </si>
  <si>
    <t>Fri, 14 Dec 2018 00:00:00 GMT</t>
  </si>
  <si>
    <t>Mon, 17 Dec 2018 00:00:00 GMT</t>
  </si>
  <si>
    <t>Tue, 18 Dec 2018 00:00:00 GMT</t>
  </si>
  <si>
    <t>Wed, 19 Dec 2018 00:00:00 GMT</t>
  </si>
  <si>
    <t>Thu, 20 Dec 2018 00:00:00 GMT</t>
  </si>
  <si>
    <t>Fri, 21 Dec 2018 00:00:00 GMT</t>
  </si>
  <si>
    <t>Mon, 24 Dec 2018 00:00:00 GMT</t>
  </si>
  <si>
    <t>Wed, 26 Dec 2018 00:00:00 GMT</t>
  </si>
  <si>
    <t>Thu, 27 Dec 2018 00:00:00 GMT</t>
  </si>
  <si>
    <t>Fri, 28 Dec 2018 00:00:00 GMT</t>
  </si>
  <si>
    <t>Mon, 31 Dec 2018 00:00:00 GMT</t>
  </si>
  <si>
    <t>Wed, 02 Jan 2019 00:00:00 GMT</t>
  </si>
  <si>
    <t>Thu, 03 Jan 2019 00:00:00 GMT</t>
  </si>
  <si>
    <t>Fri, 04 Jan 2019 00:00:00 GMT</t>
  </si>
  <si>
    <t>Mon, 07 Jan 2019 00:00:00 GMT</t>
  </si>
  <si>
    <t>Tue, 08 Jan 2019 00:00:00 GMT</t>
  </si>
  <si>
    <t>Wed, 09 Jan 2019 00:00:00 GMT</t>
  </si>
  <si>
    <t>Thu, 10 Jan 2019 00:00:00 GMT</t>
  </si>
  <si>
    <t>Fri, 11 Jan 2019 00:00:00 GMT</t>
  </si>
  <si>
    <t>Mon, 14 Jan 2019 00:00:00 GMT</t>
  </si>
  <si>
    <t>Tue, 15 Jan 2019 00:00:00 GMT</t>
  </si>
  <si>
    <t>Wed, 16 Jan 2019 00:00:00 GMT</t>
  </si>
  <si>
    <t>Thu, 17 Jan 2019 00:00:00 GMT</t>
  </si>
  <si>
    <t>Fri, 18 Jan 2019 00:00:00 GMT</t>
  </si>
  <si>
    <t>Tue, 22 Jan 2019 00:00:00 GMT</t>
  </si>
  <si>
    <t>Wed, 23 Jan 2019 00:00:00 GMT</t>
  </si>
  <si>
    <t>Thu, 24 Jan 2019 00:00:00 GMT</t>
  </si>
  <si>
    <t>Fri, 25 Jan 2019 00:00:00 GMT</t>
  </si>
  <si>
    <t>Mon, 28 Jan 2019 00:00:00 GMT</t>
  </si>
  <si>
    <t>Tue, 29 Jan 2019 00:00:00 GMT</t>
  </si>
  <si>
    <t>Wed, 30 Jan 2019 00:00:00 GMT</t>
  </si>
  <si>
    <t>Thu, 31 Jan 2019 00:00:00 GMT</t>
  </si>
  <si>
    <t>Fri, 01 Feb 2019 00:00:00 GMT</t>
  </si>
  <si>
    <t>Mon, 04 Feb 2019 00:00:00 GMT</t>
  </si>
  <si>
    <t>Tue, 05 Feb 2019 00:00:00 GMT</t>
  </si>
  <si>
    <t>Wed, 06 Feb 2019 00:00:00 GMT</t>
  </si>
  <si>
    <t>Thu, 07 Feb 2019 00:00:00 GMT</t>
  </si>
  <si>
    <t>Fri, 08 Feb 2019 00:00:00 GMT</t>
  </si>
  <si>
    <t>Mon, 11 Feb 2019 00:00:00 GMT</t>
  </si>
  <si>
    <t>Tue, 12 Feb 2019 00:00:00 GMT</t>
  </si>
  <si>
    <t>Wed, 13 Feb 2019 00:00:00 GMT</t>
  </si>
  <si>
    <t>Thu, 14 Feb 2019 00:00:00 GMT</t>
  </si>
  <si>
    <t>Fri, 15 Feb 2019 00:00:00 GMT</t>
  </si>
  <si>
    <t>Tue, 19 Feb 2019 00:00:00 GMT</t>
  </si>
  <si>
    <t>Wed, 20 Feb 2019 00:00:00 GMT</t>
  </si>
  <si>
    <t>Thu, 21 Feb 2019 00:00:00 GMT</t>
  </si>
  <si>
    <t>Fri, 22 Feb 2019 00:00:00 GMT</t>
  </si>
  <si>
    <t>Mon, 25 Feb 2019 00:00:00 GMT</t>
  </si>
  <si>
    <t>Tue, 26 Feb 2019 00:00:00 GMT</t>
  </si>
  <si>
    <t>Wed, 27 Feb 2019 00:00:00 GMT</t>
  </si>
  <si>
    <t>Thu, 28 Feb 2019 00:00:00 GMT</t>
  </si>
  <si>
    <t>Fri, 01 Mar 2019 00:00:00 GMT</t>
  </si>
  <si>
    <t>Mon, 04 Mar 2019 00:00:00 GMT</t>
  </si>
  <si>
    <t>Tue, 05 Mar 2019 00:00:00 GMT</t>
  </si>
  <si>
    <t>Wed, 06 Mar 2019 00:00:00 GMT</t>
  </si>
  <si>
    <t>Thu, 07 Mar 2019 00:00:00 GMT</t>
  </si>
  <si>
    <t>Fri, 08 Mar 2019 00:00:00 GMT</t>
  </si>
  <si>
    <t>Mon, 11 Mar 2019 00:00:00 GMT</t>
  </si>
  <si>
    <t>Tue, 12 Mar 2019 00:00:00 GMT</t>
  </si>
  <si>
    <t>Wed, 13 Mar 2019 00:00:00 GMT</t>
  </si>
  <si>
    <t>Thu, 14 Mar 2019 00:00:00 GMT</t>
  </si>
  <si>
    <t>Fri, 15 Mar 2019 00:00:00 GMT</t>
  </si>
  <si>
    <t>Mon, 18 Mar 2019 00:00:00 GMT</t>
  </si>
  <si>
    <t>Tue, 19 Mar 2019 00:00:00 GMT</t>
  </si>
  <si>
    <t>Wed, 20 Mar 2019 00:00:00 GMT</t>
  </si>
  <si>
    <t>Thu, 21 Mar 2019 00:00:00 GMT</t>
  </si>
  <si>
    <t>Fri, 22 Mar 2019 00:00:00 GMT</t>
  </si>
  <si>
    <t>Mon, 25 Mar 2019 00:00:00 GMT</t>
  </si>
  <si>
    <t>Tue, 26 Mar 2019 00:00:00 GMT</t>
  </si>
  <si>
    <t>Wed, 27 Mar 2019 00:00:00 GMT</t>
  </si>
  <si>
    <t>Thu, 28 Mar 2019 00:00:00 GMT</t>
  </si>
  <si>
    <t>Fri, 29 Mar 2019 00:00:00 GMT</t>
  </si>
  <si>
    <t>Mon, 01 Apr 2019 00:00:00 GMT</t>
  </si>
  <si>
    <t>Tue, 02 Apr 2019 00:00:00 GMT</t>
  </si>
  <si>
    <t>Wed, 03 Apr 2019 00:00:00 GMT</t>
  </si>
  <si>
    <t>Thu, 04 Apr 2019 00:00:00 GMT</t>
  </si>
  <si>
    <t>Fri, 05 Apr 2019 00:00:00 GMT</t>
  </si>
  <si>
    <t>Mon, 08 Apr 2019 00:00:00 GMT</t>
  </si>
  <si>
    <t>Tue, 09 Apr 2019 00:00:00 GMT</t>
  </si>
  <si>
    <t>Wed, 10 Apr 2019 00:00:00 GMT</t>
  </si>
  <si>
    <t>Thu, 11 Apr 2019 00:00:00 GMT</t>
  </si>
  <si>
    <t>Fri, 12 Apr 2019 00:00:00 GMT</t>
  </si>
  <si>
    <t>Mon, 15 Apr 2019 00:00:00 GMT</t>
  </si>
  <si>
    <t>Tue, 16 Apr 2019 00:00:00 GMT</t>
  </si>
  <si>
    <t>Wed, 17 Apr 2019 00:00:00 GMT</t>
  </si>
  <si>
    <t>Thu, 18 Apr 2019 00:00:00 GMT</t>
  </si>
  <si>
    <t>Mon, 22 Apr 2019 00:00:00 GMT</t>
  </si>
  <si>
    <t>Tue, 23 Apr 2019 00:00:00 GMT</t>
  </si>
  <si>
    <t>Wed, 24 Apr 2019 00:00:00 GMT</t>
  </si>
  <si>
    <t>Thu, 25 Apr 2019 00:00:00 GMT</t>
  </si>
  <si>
    <t>Fri, 26 Apr 2019 00:00:00 GMT</t>
  </si>
  <si>
    <t>Mon, 29 Apr 2019 00:00:00 GMT</t>
  </si>
  <si>
    <t>Tue, 30 Apr 2019 00:00:00 GMT</t>
  </si>
  <si>
    <t>Wed, 01 May 2019 00:00:00 GMT</t>
  </si>
  <si>
    <t>Thu, 02 May 2019 00:00:00 GMT</t>
  </si>
  <si>
    <t>Fri, 03 May 2019 00:00:00 GMT</t>
  </si>
  <si>
    <t>Mon, 06 May 2019 00:00:00 GMT</t>
  </si>
  <si>
    <t>Tue, 07 May 2019 00:00:00 GMT</t>
  </si>
  <si>
    <t>Wed, 08 May 2019 00:00:00 GMT</t>
  </si>
  <si>
    <t>Thu, 09 May 2019 00:00:00 GMT</t>
  </si>
  <si>
    <t>Fri, 10 May 2019 00:00:00 GMT</t>
  </si>
  <si>
    <t>Mon, 13 May 2019 00:00:00 GMT</t>
  </si>
  <si>
    <t>Tue, 14 May 2019 00:00:00 GMT</t>
  </si>
  <si>
    <t>Wed, 15 May 2019 00:00:00 GMT</t>
  </si>
  <si>
    <t>Thu, 16 May 2019 00:00:00 GMT</t>
  </si>
  <si>
    <t>Fri, 17 May 2019 00:00:00 GMT</t>
  </si>
  <si>
    <t>Mon, 20 May 2019 00:00:00 GMT</t>
  </si>
  <si>
    <t>Tue, 21 May 2019 00:00:00 GMT</t>
  </si>
  <si>
    <t>Wed, 22 May 2019 00:00:00 GMT</t>
  </si>
  <si>
    <t>Thu, 23 May 2019 00:00:00 GMT</t>
  </si>
  <si>
    <t>Fri, 24 May 2019 00:00:00 GMT</t>
  </si>
  <si>
    <t>Tue, 28 May 2019 00:00:00 GMT</t>
  </si>
  <si>
    <t>Wed, 29 May 2019 00:00:00 GMT</t>
  </si>
  <si>
    <t>Thu, 30 May 2019 00:00:00 GMT</t>
  </si>
  <si>
    <t>Fri, 31 May 2019 00:00:00 GMT</t>
  </si>
  <si>
    <t>Mon, 03 Jun 2019 00:00:00 GMT</t>
  </si>
  <si>
    <t>Tue, 04 Jun 2019 00:00:00 GMT</t>
  </si>
  <si>
    <t>Wed, 05 Jun 2019 00:00:00 GMT</t>
  </si>
  <si>
    <t>Thu, 06 Jun 2019 00:00:00 GMT</t>
  </si>
  <si>
    <t>Fri, 07 Jun 2019 00:00:00 GMT</t>
  </si>
  <si>
    <t>Mon, 10 Jun 2019 00:00:00 GMT</t>
  </si>
  <si>
    <t>Tue, 11 Jun 2019 00:00:00 GMT</t>
  </si>
  <si>
    <t>Wed, 12 Jun 2019 00:00:00 GMT</t>
  </si>
  <si>
    <t>Thu, 13 Jun 2019 00:00:00 GMT</t>
  </si>
  <si>
    <t>Fri, 14 Jun 2019 00:00:00 GMT</t>
  </si>
  <si>
    <t>Mon, 17 Jun 2019 00:00:00 GMT</t>
  </si>
  <si>
    <t>Tue, 18 Jun 2019 00:00:00 GMT</t>
  </si>
  <si>
    <t>Wed, 19 Jun 2019 00:00:00 GMT</t>
  </si>
  <si>
    <t>Thu, 20 Jun 2019 00:00:00 GMT</t>
  </si>
  <si>
    <t>Fri, 21 Jun 2019 00:00:00 GMT</t>
  </si>
  <si>
    <t>Mon, 24 Jun 2019 00:00:00 GMT</t>
  </si>
  <si>
    <t>Tue, 25 Jun 2019 00:00:00 GMT</t>
  </si>
  <si>
    <t>Wed, 26 Jun 2019 00:00:00 GMT</t>
  </si>
  <si>
    <t>Thu, 27 Jun 2019 00:00:00 GMT</t>
  </si>
  <si>
    <t>Fri, 28 Jun 2019 00:00:00 GMT</t>
  </si>
  <si>
    <t>Mon, 01 Jul 2019 00:00:00 GMT</t>
  </si>
  <si>
    <t>Tue, 02 Jul 2019 00:00:00 GMT</t>
  </si>
  <si>
    <t>Wed, 03 Jul 2019 00:00:00 GMT</t>
  </si>
  <si>
    <t>Fri, 05 Jul 2019 00:00:00 GMT</t>
  </si>
  <si>
    <t>Mon, 08 Jul 2019 00:00:00 GMT</t>
  </si>
  <si>
    <t>Tue, 09 Jul 2019 00:00:00 GMT</t>
  </si>
  <si>
    <t>Wed, 10 Jul 2019 00:00:00 GMT</t>
  </si>
  <si>
    <t>Thu, 11 Jul 2019 00:00:00 GMT</t>
  </si>
  <si>
    <t>Fri, 12 Jul 2019 00:00:00 GMT</t>
  </si>
  <si>
    <t>Mon, 15 Jul 2019 00:00:00 GMT</t>
  </si>
  <si>
    <t>Tue, 16 Jul 2019 00:00:00 GMT</t>
  </si>
  <si>
    <t>Wed, 17 Jul 2019 00:00:00 GMT</t>
  </si>
  <si>
    <t>Thu, 18 Jul 2019 00:00:00 GMT</t>
  </si>
  <si>
    <t>Fri, 19 Jul 2019 00:00:00 GMT</t>
  </si>
  <si>
    <t>Mon, 22 Jul 2019 00:00:00 GMT</t>
  </si>
  <si>
    <t>Tue, 23 Jul 2019 00:00:00 GMT</t>
  </si>
  <si>
    <t>Wed, 24 Jul 2019 00:00:00 GMT</t>
  </si>
  <si>
    <t>Thu, 25 Jul 2019 00:00:00 GMT</t>
  </si>
  <si>
    <t>Fri, 26 Jul 2019 00:00:00 GMT</t>
  </si>
  <si>
    <t>Mon, 29 Jul 2019 00:00:00 GMT</t>
  </si>
  <si>
    <t>Tue, 30 Jul 2019 00:00:00 GMT</t>
  </si>
  <si>
    <t>Wed, 31 Jul 2019 00:00:00 GMT</t>
  </si>
  <si>
    <t>Thu, 01 Aug 2019 00:00:00 GMT</t>
  </si>
  <si>
    <t>Fri, 02 Aug 2019 00:00:00 GMT</t>
  </si>
  <si>
    <t>Mon, 05 Aug 2019 00:00:00 GMT</t>
  </si>
  <si>
    <t>Tue, 06 Aug 2019 00:00:00 GMT</t>
  </si>
  <si>
    <t>Wed, 07 Aug 2019 00:00:00 GMT</t>
  </si>
  <si>
    <t>Thu, 08 Aug 2019 00:00:00 GMT</t>
  </si>
  <si>
    <t>Fri, 09 Aug 2019 00:00:00 GMT</t>
  </si>
  <si>
    <t>Mon, 12 Aug 2019 00:00:00 GMT</t>
  </si>
  <si>
    <t>Tue, 13 Aug 2019 00:00:00 GMT</t>
  </si>
  <si>
    <t>Wed, 14 Aug 2019 00:00:00 GMT</t>
  </si>
  <si>
    <t>Thu, 15 Aug 2019 00:00:00 GMT</t>
  </si>
  <si>
    <t>Fri, 16 Aug 2019 00:00:00 GMT</t>
  </si>
  <si>
    <t>Mon, 19 Aug 2019 00:00:00 GMT</t>
  </si>
  <si>
    <t>Tue, 20 Aug 2019 00:00:00 GMT</t>
  </si>
  <si>
    <t>Wed, 21 Aug 2019 00:00:00 GMT</t>
  </si>
  <si>
    <t>Thu, 22 Aug 2019 00:00:00 GMT</t>
  </si>
  <si>
    <t>Fri, 23 Aug 2019 00:00:00 GMT</t>
  </si>
  <si>
    <t>Mon, 26 Aug 2019 00:00:00 GMT</t>
  </si>
  <si>
    <t>Tue, 27 Aug 2019 00:00:00 GMT</t>
  </si>
  <si>
    <t>Wed, 28 Aug 2019 00:00:00 GMT</t>
  </si>
  <si>
    <t>Thu, 29 Aug 2019 00:00:00 GMT</t>
  </si>
  <si>
    <t>Fri, 30 Aug 2019 00:00:00 GMT</t>
  </si>
  <si>
    <t>Tue, 03 Sep 2019 00:00:00 GMT</t>
  </si>
  <si>
    <t>Wed, 04 Sep 2019 00:00:00 GMT</t>
  </si>
  <si>
    <t>Thu, 05 Sep 2019 00:00:00 GMT</t>
  </si>
  <si>
    <t>Fri, 06 Sep 2019 00:00:00 GMT</t>
  </si>
  <si>
    <t>Mon, 09 Sep 2019 00:00:00 GMT</t>
  </si>
  <si>
    <t>Tue, 10 Sep 2019 00:00:00 GMT</t>
  </si>
  <si>
    <t>Wed, 11 Sep 2019 00:00:00 GMT</t>
  </si>
  <si>
    <t>Thu, 12 Sep 2019 00:00:00 GMT</t>
  </si>
  <si>
    <t>Fri, 13 Sep 2019 00:00:00 GMT</t>
  </si>
  <si>
    <t>Mon, 16 Sep 2019 00:00:00 GMT</t>
  </si>
  <si>
    <t>Tue, 17 Sep 2019 00:00:00 GMT</t>
  </si>
  <si>
    <t>Wed, 18 Sep 2019 00:00:00 GMT</t>
  </si>
  <si>
    <t>Thu, 19 Sep 2019 00:00:00 GMT</t>
  </si>
  <si>
    <t>Fri, 20 Sep 2019 00:00:00 GMT</t>
  </si>
  <si>
    <t>Mon, 23 Sep 2019 00:00:00 GMT</t>
  </si>
  <si>
    <t>Tue, 24 Sep 2019 00:00:00 GMT</t>
  </si>
  <si>
    <t>Wed, 25 Sep 2019 00:00:00 GMT</t>
  </si>
  <si>
    <t>Thu, 26 Sep 2019 00:00:00 GMT</t>
  </si>
  <si>
    <t>Fri, 27 Sep 2019 00:00:00 GMT</t>
  </si>
  <si>
    <t>Mon, 30 Sep 2019 00:00:00 GMT</t>
  </si>
  <si>
    <t>Tue, 01 Oct 2019 00:00:00 GMT</t>
  </si>
  <si>
    <t>Wed, 02 Oct 2019 00:00:00 GMT</t>
  </si>
  <si>
    <t>Thu, 03 Oct 2019 00:00:00 GMT</t>
  </si>
  <si>
    <t>Fri, 04 Oct 2019 00:00:00 GMT</t>
  </si>
  <si>
    <t>Mon, 07 Oct 2019 00:00:00 GMT</t>
  </si>
  <si>
    <t>Tue, 08 Oct 2019 00:00:00 GMT</t>
  </si>
  <si>
    <t>Wed, 09 Oct 2019 00:00:00 GMT</t>
  </si>
  <si>
    <t>Thu, 10 Oct 2019 00:00:00 GMT</t>
  </si>
  <si>
    <t>Fri, 11 Oct 2019 00:00:00 GMT</t>
  </si>
  <si>
    <t>Mon, 14 Oct 2019 00:00:00 GMT</t>
  </si>
  <si>
    <t>Tue, 15 Oct 2019 00:00:00 GMT</t>
  </si>
  <si>
    <t>Wed, 16 Oct 2019 00:00:00 GMT</t>
  </si>
  <si>
    <t>Thu, 17 Oct 2019 00:00:00 GMT</t>
  </si>
  <si>
    <t>Fri, 18 Oct 2019 00:00:00 GMT</t>
  </si>
  <si>
    <t>Mon, 21 Oct 2019 00:00:00 GMT</t>
  </si>
  <si>
    <t>Tue, 22 Oct 2019 00:00:00 GMT</t>
  </si>
  <si>
    <t>Wed, 23 Oct 2019 00:00:00 GMT</t>
  </si>
  <si>
    <t>Thu, 24 Oct 2019 00:00:00 GMT</t>
  </si>
  <si>
    <t>Fri, 25 Oct 2019 00:00:00 GMT</t>
  </si>
  <si>
    <t>Mon, 28 Oct 2019 00:00:00 GMT</t>
  </si>
  <si>
    <t>Tue, 29 Oct 2019 00:00:00 GMT</t>
  </si>
  <si>
    <t>Wed, 30 Oct 2019 00:00:00 GMT</t>
  </si>
  <si>
    <t>Thu, 31 Oct 2019 00:00:00 GMT</t>
  </si>
  <si>
    <t>Fri, 01 Nov 2019 00:00:00 GMT</t>
  </si>
  <si>
    <t>Mon, 04 Nov 2019 00:00:00 GMT</t>
  </si>
  <si>
    <t>Tue, 05 Nov 2019 00:00:00 GMT</t>
  </si>
  <si>
    <t>Wed, 06 Nov 2019 00:00:00 GMT</t>
  </si>
  <si>
    <t>Thu, 07 Nov 2019 00:00:00 GMT</t>
  </si>
  <si>
    <t>Fri, 08 Nov 2019 00:00:00 GMT</t>
  </si>
  <si>
    <t>Mon, 11 Nov 2019 00:00:00 GMT</t>
  </si>
  <si>
    <t>Tue, 12 Nov 2019 00:00:00 GMT</t>
  </si>
  <si>
    <t>Wed, 13 Nov 2019 00:00:00 GMT</t>
  </si>
  <si>
    <t>Thu, 14 Nov 2019 00:00:00 GMT</t>
  </si>
  <si>
    <t>Fri, 15 Nov 2019 00:00:00 GMT</t>
  </si>
  <si>
    <t>Mon, 18 Nov 2019 00:00:00 GMT</t>
  </si>
  <si>
    <t>Tue, 19 Nov 2019 00:00:00 GMT</t>
  </si>
  <si>
    <t>Wed, 20 Nov 2019 00:00:00 GMT</t>
  </si>
  <si>
    <t>Thu, 21 Nov 2019 00:00:00 GMT</t>
  </si>
  <si>
    <t>Fri, 22 Nov 2019 00:00:00 GMT</t>
  </si>
  <si>
    <t>Mon, 25 Nov 2019 00:00:00 GMT</t>
  </si>
  <si>
    <t>Tue, 26 Nov 2019 00:00:00 GMT</t>
  </si>
  <si>
    <t>Wed, 27 Nov 2019 00:00:00 GMT</t>
  </si>
  <si>
    <t>Fri, 29 Nov 2019 00:00:00 GMT</t>
  </si>
  <si>
    <t>Mon, 02 Dec 2019 00:00:00 GMT</t>
  </si>
  <si>
    <t>Tue, 03 Dec 2019 00:00:00 GMT</t>
  </si>
  <si>
    <t>Wed, 04 Dec 2019 00:00:00 GMT</t>
  </si>
  <si>
    <t>Thu, 05 Dec 2019 00:00:00 GMT</t>
  </si>
  <si>
    <t>Fri, 06 Dec 2019 00:00:00 GMT</t>
  </si>
  <si>
    <t>Mon, 09 Dec 2019 00:00:00 GMT</t>
  </si>
  <si>
    <t>Tue, 10 Dec 2019 00:00:00 GMT</t>
  </si>
  <si>
    <t>Wed, 11 Dec 2019 00:00:00 GMT</t>
  </si>
  <si>
    <t>Thu, 12 Dec 2019 00:00:00 GMT</t>
  </si>
  <si>
    <t>Fri, 13 Dec 2019 00:00:00 GMT</t>
  </si>
  <si>
    <t>Mon, 16 Dec 2019 00:00:00 GMT</t>
  </si>
  <si>
    <t>Tue, 17 Dec 2019 00:00:00 GMT</t>
  </si>
  <si>
    <t>Wed, 18 Dec 2019 00:00:00 GMT</t>
  </si>
  <si>
    <t>Thu, 19 Dec 2019 00:00:00 GMT</t>
  </si>
  <si>
    <t>Fri, 20 Dec 2019 00:00:00 GMT</t>
  </si>
  <si>
    <t>Mon, 23 Dec 2019 00:00:00 GMT</t>
  </si>
  <si>
    <t>Tue, 24 Dec 2019 00:00:00 GMT</t>
  </si>
  <si>
    <t>Thu, 26 Dec 2019 00:00:00 GMT</t>
  </si>
  <si>
    <t>Fri, 27 Dec 2019 00:00:00 GMT</t>
  </si>
  <si>
    <t>Mon, 30 Dec 2019 00:00:00 GMT</t>
  </si>
  <si>
    <t>Tue, 31 Dec 2019 00:00:00 GMT</t>
  </si>
  <si>
    <t>Thu, 02 Jan 2020 00:00:00 GMT</t>
  </si>
  <si>
    <t>Fri, 03 Jan 2020 00:00:00 GMT</t>
  </si>
  <si>
    <t>Mon, 06 Jan 2020 00:00:00 GMT</t>
  </si>
  <si>
    <t>Tue, 07 Jan 2020 00:00:00 GMT</t>
  </si>
  <si>
    <t>Wed, 08 Jan 2020 00:00:00 GMT</t>
  </si>
  <si>
    <t>Thu, 09 Jan 2020 00:00:00 GMT</t>
  </si>
  <si>
    <t>Fri, 10 Jan 2020 00:00:00 GMT</t>
  </si>
  <si>
    <t>Mon, 13 Jan 2020 00:00:00 GMT</t>
  </si>
  <si>
    <t>Tue, 14 Jan 2020 00:00:00 GMT</t>
  </si>
  <si>
    <t>Wed, 15 Jan 2020 00:00:00 GMT</t>
  </si>
  <si>
    <t>Thu, 16 Jan 2020 00:00:00 GMT</t>
  </si>
  <si>
    <t>Fri, 17 Jan 2020 00:00:00 GMT</t>
  </si>
  <si>
    <t>Tue, 21 Jan 2020 00:00:00 GMT</t>
  </si>
  <si>
    <t>Wed, 22 Jan 2020 00:00:00 GMT</t>
  </si>
  <si>
    <t>Thu, 23 Jan 2020 00:00:00 GMT</t>
  </si>
  <si>
    <t>Fri, 24 Jan 2020 00:00:00 GMT</t>
  </si>
  <si>
    <t>Mon, 27 Jan 2020 00:00:00 GMT</t>
  </si>
  <si>
    <t>Tue, 28 Jan 2020 00:00:00 GMT</t>
  </si>
  <si>
    <t>Wed, 29 Jan 2020 00:00:00 GMT</t>
  </si>
  <si>
    <t>Thu, 30 Jan 2020 00:00:00 GMT</t>
  </si>
  <si>
    <t>Fri, 31 Jan 2020 00:00:00 GMT</t>
  </si>
  <si>
    <t>Mon, 03 Feb 2020 00:00:00 GMT</t>
  </si>
  <si>
    <t>Tue, 04 Feb 2020 00:00:00 GMT</t>
  </si>
  <si>
    <t>Wed, 05 Feb 2020 00:00:00 GMT</t>
  </si>
  <si>
    <t>Thu, 06 Feb 2020 00:00:00 GMT</t>
  </si>
  <si>
    <t>Fri, 07 Feb 2020 00:00:00 GMT</t>
  </si>
  <si>
    <t>Mon, 10 Feb 2020 00:00:00 GMT</t>
  </si>
  <si>
    <t>Tue, 11 Feb 2020 00:00:00 GMT</t>
  </si>
  <si>
    <t>Wed, 12 Feb 2020 00:00:00 GMT</t>
  </si>
  <si>
    <t>Thu, 13 Feb 2020 00:00:00 GMT</t>
  </si>
  <si>
    <t>Fri, 14 Feb 2020 00:00:00 GMT</t>
  </si>
  <si>
    <t>Tue, 18 Feb 2020 00:00:00 GMT</t>
  </si>
  <si>
    <t>Wed, 19 Feb 2020 00:00:00 GMT</t>
  </si>
  <si>
    <t>Thu, 20 Feb 2020 00:00:00 GMT</t>
  </si>
  <si>
    <t>Fri, 21 Feb 2020 00:00:00 GMT</t>
  </si>
  <si>
    <t>Mon, 24 Feb 2020 00:00:00 GMT</t>
  </si>
  <si>
    <t>Tue, 25 Feb 2020 00:00:00 GMT</t>
  </si>
  <si>
    <t>Wed, 26 Feb 2020 00:00:00 GMT</t>
  </si>
  <si>
    <t>Thu, 27 Feb 2020 00:00:00 GMT</t>
  </si>
  <si>
    <t>Fri, 28 Feb 2020 00:00:00 GMT</t>
  </si>
  <si>
    <t>Mon, 02 Mar 2020 00:00:00 GMT</t>
  </si>
  <si>
    <t>Tue, 03 Mar 2020 00:00:00 GMT</t>
  </si>
  <si>
    <t>Wed, 04 Mar 2020 00:00:00 GMT</t>
  </si>
  <si>
    <t>Thu, 05 Mar 2020 00:00:00 GMT</t>
  </si>
  <si>
    <t>Fri, 06 Mar 2020 00:00:00 GMT</t>
  </si>
  <si>
    <t>Mon, 09 Mar 2020 00:00:00 GMT</t>
  </si>
  <si>
    <t>Tue, 10 Mar 2020 00:00:00 GMT</t>
  </si>
  <si>
    <t>Wed, 11 Mar 2020 00:00:00 GMT</t>
  </si>
  <si>
    <t>Thu, 12 Mar 2020 00:00:00 GMT</t>
  </si>
  <si>
    <t>Fri, 13 Mar 2020 00:00:00 GMT</t>
  </si>
  <si>
    <t>Mon, 16 Mar 2020 00:00:00 GMT</t>
  </si>
  <si>
    <t>Tue, 17 Mar 2020 00:00:00 GMT</t>
  </si>
  <si>
    <t>Wed, 18 Mar 2020 00:00:00 GMT</t>
  </si>
  <si>
    <t>Thu, 19 Mar 2020 00:00:00 GMT</t>
  </si>
  <si>
    <t>Fri, 20 Mar 2020 00:00:00 GMT</t>
  </si>
  <si>
    <t>Mon, 23 Mar 2020 00:00:00 GMT</t>
  </si>
  <si>
    <t>Tue, 24 Mar 2020 00:00:00 GMT</t>
  </si>
  <si>
    <t>Wed, 25 Mar 2020 00:00:00 GMT</t>
  </si>
  <si>
    <t>Thu, 26 Mar 2020 00:00:00 GMT</t>
  </si>
  <si>
    <t>Fri, 27 Mar 2020 00:00:00 GMT</t>
  </si>
  <si>
    <t>Mon, 30 Mar 2020 00:00:00 GMT</t>
  </si>
  <si>
    <t>Tue, 31 Mar 2020 00:00:00 GMT</t>
  </si>
  <si>
    <t>Wed, 01 Apr 2020 00:00:00 GMT</t>
  </si>
  <si>
    <t>Thu, 02 Apr 2020 00:00:00 GMT</t>
  </si>
  <si>
    <t>Fri, 03 Apr 2020 00:00:00 GMT</t>
  </si>
  <si>
    <t>Mon, 06 Apr 2020 00:00:00 GMT</t>
  </si>
  <si>
    <t>Tue, 07 Apr 2020 00:00:00 GMT</t>
  </si>
  <si>
    <t>Wed, 08 Apr 2020 00:00:00 GMT</t>
  </si>
  <si>
    <t>Thu, 09 Apr 2020 00:00:00 GMT</t>
  </si>
  <si>
    <t>Mon, 13 Apr 2020 00:00:00 GMT</t>
  </si>
  <si>
    <t>Tue, 14 Apr 2020 00:00:00 GMT</t>
  </si>
  <si>
    <t>Wed, 15 Apr 2020 00:00:00 GMT</t>
  </si>
  <si>
    <t>Thu, 16 Apr 2020 00:00:00 GMT</t>
  </si>
  <si>
    <t>Fri, 17 Apr 2020 00:00:00 GMT</t>
  </si>
  <si>
    <t>Mon, 20 Apr 2020 00:00:00 GMT</t>
  </si>
  <si>
    <t>Tue, 21 Apr 2020 00:00:00 GMT</t>
  </si>
  <si>
    <t>Wed, 22 Apr 2020 00:00:00 GMT</t>
  </si>
  <si>
    <t>Thu, 23 Apr 2020 00:00:00 GMT</t>
  </si>
  <si>
    <t>Fri, 24 Apr 2020 00:00:00 GMT</t>
  </si>
  <si>
    <t>Mon, 27 Apr 2020 00:00:00 GMT</t>
  </si>
  <si>
    <t>Tue, 28 Apr 2020 00:00:00 GMT</t>
  </si>
  <si>
    <t>Wed, 29 Apr 2020 00:00:00 GMT</t>
  </si>
  <si>
    <t>Thu, 30 Apr 2020 00:00:00 GMT</t>
  </si>
  <si>
    <t>Fri, 01 May 2020 00:00:00 GMT</t>
  </si>
  <si>
    <t>Mon, 04 May 2020 00:00:00 GMT</t>
  </si>
  <si>
    <t>Tue, 05 May 2020 00:00:00 GMT</t>
  </si>
  <si>
    <t>Wed, 06 May 2020 00:00:00 GMT</t>
  </si>
  <si>
    <t>Thu, 07 May 2020 00:00:00 GMT</t>
  </si>
  <si>
    <t>Fri, 08 May 2020 00:00:00 GMT</t>
  </si>
  <si>
    <t>Mon, 11 May 2020 00:00:00 GMT</t>
  </si>
  <si>
    <t>Tue, 12 May 2020 00:00:00 GMT</t>
  </si>
  <si>
    <t>Wed, 13 May 2020 00:00:00 GMT</t>
  </si>
  <si>
    <t>Thu, 14 May 2020 00:00:00 GMT</t>
  </si>
  <si>
    <t>Fri, 15 May 2020 00:00:00 GMT</t>
  </si>
  <si>
    <t>Mon, 18 May 2020 00:00:00 GMT</t>
  </si>
  <si>
    <t>Tue, 19 May 2020 00:00:00 GMT</t>
  </si>
  <si>
    <t>Wed, 20 May 2020 00:00:00 GMT</t>
  </si>
  <si>
    <t>Thu, 21 May 2020 00:00:00 GMT</t>
  </si>
  <si>
    <t>Fri, 22 May 2020 00:00:00 GMT</t>
  </si>
  <si>
    <t>Tue, 26 May 2020 00:00:00 GMT</t>
  </si>
  <si>
    <t>Wed, 27 May 2020 00:00:00 GMT</t>
  </si>
  <si>
    <t>Thu, 28 May 2020 00:00:00 GMT</t>
  </si>
  <si>
    <t>Fri, 29 May 2020 00:00:00 GMT</t>
  </si>
  <si>
    <t>Mon, 01 Jun 2020 00:00:00 GMT</t>
  </si>
  <si>
    <t>Tue, 02 Jun 2020 00:00:00 GMT</t>
  </si>
  <si>
    <t>Wed, 03 Jun 2020 00:00:00 GMT</t>
  </si>
  <si>
    <t>Thu, 04 Jun 2020 00:00:00 GMT</t>
  </si>
  <si>
    <t>Fri, 05 Jun 2020 00:00:00 GMT</t>
  </si>
  <si>
    <t>Mon, 08 Jun 2020 00:00:00 GMT</t>
  </si>
  <si>
    <t>Tue, 09 Jun 2020 00:00:00 GMT</t>
  </si>
  <si>
    <t>Wed, 10 Jun 2020 00:00:00 GMT</t>
  </si>
  <si>
    <t>Thu, 11 Jun 2020 00:00:00 GMT</t>
  </si>
  <si>
    <t>Fri, 12 Jun 2020 00:00:00 GMT</t>
  </si>
  <si>
    <t>Mon, 15 Jun 2020 00:00:00 GMT</t>
  </si>
  <si>
    <t>Tue, 16 Jun 2020 00:00:00 GMT</t>
  </si>
  <si>
    <t>Wed, 17 Jun 2020 00:00:00 GMT</t>
  </si>
  <si>
    <t>Thu, 18 Jun 2020 00:00:00 GMT</t>
  </si>
  <si>
    <t>Fri, 19 Jun 2020 00:00:00 GMT</t>
  </si>
  <si>
    <t>Mon, 22 Jun 2020 00:00:00 GMT</t>
  </si>
  <si>
    <t>Tue, 23 Jun 2020 00:00:00 GMT</t>
  </si>
  <si>
    <t>Wed, 24 Jun 2020 00:00:00 GMT</t>
  </si>
  <si>
    <t>Thu, 25 Jun 2020 00:00:00 GMT</t>
  </si>
  <si>
    <t>Fri, 26 Jun 2020 00:00:00 GMT</t>
  </si>
  <si>
    <t>Mon, 29 Jun 2020 00:00:00 GMT</t>
  </si>
  <si>
    <t>Tue, 30 Jun 2020 00:00:00 GMT</t>
  </si>
  <si>
    <t>Wed, 01 Jul 2020 00:00:00 GMT</t>
  </si>
  <si>
    <t>Thu, 02 Jul 2020 00:00:00 GMT</t>
  </si>
  <si>
    <t>Mon, 06 Jul 2020 00:00:00 GMT</t>
  </si>
  <si>
    <t>Tue, 07 Jul 2020 00:00:00 GMT</t>
  </si>
  <si>
    <t>Wed, 08 Jul 2020 00:00:00 GMT</t>
  </si>
  <si>
    <t>Thu, 09 Jul 2020 00:00:00 GMT</t>
  </si>
  <si>
    <t>Fri, 10 Jul 2020 00:00:00 GMT</t>
  </si>
  <si>
    <t>Mon, 13 Jul 2020 00:00:00 GMT</t>
  </si>
  <si>
    <t>Tue, 14 Jul 2020 00:00:00 GMT</t>
  </si>
  <si>
    <t>Wed, 15 Jul 2020 00:00:00 GMT</t>
  </si>
  <si>
    <t>Thu, 16 Jul 2020 00:00:00 GMT</t>
  </si>
  <si>
    <t>Fri, 17 Jul 2020 00:00:00 GMT</t>
  </si>
  <si>
    <t>Mon, 20 Jul 2020 00:00:00 GMT</t>
  </si>
  <si>
    <t>Tue, 21 Jul 2020 00:00:00 GMT</t>
  </si>
  <si>
    <t>Wed, 22 Jul 2020 00:00:00 GMT</t>
  </si>
  <si>
    <t>Thu, 23 Jul 2020 00:00:00 GMT</t>
  </si>
  <si>
    <t>Fri, 24 Jul 2020 00:00:00 GMT</t>
  </si>
  <si>
    <t>Mon, 27 Jul 2020 00:00:00 GMT</t>
  </si>
  <si>
    <t>Tue, 28 Jul 2020 00:00:00 GMT</t>
  </si>
  <si>
    <t>Wed, 29 Jul 2020 00:00:00 GMT</t>
  </si>
  <si>
    <t>Thu, 30 Jul 2020 00:00:00 GMT</t>
  </si>
  <si>
    <t>Fri, 31 Jul 2020 00:00:00 GMT</t>
  </si>
  <si>
    <t>Mon, 03 Aug 2020 00:00:00 GMT</t>
  </si>
  <si>
    <t>Tue, 04 Aug 2020 00:00:00 GMT</t>
  </si>
  <si>
    <t>Wed, 05 Aug 2020 00:00:00 GMT</t>
  </si>
  <si>
    <t>Thu, 06 Aug 2020 00:00:00 GMT</t>
  </si>
  <si>
    <t>Fri, 07 Aug 2020 00:00:00 GMT</t>
  </si>
  <si>
    <t>Mon, 10 Aug 2020 00:00:00 GMT</t>
  </si>
  <si>
    <t>Tue, 11 Aug 2020 00:00:00 GMT</t>
  </si>
  <si>
    <t>Wed, 12 Aug 2020 00:00:00 GMT</t>
  </si>
  <si>
    <t>Thu, 13 Aug 2020 00:00:00 GMT</t>
  </si>
  <si>
    <t>Fri, 14 Aug 2020 00:00:00 GMT</t>
  </si>
  <si>
    <t>Mon, 17 Aug 2020 00:00:00 GMT</t>
  </si>
  <si>
    <t>Tue, 18 Aug 2020 00:00:00 GMT</t>
  </si>
  <si>
    <t>Wed, 19 Aug 2020 00:00:00 GMT</t>
  </si>
  <si>
    <t>Thu, 20 Aug 2020 00:00:00 GMT</t>
  </si>
  <si>
    <t>Fri, 21 Aug 2020 00:00:00 GMT</t>
  </si>
  <si>
    <t>Mon, 24 Aug 2020 00:00:00 GMT</t>
  </si>
  <si>
    <t>Tue, 25 Aug 2020 00:00:00 GMT</t>
  </si>
  <si>
    <t>Wed, 26 Aug 2020 00:00:00 GMT</t>
  </si>
  <si>
    <t>Thu, 27 Aug 2020 00:00:00 GMT</t>
  </si>
  <si>
    <t>Fri, 28 Aug 2020 00:00:00 GMT</t>
  </si>
  <si>
    <t>Mon, 31 Aug 2020 00:00:00 GMT</t>
  </si>
  <si>
    <t>Tue, 01 Sep 2020 00:00:00 GMT</t>
  </si>
  <si>
    <t>Wed, 02 Sep 2020 00:00:00 GMT</t>
  </si>
  <si>
    <t>Thu, 03 Sep 2020 00:00:00 GMT</t>
  </si>
  <si>
    <t>Fri, 04 Sep 2020 00:00:00 GMT</t>
  </si>
  <si>
    <t>Tue, 08 Sep 2020 00:00:00 GMT</t>
  </si>
  <si>
    <t>Wed, 09 Sep 2020 00:00:00 GMT</t>
  </si>
  <si>
    <t>Thu, 10 Sep 2020 00:00:00 GMT</t>
  </si>
  <si>
    <t>Fri, 11 Sep 2020 00:00:00 GMT</t>
  </si>
  <si>
    <t>Mon, 14 Sep 2020 00:00:00 GMT</t>
  </si>
  <si>
    <t>Tue, 15 Sep 2020 00:00:00 GMT</t>
  </si>
  <si>
    <t>Wed, 16 Sep 2020 00:00:00 GMT</t>
  </si>
  <si>
    <t>Thu, 17 Sep 2020 00:00:00 GMT</t>
  </si>
  <si>
    <t>Fri, 18 Sep 2020 00:00:00 GMT</t>
  </si>
  <si>
    <t>Mon, 21 Sep 2020 00:00:00 GMT</t>
  </si>
  <si>
    <t>Tue, 22 Sep 2020 00:00:00 GMT</t>
  </si>
  <si>
    <t>Wed, 23 Sep 2020 00:00:00 GMT</t>
  </si>
  <si>
    <t>Thu, 24 Sep 2020 00:00:00 GMT</t>
  </si>
  <si>
    <t>Fri, 25 Sep 2020 00:00:00 GMT</t>
  </si>
  <si>
    <t>Mon, 28 Sep 2020 00:00:00 GMT</t>
  </si>
  <si>
    <t>Tue, 29 Sep 2020 00:00:00 GMT</t>
  </si>
  <si>
    <t>Wed, 30 Sep 2020 00:00:00 GMT</t>
  </si>
  <si>
    <t>Thu, 01 Oct 2020 00:00:00 GMT</t>
  </si>
  <si>
    <t>Fri, 02 Oct 2020 00:00:00 GMT</t>
  </si>
  <si>
    <t>Mon, 05 Oct 2020 00:00:00 GMT</t>
  </si>
  <si>
    <t>Tue, 06 Oct 2020 00:00:00 GMT</t>
  </si>
  <si>
    <t>Wed, 07 Oct 2020 00:00:00 GMT</t>
  </si>
  <si>
    <t>Thu, 08 Oct 2020 00:00:00 GMT</t>
  </si>
  <si>
    <t>Fri, 09 Oct 2020 00:00:00 GMT</t>
  </si>
  <si>
    <t>Mon, 12 Oct 2020 00:00:00 GMT</t>
  </si>
  <si>
    <t>Tue, 13 Oct 2020 00:00:00 GMT</t>
  </si>
  <si>
    <t>Wed, 14 Oct 2020 00:00:00 GMT</t>
  </si>
  <si>
    <t>Thu, 15 Oct 2020 00:00:00 GMT</t>
  </si>
  <si>
    <t>Fri, 16 Oct 2020 00:00:00 GMT</t>
  </si>
  <si>
    <t>Mon, 19 Oct 2020 00:00:00 GMT</t>
  </si>
  <si>
    <t>Tue, 20 Oct 2020 00:00:00 GMT</t>
  </si>
  <si>
    <t>Wed, 21 Oct 2020 00:00:00 GMT</t>
  </si>
  <si>
    <t>Thu, 22 Oct 2020 00:00:00 GMT</t>
  </si>
  <si>
    <t>Fri, 23 Oct 2020 00:00:00 GMT</t>
  </si>
  <si>
    <t>Mon, 26 Oct 2020 00:00:00 GMT</t>
  </si>
  <si>
    <t>Tue, 27 Oct 2020 00:00:00 GMT</t>
  </si>
  <si>
    <t>Wed, 28 Oct 2020 00:00:00 GMT</t>
  </si>
  <si>
    <t>Thu, 29 Oct 2020 00:00:00 GMT</t>
  </si>
  <si>
    <t>Fri, 30 Oct 2020 00:00:00 GMT</t>
  </si>
  <si>
    <t>Mon, 02 Nov 2020 00:00:00 GMT</t>
  </si>
  <si>
    <t>Tue, 03 Nov 2020 00:00:00 GMT</t>
  </si>
  <si>
    <t>Wed, 04 Nov 2020 00:00:00 GMT</t>
  </si>
  <si>
    <t>Thu, 05 Nov 2020 00:00:00 GMT</t>
  </si>
  <si>
    <t>Fri, 06 Nov 2020 00:00:00 GMT</t>
  </si>
  <si>
    <t>Mon, 09 Nov 2020 00:00:00 GMT</t>
  </si>
  <si>
    <t>Tue, 10 Nov 2020 00:00:00 GMT</t>
  </si>
  <si>
    <t>Wed, 11 Nov 2020 00:00:00 GMT</t>
  </si>
  <si>
    <t>Thu, 12 Nov 2020 00:00:00 GMT</t>
  </si>
  <si>
    <t>Fri, 13 Nov 2020 00:00:00 GMT</t>
  </si>
  <si>
    <t>Mon, 16 Nov 2020 00:00:00 GMT</t>
  </si>
  <si>
    <t>Tue, 17 Nov 2020 00:00:00 GMT</t>
  </si>
  <si>
    <t>Wed, 18 Nov 2020 00:00:00 GMT</t>
  </si>
  <si>
    <t>Thu, 19 Nov 2020 00:00:00 GMT</t>
  </si>
  <si>
    <t>Fri, 20 Nov 2020 00:00:00 GMT</t>
  </si>
  <si>
    <t>Mon, 23 Nov 2020 00:00:00 GMT</t>
  </si>
  <si>
    <t>Tue, 24 Nov 2020 00:00:00 GMT</t>
  </si>
  <si>
    <t>Wed, 25 Nov 2020 00:00:00 GMT</t>
  </si>
  <si>
    <t>Fri, 27 Nov 2020 00:00:00 GMT</t>
  </si>
  <si>
    <t>Mon, 30 Nov 2020 00:00:00 GMT</t>
  </si>
  <si>
    <t>Tue, 01 Dec 2020 00:00:00 GMT</t>
  </si>
  <si>
    <t>Wed, 02 Dec 2020 00:00:00 GMT</t>
  </si>
  <si>
    <t>Thu, 03 Dec 2020 00:00:00 GMT</t>
  </si>
  <si>
    <t>Fri, 04 Dec 2020 00:00:00 GMT</t>
  </si>
  <si>
    <t>Mon, 07 Dec 2020 00:00:00 GMT</t>
  </si>
  <si>
    <t>Tue, 08 Dec 2020 00:00:00 GMT</t>
  </si>
  <si>
    <t>Wed, 09 Dec 2020 00:00:00 GMT</t>
  </si>
  <si>
    <t>Thu, 10 Dec 2020 00:00:00 GMT</t>
  </si>
  <si>
    <t>Fri, 11 Dec 2020 00:00:00 GMT</t>
  </si>
  <si>
    <t>Mon, 14 Dec 2020 00:00:00 GMT</t>
  </si>
  <si>
    <t>Tue, 15 Dec 2020 00:00:00 GMT</t>
  </si>
  <si>
    <t>Wed, 16 Dec 2020 00:00:00 GMT</t>
  </si>
  <si>
    <t>Thu, 17 Dec 2020 00:00:00 GMT</t>
  </si>
  <si>
    <t>Fri, 18 Dec 2020 00:00:00 GMT</t>
  </si>
  <si>
    <t>Mon, 21 Dec 2020 00:00:00 GMT</t>
  </si>
  <si>
    <t>Tue, 22 Dec 2020 00:00:00 GMT</t>
  </si>
  <si>
    <t>Wed, 23 Dec 2020 00:00:00 GMT</t>
  </si>
  <si>
    <t>Thu, 24 Dec 2020 00:00:00 GMT</t>
  </si>
  <si>
    <t>Mon, 28 Dec 2020 00:00:00 GMT</t>
  </si>
  <si>
    <t>Tue, 29 Dec 2020 00:00:00 GMT</t>
  </si>
  <si>
    <t>Wed, 30 Dec 2020 00:00:00 GMT</t>
  </si>
  <si>
    <t>Thu, 31 Dec 2020 00:00:00 GMT</t>
  </si>
  <si>
    <t>Mon, 04 Jan 2021 00:00:00 GMT</t>
  </si>
  <si>
    <t>Tue, 05 Jan 2021 00:00:00 GMT</t>
  </si>
  <si>
    <t>Wed, 06 Jan 2021 00:00:00 GMT</t>
  </si>
  <si>
    <t>Thu, 07 Jan 2021 00:00:00 GMT</t>
  </si>
  <si>
    <t>Fri, 08 Jan 2021 00:00:00 GMT</t>
  </si>
  <si>
    <t>Mon, 11 Jan 2021 00:00:00 GMT</t>
  </si>
  <si>
    <t>Tue, 12 Jan 2021 00:00:00 GMT</t>
  </si>
  <si>
    <t>Wed, 13 Jan 2021 00:00:00 GMT</t>
  </si>
  <si>
    <t>Thu, 14 Jan 2021 00:00:00 GMT</t>
  </si>
  <si>
    <t>Fri, 15 Jan 2021 00:00:00 GMT</t>
  </si>
  <si>
    <t>Tue, 19 Jan 2021 00:00:00 GMT</t>
  </si>
  <si>
    <t>Wed, 20 Jan 2021 00:00:00 GMT</t>
  </si>
  <si>
    <t>Thu, 21 Jan 2021 00:00:00 GMT</t>
  </si>
  <si>
    <t>Fri, 22 Jan 2021 00:00:00 GMT</t>
  </si>
  <si>
    <t>Mon, 25 Jan 2021 00:00:00 GMT</t>
  </si>
  <si>
    <t>Tue, 26 Jan 2021 00:00:00 GMT</t>
  </si>
  <si>
    <t>Wed, 27 Jan 2021 00:00:00 GMT</t>
  </si>
  <si>
    <t>Thu, 28 Jan 2021 00:00:00 GMT</t>
  </si>
  <si>
    <t>Fri, 29 Jan 2021 00:00:00 GMT</t>
  </si>
  <si>
    <t>Mon, 01 Feb 2021 00:00:00 GMT</t>
  </si>
  <si>
    <t>Tue, 02 Feb 2021 00:00:00 GMT</t>
  </si>
  <si>
    <t>Wed, 03 Feb 2021 00:00:00 GMT</t>
  </si>
  <si>
    <t>Thu, 04 Feb 2021 00:00:00 GMT</t>
  </si>
  <si>
    <t>Fri, 05 Feb 2021 00:00:00 GMT</t>
  </si>
  <si>
    <t>Mon, 08 Feb 2021 00:00:00 GMT</t>
  </si>
  <si>
    <t>Tue, 09 Feb 2021 00:00:00 GMT</t>
  </si>
  <si>
    <t>Wed, 10 Feb 2021 00:00:00 GMT</t>
  </si>
  <si>
    <t>Thu, 11 Feb 2021 00:00:00 GMT</t>
  </si>
  <si>
    <t>Fri, 12 Feb 2021 00:00:00 GMT</t>
  </si>
  <si>
    <t>Tue, 16 Feb 2021 00:00:00 GMT</t>
  </si>
  <si>
    <t>Wed, 17 Feb 2021 00:00:00 GMT</t>
  </si>
  <si>
    <t>Thu, 18 Feb 2021 00:00:00 GMT</t>
  </si>
  <si>
    <t>Fri, 19 Feb 2021 00:00:00 GMT</t>
  </si>
  <si>
    <t>Mon, 22 Feb 2021 00:00:00 GMT</t>
  </si>
  <si>
    <t>Tue, 23 Feb 2021 00:00:00 GMT</t>
  </si>
  <si>
    <t>Wed, 24 Feb 2021 00:00:00 GMT</t>
  </si>
  <si>
    <t>Thu, 25 Feb 2021 00:00:00 GMT</t>
  </si>
  <si>
    <t>Fri, 26 Feb 2021 00:00:00 GMT</t>
  </si>
  <si>
    <t>Mon, 01 Mar 2021 00:00:00 GMT</t>
  </si>
  <si>
    <t>Tue, 02 Mar 2021 00:00:00 GMT</t>
  </si>
  <si>
    <t>Wed, 03 Mar 2021 00:00:00 GMT</t>
  </si>
  <si>
    <t>Thu, 04 Mar 2021 00:00:00 GMT</t>
  </si>
  <si>
    <t>Fri, 05 Mar 2021 00:00:00 GMT</t>
  </si>
  <si>
    <t>Mon, 08 Mar 2021 00:00:00 GMT</t>
  </si>
  <si>
    <t>Tue, 09 Mar 2021 00:00:00 GMT</t>
  </si>
  <si>
    <t>Wed, 10 Mar 2021 00:00:00 GMT</t>
  </si>
  <si>
    <t>Thu, 11 Mar 2021 00:00:00 GMT</t>
  </si>
  <si>
    <t>Fri, 12 Mar 2021 00:00:00 GMT</t>
  </si>
  <si>
    <t>Mon, 15 Mar 2021 00:00:00 GMT</t>
  </si>
  <si>
    <t>Tue, 16 Mar 2021 00:00:00 GMT</t>
  </si>
  <si>
    <t>Wed, 17 Mar 2021 00:00:00 GMT</t>
  </si>
  <si>
    <t>Thu, 18 Mar 2021 00:00:00 GMT</t>
  </si>
  <si>
    <t>Fri, 19 Mar 2021 00:00:00 GMT</t>
  </si>
  <si>
    <t>Mon, 22 Mar 2021 00:00:00 GMT</t>
  </si>
  <si>
    <t>Tue, 23 Mar 2021 00:00:00 GMT</t>
  </si>
  <si>
    <t>Wed, 24 Mar 2021 00:00:00 GMT</t>
  </si>
  <si>
    <t>Thu, 25 Mar 2021 00:00:00 GMT</t>
  </si>
  <si>
    <t>Fri, 26 Mar 2021 00:00:00 GMT</t>
  </si>
  <si>
    <t>Mon, 29 Mar 2021 00:00:00 GMT</t>
  </si>
  <si>
    <t>Tue, 30 Mar 2021 00:00:00 GMT</t>
  </si>
  <si>
    <t>Wed, 31 Mar 2021 00:00:00 GMT</t>
  </si>
  <si>
    <t>Thu, 01 Apr 2021 00:00:00 GMT</t>
  </si>
  <si>
    <t>Mon, 05 Apr 2021 00:00:00 GMT</t>
  </si>
  <si>
    <t>Tue, 06 Apr 2021 00:00:00 GMT</t>
  </si>
  <si>
    <t>Wed, 07 Apr 2021 00:00:00 GMT</t>
  </si>
  <si>
    <t>Thu, 08 Apr 2021 00:00:00 GMT</t>
  </si>
  <si>
    <t>Fri, 09 Apr 2021 00:00:00 GMT</t>
  </si>
  <si>
    <t>Mon, 12 Apr 2021 00:00:00 GMT</t>
  </si>
  <si>
    <t>Tue, 13 Apr 2021 00:00:00 GMT</t>
  </si>
  <si>
    <t>Wed, 14 Apr 2021 00:00:00 GMT</t>
  </si>
  <si>
    <t>Thu, 15 Apr 2021 00:00:00 GMT</t>
  </si>
  <si>
    <t>Fri, 16 Apr 2021 00:00:00 GMT</t>
  </si>
  <si>
    <t>Mon, 19 Apr 2021 00:00:00 GMT</t>
  </si>
  <si>
    <t>Tue, 20 Apr 2021 00:00:00 GMT</t>
  </si>
  <si>
    <t>Wed, 21 Apr 2021 00:00:00 GMT</t>
  </si>
  <si>
    <t>Thu, 22 Apr 2021 00:00:00 GMT</t>
  </si>
  <si>
    <t>Fri, 23 Apr 2021 00:00:00 GMT</t>
  </si>
  <si>
    <t>Mon, 26 Apr 2021 00:00:00 GMT</t>
  </si>
  <si>
    <t>Tue, 27 Apr 2021 00:00:00 GMT</t>
  </si>
  <si>
    <t>Wed, 28 Apr 2021 00:00:00 GMT</t>
  </si>
  <si>
    <t>Thu, 29 Apr 2021 00:00:00 GMT</t>
  </si>
  <si>
    <t>Fri, 30 Apr 2021 00:00:00 GMT</t>
  </si>
  <si>
    <t>Mon, 03 May 2021 00:00:00 GMT</t>
  </si>
  <si>
    <t>Tue, 04 May 2021 00:00:00 GMT</t>
  </si>
  <si>
    <t>Wed, 05 May 2021 00:00:00 GMT</t>
  </si>
  <si>
    <t>Thu, 06 May 2021 00:00:00 GMT</t>
  </si>
  <si>
    <t>Fri, 07 May 2021 00:00:00 GMT</t>
  </si>
  <si>
    <t>Mon, 10 May 2021 00:00:00 GMT</t>
  </si>
  <si>
    <t>Tue, 11 May 2021 00:00:00 GMT</t>
  </si>
  <si>
    <t>Wed, 12 May 2021 00:00:00 GMT</t>
  </si>
  <si>
    <t>Thu, 13 May 2021 00:00:00 GMT</t>
  </si>
  <si>
    <t>Fri, 14 May 2021 00:00:00 GMT</t>
  </si>
  <si>
    <t>Mon, 17 May 2021 00:00:00 GMT</t>
  </si>
  <si>
    <t>Tue, 18 May 2021 00:00:00 GMT</t>
  </si>
  <si>
    <t>Wed, 19 May 2021 00:00:00 GMT</t>
  </si>
  <si>
    <t>Thu, 20 May 2021 00:00:00 GMT</t>
  </si>
  <si>
    <t>Fri, 21 May 2021 00:00:00 GMT</t>
  </si>
  <si>
    <t>Mon, 24 May 2021 00:00:00 GMT</t>
  </si>
  <si>
    <t>Tue, 25 May 2021 00:00:00 GMT</t>
  </si>
  <si>
    <t>Wed, 26 May 2021 00:00:00 GMT</t>
  </si>
  <si>
    <t>Thu, 27 May 2021 00:00:00 GMT</t>
  </si>
  <si>
    <t>Fri, 28 May 2021 00:00:00 GMT</t>
  </si>
  <si>
    <t>Tue, 01 Jun 2021 00:00:00 GMT</t>
  </si>
  <si>
    <t>Wed, 02 Jun 2021 00:00:00 GMT</t>
  </si>
  <si>
    <t>Thu, 03 Jun 2021 00:00:00 GMT</t>
  </si>
  <si>
    <t>Fri, 04 Jun 2021 00:00:00 GMT</t>
  </si>
  <si>
    <t>Mon, 07 Jun 2021 00:00:00 GMT</t>
  </si>
  <si>
    <t>Tue, 08 Jun 2021 00:00:00 GMT</t>
  </si>
  <si>
    <t>Wed, 09 Jun 2021 00:00:00 GMT</t>
  </si>
  <si>
    <t>Thu, 10 Jun 2021 00:00:00 GMT</t>
  </si>
  <si>
    <t>Fri, 11 Jun 2021 00:00:00 GMT</t>
  </si>
  <si>
    <t>Mon, 14 Jun 2021 00:00:00 GMT</t>
  </si>
  <si>
    <t>Tue, 15 Jun 2021 00:00:00 GMT</t>
  </si>
  <si>
    <t>Wed, 16 Jun 2021 00:00:00 GMT</t>
  </si>
  <si>
    <t>Thu, 17 Jun 2021 00:00:00 GMT</t>
  </si>
  <si>
    <t>Fri, 18 Jun 2021 00:00:00 GMT</t>
  </si>
  <si>
    <t>Mon, 21 Jun 2021 00:00:00 GMT</t>
  </si>
  <si>
    <t>Tue, 22 Jun 2021 00:00:00 GMT</t>
  </si>
  <si>
    <t>Wed, 23 Jun 2021 00:00:00 GMT</t>
  </si>
  <si>
    <t>Thu, 24 Jun 2021 00:00:00 GMT</t>
  </si>
  <si>
    <t>Fri, 25 Jun 2021 00:00:00 GMT</t>
  </si>
  <si>
    <t>Mon, 28 Jun 2021 00:00:00 GMT</t>
  </si>
  <si>
    <t>Tue, 29 Jun 2021 00:00:00 GMT</t>
  </si>
  <si>
    <t>Wed, 30 Jun 2021 00:00:00 GMT</t>
  </si>
  <si>
    <t>Thu, 01 Jul 2021 00:00:00 GMT</t>
  </si>
  <si>
    <t>Fri, 02 Jul 2021 00:00:00 GMT</t>
  </si>
  <si>
    <t>Tue, 06 Jul 2021 00:00:00 GMT</t>
  </si>
  <si>
    <t>Wed, 07 Jul 2021 00:00:00 GMT</t>
  </si>
  <si>
    <t>Thu, 08 Jul 2021 00:00:00 GMT</t>
  </si>
  <si>
    <t>Fri, 09 Jul 2021 00:00:00 GMT</t>
  </si>
  <si>
    <t>Mon, 12 Jul 2021 00:00:00 GMT</t>
  </si>
  <si>
    <t>Tue, 13 Jul 2021 00:00:00 GMT</t>
  </si>
  <si>
    <t>Wed, 14 Jul 2021 00:00:00 GMT</t>
  </si>
  <si>
    <t>Thu, 15 Jul 2021 00:00:00 GMT</t>
  </si>
  <si>
    <t>Fri, 16 Jul 2021 00:00:00 GMT</t>
  </si>
  <si>
    <t>Mon, 19 Jul 2021 00:00:00 GMT</t>
  </si>
  <si>
    <t>Tue, 20 Jul 2021 00:00:00 GMT</t>
  </si>
  <si>
    <t>Wed, 21 Jul 2021 00:00:00 GMT</t>
  </si>
  <si>
    <t>Thu, 22 Jul 2021 00:00:00 GMT</t>
  </si>
  <si>
    <t>Fri, 23 Jul 2021 00:00:00 GMT</t>
  </si>
  <si>
    <t>Mon, 26 Jul 2021 00:00:00 GMT</t>
  </si>
  <si>
    <t>Tue, 27 Jul 2021 00:00:00 GMT</t>
  </si>
  <si>
    <t>Wed, 28 Jul 2021 00:00:00 GMT</t>
  </si>
  <si>
    <t>Thu, 29 Jul 2021 00:00:00 GMT</t>
  </si>
  <si>
    <t>Fri, 30 Jul 2021 00:00:00 GMT</t>
  </si>
  <si>
    <t>Mon, 02 Aug 2021 00:00:00 GMT</t>
  </si>
  <si>
    <t>Tue, 03 Aug 2021 00:00:00 GMT</t>
  </si>
  <si>
    <t>Wed, 04 Aug 2021 00:00:00 GMT</t>
  </si>
  <si>
    <t>Thu, 05 Aug 2021 00:00:00 GMT</t>
  </si>
  <si>
    <t>Fri, 06 Aug 2021 00:00:00 GMT</t>
  </si>
  <si>
    <t>Mon, 09 Aug 2021 00:00:00 GMT</t>
  </si>
  <si>
    <t>Tue, 10 Aug 2021 00:00:00 GMT</t>
  </si>
  <si>
    <t>Wed, 11 Aug 2021 00:00:00 GMT</t>
  </si>
  <si>
    <t>Thu, 12 Aug 2021 00:00:00 GMT</t>
  </si>
  <si>
    <t>Fri, 13 Aug 2021 00:00:00 GMT</t>
  </si>
  <si>
    <t>Mon, 16 Aug 2021 00:00:00 GMT</t>
  </si>
  <si>
    <t>Tue, 17 Aug 2021 00:00:00 GMT</t>
  </si>
  <si>
    <t>Wed, 18 Aug 2021 00:00:00 GMT</t>
  </si>
  <si>
    <t>Thu, 19 Aug 2021 00:00:00 GMT</t>
  </si>
  <si>
    <t>Fri, 20 Aug 2021 00:00:00 GMT</t>
  </si>
  <si>
    <t>Mon, 23 Aug 2021 00:00:00 GMT</t>
  </si>
  <si>
    <t>Tue, 24 Aug 2021 00:00:00 GMT</t>
  </si>
  <si>
    <t>Wed, 25 Aug 2021 00:00:00 GMT</t>
  </si>
  <si>
    <t>Thu, 26 Aug 2021 00:00:00 GMT</t>
  </si>
  <si>
    <t>Fri, 27 Aug 2021 00:00:00 GMT</t>
  </si>
  <si>
    <t>Mon, 30 Aug 2021 00:00:00 GMT</t>
  </si>
  <si>
    <t>Tue, 31 Aug 2021 00:00:00 GMT</t>
  </si>
  <si>
    <t>Wed, 01 Sep 2021 00:00:00 GMT</t>
  </si>
  <si>
    <t>Thu, 02 Sep 2021 00:00:00 GMT</t>
  </si>
  <si>
    <t>Fri, 03 Sep 2021 00:00:00 GMT</t>
  </si>
  <si>
    <t>Tue, 07 Sep 2021 00:00:00 GMT</t>
  </si>
  <si>
    <t>Wed, 08 Sep 2021 00:00:00 GMT</t>
  </si>
  <si>
    <t>Thu, 09 Sep 2021 00:00:00 GMT</t>
  </si>
  <si>
    <t>Fri, 10 Sep 2021 00:00:00 GMT</t>
  </si>
  <si>
    <t>Mon, 13 Sep 2021 00:00:00 GMT</t>
  </si>
  <si>
    <t>Tue, 14 Sep 2021 00:00:00 GMT</t>
  </si>
  <si>
    <t>Wed, 15 Sep 2021 00:00:00 GMT</t>
  </si>
  <si>
    <t>Thu, 16 Sep 2021 00:00:00 GMT</t>
  </si>
  <si>
    <t>Fri, 17 Sep 2021 00:00:00 GMT</t>
  </si>
  <si>
    <t>Mon, 20 Sep 2021 00:00:00 GMT</t>
  </si>
  <si>
    <t>Tue, 21 Sep 2021 00:00:00 GMT</t>
  </si>
  <si>
    <t>Wed, 22 Sep 2021 00:00:00 GMT</t>
  </si>
  <si>
    <t>Thu, 23 Sep 2021 00:00:00 GMT</t>
  </si>
  <si>
    <t>Fri, 24 Sep 2021 00:00:00 GMT</t>
  </si>
  <si>
    <t>Mon, 27 Sep 2021 00:00:00 GMT</t>
  </si>
  <si>
    <t>Tue, 28 Sep 2021 00:00:00 GMT</t>
  </si>
  <si>
    <t>Wed, 29 Sep 2021 00:00:00 GMT</t>
  </si>
  <si>
    <t>Thu, 30 Sep 2021 00:00:00 GMT</t>
  </si>
  <si>
    <t>Fri, 01 Oct 2021 00:00:00 GMT</t>
  </si>
  <si>
    <t>Mon, 04 Oct 2021 00:00:00 GMT</t>
  </si>
  <si>
    <t>Tue, 05 Oct 2021 00:00:00 GMT</t>
  </si>
  <si>
    <t>Wed, 06 Oct 2021 00:00:00 GMT</t>
  </si>
  <si>
    <t>Thu, 07 Oct 2021 00:00:00 GMT</t>
  </si>
  <si>
    <t>Fri, 08 Oct 2021 00:00:00 GMT</t>
  </si>
  <si>
    <t>Mon, 11 Oct 2021 00:00:00 GMT</t>
  </si>
  <si>
    <t>Tue, 12 Oct 2021 00:00:00 GMT</t>
  </si>
  <si>
    <t>Wed, 13 Oct 2021 00:00:00 GMT</t>
  </si>
  <si>
    <t>Thu, 14 Oct 2021 00:00:00 GMT</t>
  </si>
  <si>
    <t>Fri, 15 Oct 2021 00:00:00 GMT</t>
  </si>
  <si>
    <t>Mon, 18 Oct 2021 00:00:00 GMT</t>
  </si>
  <si>
    <t>Tue, 19 Oct 2021 00:00:00 GMT</t>
  </si>
  <si>
    <t>Wed, 20 Oct 2021 00:00:00 GMT</t>
  </si>
  <si>
    <t>Thu, 21 Oct 2021 00:00:00 GMT</t>
  </si>
  <si>
    <t>Fri, 22 Oct 2021 00:00:00 GMT</t>
  </si>
  <si>
    <t>Mon, 25 Oct 2021 00:00:00 GMT</t>
  </si>
  <si>
    <t>Tue, 26 Oct 2021 00:00:00 GMT</t>
  </si>
  <si>
    <t>Wed, 27 Oct 2021 00:00:00 GMT</t>
  </si>
  <si>
    <t>Thu, 28 Oct 2021 00:00:00 GMT</t>
  </si>
  <si>
    <t>Fri, 29 Oct 2021 00:00:00 GMT</t>
  </si>
  <si>
    <t>Mon, 01 Nov 2021 00:00:00 GMT</t>
  </si>
  <si>
    <t>Tue, 02 Nov 2021 00:00:00 GMT</t>
  </si>
  <si>
    <t>Wed, 03 Nov 2021 00:00:00 GMT</t>
  </si>
  <si>
    <t>Thu, 04 Nov 2021 00:00:00 GMT</t>
  </si>
  <si>
    <t>Fri, 05 Nov 2021 00:00:00 GMT</t>
  </si>
  <si>
    <t>Mon, 08 Nov 2021 00:00:00 GMT</t>
  </si>
  <si>
    <t>Tue, 09 Nov 2021 00:00:00 GMT</t>
  </si>
  <si>
    <t>Wed, 10 Nov 2021 00:00:00 GMT</t>
  </si>
  <si>
    <t>Thu, 11 Nov 2021 00:00:00 GMT</t>
  </si>
  <si>
    <t>Fri, 12 Nov 2021 00:00:00 GMT</t>
  </si>
  <si>
    <t>Mon, 15 Nov 2021 00:00:00 GMT</t>
  </si>
  <si>
    <t>Tue, 16 Nov 2021 00:00:00 GMT</t>
  </si>
  <si>
    <t>Wed, 17 Nov 2021 00:00:00 GMT</t>
  </si>
  <si>
    <t>Thu, 18 Nov 2021 00:00:00 GMT</t>
  </si>
  <si>
    <t>Fri, 19 Nov 2021 00:00:00 GMT</t>
  </si>
  <si>
    <t>Mon, 22 Nov 2021 00:00:00 GMT</t>
  </si>
  <si>
    <t>Tue, 23 Nov 2021 00:00:00 GMT</t>
  </si>
  <si>
    <t>Wed, 24 Nov 2021 00:00:00 GMT</t>
  </si>
  <si>
    <t>Fri, 26 Nov 2021 00:00:00 GMT</t>
  </si>
  <si>
    <t>Mon, 29 Nov 2021 00:00:00 GMT</t>
  </si>
  <si>
    <t>Tue, 30 Nov 2021 00:00:00 GMT</t>
  </si>
  <si>
    <t>Wed, 01 Dec 2021 00:00:00 GMT</t>
  </si>
  <si>
    <t>Thu, 02 Dec 2021 00:00:00 GMT</t>
  </si>
  <si>
    <t>Fri, 03 Dec 2021 00:00:00 GMT</t>
  </si>
  <si>
    <t>Mon, 06 Dec 2021 00:00:00 GMT</t>
  </si>
  <si>
    <t>Tue, 07 Dec 2021 00:00:00 GMT</t>
  </si>
  <si>
    <t>Wed, 08 Dec 2021 00:00:00 GMT</t>
  </si>
  <si>
    <t>Thu, 09 Dec 2021 00:00:00 GMT</t>
  </si>
  <si>
    <t>Fri, 10 Dec 2021 00:00:00 GMT</t>
  </si>
  <si>
    <t>Mon, 13 Dec 2021 00:00:00 GMT</t>
  </si>
  <si>
    <t>Tue, 14 Dec 2021 00:00:00 GMT</t>
  </si>
  <si>
    <t>Wed, 15 Dec 2021 00:00:00 GMT</t>
  </si>
  <si>
    <t>Thu, 16 Dec 2021 00:00:00 GMT</t>
  </si>
  <si>
    <t>Fri, 17 Dec 2021 00:00:00 GMT</t>
  </si>
  <si>
    <t>Mon, 20 Dec 2021 00:00:00 GMT</t>
  </si>
  <si>
    <t>Tue, 21 Dec 2021 00:00:00 GMT</t>
  </si>
  <si>
    <t>Wed, 22 Dec 2021 00:00:00 GMT</t>
  </si>
  <si>
    <t>Thu, 23 Dec 2021 00:00:00 GMT</t>
  </si>
  <si>
    <t>Mon, 27 Dec 2021 00:00:00 GMT</t>
  </si>
  <si>
    <t>Tue, 28 Dec 2021 00:00:00 GMT</t>
  </si>
  <si>
    <t>Wed, 29 Dec 2021 00:00:00 GMT</t>
  </si>
  <si>
    <t>Thu, 30 Dec 2021 00:00:00 GMT</t>
  </si>
  <si>
    <t>Fri, 31 Dec 2021 00:00:00 GMT</t>
  </si>
  <si>
    <t>Mon, 03 Jan 2022 00:00:00 GMT</t>
  </si>
  <si>
    <t>Tue, 04 Jan 2022 00:00:00 GMT</t>
  </si>
  <si>
    <t>Wed, 05 Jan 2022 00:00:00 GMT</t>
  </si>
  <si>
    <t>Thu, 06 Jan 2022 00:00:00 GMT</t>
  </si>
  <si>
    <t>Fri, 07 Jan 2022 00:00:00 GMT</t>
  </si>
  <si>
    <t>Mon, 10 Jan 2022 00:00:00 GMT</t>
  </si>
  <si>
    <t>Tue, 11 Jan 2022 00:00:00 GMT</t>
  </si>
  <si>
    <t>Wed, 12 Jan 2022 00:00:00 GMT</t>
  </si>
  <si>
    <t>Thu, 13 Jan 2022 00:00:00 GMT</t>
  </si>
  <si>
    <t>Fri, 14 Jan 2022 00:00:00 GMT</t>
  </si>
  <si>
    <t>Tue, 18 Jan 2022 00:00:00 GMT</t>
  </si>
  <si>
    <t>Wed, 19 Jan 2022 00:00:00 GMT</t>
  </si>
  <si>
    <t>Thu, 20 Jan 2022 00:00:00 GMT</t>
  </si>
  <si>
    <t>Fri, 21 Jan 2022 00:00:00 GMT</t>
  </si>
  <si>
    <t>Mon, 24 Jan 2022 00:00:00 GMT</t>
  </si>
  <si>
    <t>Tue, 25 Jan 2022 00:00:00 GMT</t>
  </si>
  <si>
    <t>Wed, 26 Jan 2022 00:00:00 GMT</t>
  </si>
  <si>
    <t>Thu, 27 Jan 2022 00:00:00 GMT</t>
  </si>
  <si>
    <t>Fri, 28 Jan 2022 00:00:00 GMT</t>
  </si>
  <si>
    <t>Mon, 31 Jan 2022 00:00:00 GMT</t>
  </si>
  <si>
    <t>Tue, 01 Feb 2022 00:00:00 GMT</t>
  </si>
  <si>
    <t>Wed, 02 Feb 2022 00:00:00 GMT</t>
  </si>
  <si>
    <t>Thu, 03 Feb 2022 00:00:00 GMT</t>
  </si>
  <si>
    <t>Fri, 04 Feb 2022 00:00:00 GMT</t>
  </si>
  <si>
    <t>Mon, 07 Feb 2022 00:00:00 GMT</t>
  </si>
  <si>
    <t>Tue, 08 Feb 2022 00:00:00 GMT</t>
  </si>
  <si>
    <t>Wed, 09 Feb 2022 00:00:00 GMT</t>
  </si>
  <si>
    <t>Thu, 10 Feb 2022 00:00:00 GMT</t>
  </si>
  <si>
    <t>Fri, 11 Feb 2022 00:00:00 GMT</t>
  </si>
  <si>
    <t>Mon, 14 Feb 2022 00:00:00 GMT</t>
  </si>
  <si>
    <t>Tue, 15 Feb 2022 00:00:00 GMT</t>
  </si>
  <si>
    <t>Wed, 16 Feb 2022 00:00:00 GMT</t>
  </si>
  <si>
    <t>Thu, 17 Feb 2022 00:00:00 GMT</t>
  </si>
  <si>
    <t>Fri, 18 Feb 2022 00:00:00 GMT</t>
  </si>
  <si>
    <t>Tue, 22 Feb 2022 00:00:00 GMT</t>
  </si>
  <si>
    <t>Wed, 23 Feb 2022 00:00:00 GMT</t>
  </si>
  <si>
    <t>Thu, 24 Feb 2022 00:00:00 GMT</t>
  </si>
  <si>
    <t>Fri, 25 Feb 2022 00:00:00 GMT</t>
  </si>
  <si>
    <t>Mon, 28 Feb 2022 00:00:00 GMT</t>
  </si>
  <si>
    <t>Tue, 01 Mar 2022 00:00:00 GMT</t>
  </si>
  <si>
    <t>Wed, 02 Mar 2022 00:00:00 GMT</t>
  </si>
  <si>
    <t>Thu, 03 Mar 2022 00:00:00 GMT</t>
  </si>
  <si>
    <t>Fri, 04 Mar 2022 00:00:00 GMT</t>
  </si>
  <si>
    <t>Mon, 07 Mar 2022 00:00:00 GMT</t>
  </si>
  <si>
    <t>Tue, 08 Mar 2022 00:00:00 GMT</t>
  </si>
  <si>
    <t>Wed, 09 Mar 2022 00:00:00 GMT</t>
  </si>
  <si>
    <t>Thu, 10 Mar 2022 00:00:00 GMT</t>
  </si>
  <si>
    <t>Fri, 11 Mar 2022 00:00:00 GMT</t>
  </si>
  <si>
    <t>Mon, 14 Mar 2022 00:00:00 GMT</t>
  </si>
  <si>
    <t>Tue, 15 Mar 2022 00:00:00 GMT</t>
  </si>
  <si>
    <t>Wed, 16 Mar 2022 00:00:00 GMT</t>
  </si>
  <si>
    <t>Thu, 17 Mar 2022 00:00:00 GMT</t>
  </si>
  <si>
    <t>Fri, 18 Mar 2022 00:00:00 GMT</t>
  </si>
  <si>
    <t>Mon, 21 Mar 2022 00:00:00 GMT</t>
  </si>
  <si>
    <t>Tue, 22 Mar 2022 00:00:00 GMT</t>
  </si>
  <si>
    <t>Wed, 23 Mar 2022 00:00:00 GMT</t>
  </si>
  <si>
    <t>Thu, 24 Mar 2022 00:00:00 GMT</t>
  </si>
  <si>
    <t>Fri, 25 Mar 2022 00:00:00 GMT</t>
  </si>
  <si>
    <t>Mon, 28 Mar 2022 00:00:00 GMT</t>
  </si>
  <si>
    <t>Tue, 29 Mar 2022 00:00:00 GMT</t>
  </si>
  <si>
    <t>Wed, 30 Mar 2022 00:00:00 GMT</t>
  </si>
  <si>
    <t>Thu, 31 Mar 2022 00:00:00 GMT</t>
  </si>
  <si>
    <t>Fri, 01 Apr 2022 00:00:00 GMT</t>
  </si>
  <si>
    <t>Mon, 04 Apr 2022 00:00:00 GMT</t>
  </si>
  <si>
    <t>Tue, 05 Apr 2022 00:00:00 GMT</t>
  </si>
  <si>
    <t>Wed, 06 Apr 2022 00:00:00 GMT</t>
  </si>
  <si>
    <t>Thu, 07 Apr 2022 00:00:00 GMT</t>
  </si>
  <si>
    <t>Fri, 08 Apr 2022 00:00:00 GMT</t>
  </si>
  <si>
    <t>Mon, 11 Apr 2022 00:00:00 GMT</t>
  </si>
  <si>
    <t>Tue, 12 Apr 2022 00:00:00 GMT</t>
  </si>
  <si>
    <t>Wed, 13 Apr 2022 00:00:00 GMT</t>
  </si>
  <si>
    <t>Thu, 14 Apr 2022 00:00:00 GMT</t>
  </si>
  <si>
    <t>Mon, 18 Apr 2022 00:00:00 GMT</t>
  </si>
  <si>
    <t>Tue, 19 Apr 2022 00:00:00 GMT</t>
  </si>
  <si>
    <t>Wed, 20 Apr 2022 00:00:00 GMT</t>
  </si>
  <si>
    <t>Thu, 21 Apr 2022 00:00:00 GMT</t>
  </si>
  <si>
    <t>Fri, 22 Apr 2022 00:00:00 GMT</t>
  </si>
  <si>
    <t>Mon, 25 Apr 2022 00:00:00 GMT</t>
  </si>
  <si>
    <t>Tue, 26 Apr 2022 00:00:00 GMT</t>
  </si>
  <si>
    <t>Wed, 27 Apr 2022 00:00:00 GMT</t>
  </si>
  <si>
    <t>Thu, 28 Apr 2022 00:00:00 GMT</t>
  </si>
  <si>
    <t>Fri, 29 Apr 2022 00:00:00 GMT</t>
  </si>
  <si>
    <t>Mon, 02 May 2022 00:00:00 GMT</t>
  </si>
  <si>
    <t>Tue, 03 May 2022 00:00:00 GMT</t>
  </si>
  <si>
    <t>Wed, 04 May 2022 00:00:00 GMT</t>
  </si>
  <si>
    <t>Thu, 05 May 2022 00:00:00 GMT</t>
  </si>
  <si>
    <t>Fri, 06 May 2022 00:00:00 GMT</t>
  </si>
  <si>
    <t>Mon, 09 May 2022 00:00:00 GMT</t>
  </si>
  <si>
    <t>Tue, 10 May 2022 00:00:00 GMT</t>
  </si>
  <si>
    <t>Wed, 11 May 2022 00:00:00 GMT</t>
  </si>
  <si>
    <t>Thu, 12 May 2022 00:00:00 GMT</t>
  </si>
  <si>
    <t>Fri, 13 May 2022 00:00:00 GMT</t>
  </si>
  <si>
    <t>Mon, 16 May 2022 00:00:00 GMT</t>
  </si>
  <si>
    <t>Tue, 17 May 2022 00:00:00 GMT</t>
  </si>
  <si>
    <t>Wed, 18 May 2022 00:00:00 GMT</t>
  </si>
  <si>
    <t>Thu, 19 May 2022 00:00:00 GMT</t>
  </si>
  <si>
    <t>Fri, 20 May 2022 00:00:00 GMT</t>
  </si>
  <si>
    <t>Mon, 23 May 2022 00:00:00 GMT</t>
  </si>
  <si>
    <t>Tue, 24 May 2022 00:00:00 GMT</t>
  </si>
  <si>
    <t>Wed, 25 May 2022 00:00:00 GMT</t>
  </si>
  <si>
    <t>Thu, 26 May 2022 00:00:00 GMT</t>
  </si>
  <si>
    <t>Fri, 27 May 2022 00:00:00 GMT</t>
  </si>
  <si>
    <t>Tue, 31 May 2022 00:00:00 GMT</t>
  </si>
  <si>
    <t>Wed, 01 Jun 2022 00:00:00 GMT</t>
  </si>
  <si>
    <t>Thu, 02 Jun 2022 00:00:00 GMT</t>
  </si>
  <si>
    <t>Fri, 03 Jun 2022 00:00:00 GMT</t>
  </si>
  <si>
    <t>Mon, 06 Jun 2022 00:00:00 GMT</t>
  </si>
  <si>
    <t>Tue, 07 Jun 2022 00:00:00 GMT</t>
  </si>
  <si>
    <t>Wed, 08 Jun 2022 00:00:00 GMT</t>
  </si>
  <si>
    <t>Thu, 09 Jun 2022 00:00:00 GMT</t>
  </si>
  <si>
    <t>Fri, 10 Jun 2022 00:00:00 GMT</t>
  </si>
  <si>
    <t>Mon, 13 Jun 2022 00:00:00 GMT</t>
  </si>
  <si>
    <t>Tue, 14 Jun 2022 00:00:00 GMT</t>
  </si>
  <si>
    <t>Wed, 15 Jun 2022 00:00:00 GMT</t>
  </si>
  <si>
    <t>Thu, 16 Jun 2022 00:00:00 GMT</t>
  </si>
  <si>
    <t>Fri, 17 Jun 2022 00:00:00 GMT</t>
  </si>
  <si>
    <t>Tue, 21 Jun 2022 00:00:00 GMT</t>
  </si>
  <si>
    <t>Wed, 22 Jun 2022 00:00:00 GMT</t>
  </si>
  <si>
    <t>Thu, 23 Jun 2022 00:00:00 GMT</t>
  </si>
  <si>
    <t>Fri, 24 Jun 2022 00:00:00 GMT</t>
  </si>
  <si>
    <t>Mon, 27 Jun 2022 00:00:00 GMT</t>
  </si>
  <si>
    <t>Tue, 28 Jun 2022 00:00:00 GMT</t>
  </si>
  <si>
    <t>Wed, 29 Jun 2022 00:00:00 GMT</t>
  </si>
  <si>
    <t>Thu, 30 Jun 2022 00:00:00 GMT</t>
  </si>
  <si>
    <t>Fri, 01 Jul 2022 00:00:00 GMT</t>
  </si>
  <si>
    <t>Tue, 05 Jul 2022 00:00:00 GMT</t>
  </si>
  <si>
    <t>Wed, 06 Jul 2022 00:00:00 GMT</t>
  </si>
  <si>
    <t>Thu, 07 Jul 2022 00:00:00 GMT</t>
  </si>
  <si>
    <t>Fri, 08 Jul 2022 00:00:00 GMT</t>
  </si>
  <si>
    <t>Mon, 11 Jul 2022 00:00:00 GMT</t>
  </si>
  <si>
    <t>Tue, 12 Jul 2022 00:00:00 GMT</t>
  </si>
  <si>
    <t>Wed, 13 Jul 2022 00:00:00 GMT</t>
  </si>
  <si>
    <t>Thu, 14 Jul 2022 00:00:00 GMT</t>
  </si>
  <si>
    <t>Fri, 15 Jul 2022 00:00:00 GMT</t>
  </si>
  <si>
    <t>Mon, 18 Jul 2022 00:00:00 GMT</t>
  </si>
  <si>
    <t>Tue, 19 Jul 2022 00:00:00 GMT</t>
  </si>
  <si>
    <t>Wed, 20 Jul 2022 00:00:00 GMT</t>
  </si>
  <si>
    <t>Thu, 21 Jul 2022 00:00:00 GMT</t>
  </si>
  <si>
    <t>Fri, 22 Jul 2022 00:00:00 GMT</t>
  </si>
  <si>
    <t>Mon, 25 Jul 2022 00:00:00 GMT</t>
  </si>
  <si>
    <t>Tue, 26 Jul 2022 00:00:00 GMT</t>
  </si>
  <si>
    <t>Wed, 27 Jul 2022 00:00:00 GMT</t>
  </si>
  <si>
    <t>Thu, 28 Jul 2022 00:00:00 GMT</t>
  </si>
  <si>
    <t>Fri, 29 Jul 2022 00:00:00 GMT</t>
  </si>
  <si>
    <t>Mon, 01 Aug 2022 00:00:00 GMT</t>
  </si>
  <si>
    <t>Tue, 02 Aug 2022 00:00:00 GMT</t>
  </si>
  <si>
    <t>Wed, 03 Aug 2022 00:00:00 GMT</t>
  </si>
  <si>
    <t>Thu, 04 Aug 2022 00:00:00 GMT</t>
  </si>
  <si>
    <t>Fri, 05 Aug 2022 00:00:00 GMT</t>
  </si>
  <si>
    <t>Mon, 08 Aug 2022 00:00:00 GMT</t>
  </si>
  <si>
    <t>Tue, 09 Aug 2022 00:00:00 GMT</t>
  </si>
  <si>
    <t>Wed, 10 Aug 2022 00:00:00 GMT</t>
  </si>
  <si>
    <t>Thu, 11 Aug 2022 00:00:00 GMT</t>
  </si>
  <si>
    <t>Fri, 12 Aug 2022 00:00:00 GMT</t>
  </si>
  <si>
    <t>Mon, 15 Aug 2022 00:00:00 GMT</t>
  </si>
  <si>
    <t>Tue, 16 Aug 2022 00:00:00 GMT</t>
  </si>
  <si>
    <t>Wed, 17 Aug 2022 00:00:00 GMT</t>
  </si>
  <si>
    <t>Thu, 18 Aug 2022 00:00:00 GMT</t>
  </si>
  <si>
    <t>Fri, 19 Aug 2022 00:00:00 GMT</t>
  </si>
  <si>
    <t>Mon, 22 Aug 2022 00:00:00 GMT</t>
  </si>
  <si>
    <t>Tue, 23 Aug 2022 00:00:00 GMT</t>
  </si>
  <si>
    <t>Wed, 24 Aug 2022 00:00:00 GMT</t>
  </si>
  <si>
    <t>Thu, 25 Aug 2022 00:00:00 GMT</t>
  </si>
  <si>
    <t>Fri, 26 Aug 2022 00:00:00 GMT</t>
  </si>
  <si>
    <t>Mon, 29 Aug 2022 00:00:00 GMT</t>
  </si>
  <si>
    <t>Tue, 30 Aug 2022 00:00:00 GMT</t>
  </si>
  <si>
    <t>Wed, 31 Aug 2022 00:00:00 GMT</t>
  </si>
  <si>
    <t>Thu, 01 Sep 2022 00:00:00 GMT</t>
  </si>
  <si>
    <t>Fri, 02 Sep 2022 00:00:00 GMT</t>
  </si>
  <si>
    <t>Tue, 06 Sep 2022 00:00:00 GMT</t>
  </si>
  <si>
    <t>Wed, 07 Sep 2022 00:00:00 GMT</t>
  </si>
  <si>
    <t>Thu, 08 Sep 2022 00:00:00 GMT</t>
  </si>
  <si>
    <t>Fri, 09 Sep 2022 00:00:00 GMT</t>
  </si>
  <si>
    <t>Mon, 12 Sep 2022 00:00:00 GMT</t>
  </si>
  <si>
    <t>Tue, 13 Sep 2022 00:00:00 GMT</t>
  </si>
  <si>
    <t>Wed, 14 Sep 2022 00:00:00 GMT</t>
  </si>
  <si>
    <t>Thu, 15 Sep 2022 00:00:00 GMT</t>
  </si>
  <si>
    <t>Fri, 16 Sep 2022 00:00:00 GMT</t>
  </si>
  <si>
    <t>Mon, 19 Sep 2022 00:00:00 GMT</t>
  </si>
  <si>
    <t>Tue, 20 Sep 2022 00:00:00 GMT</t>
  </si>
  <si>
    <t>Wed, 21 Sep 2022 00:00:00 GMT</t>
  </si>
  <si>
    <t>Thu, 22 Sep 2022 00:00:00 GMT</t>
  </si>
  <si>
    <t>Fri, 23 Sep 2022 00:00:00 GMT</t>
  </si>
  <si>
    <t>Mon, 26 Sep 2022 00:00:00 GMT</t>
  </si>
  <si>
    <t>Tue, 27 Sep 2022 00:00:00 GMT</t>
  </si>
  <si>
    <t>Wed, 28 Sep 2022 00:00:00 GMT</t>
  </si>
  <si>
    <t>Thu, 29 Sep 2022 00:00:00 GMT</t>
  </si>
  <si>
    <t>Fri, 30 Sep 2022 00:00:00 GMT</t>
  </si>
  <si>
    <t>Mon, 03 Oct 2022 00:00:00 GMT</t>
  </si>
  <si>
    <t>Tue, 04 Oct 2022 00:00:00 GMT</t>
  </si>
  <si>
    <t>Wed, 05 Oct 2022 00:00:00 GMT</t>
  </si>
  <si>
    <t>Thu, 06 Oct 2022 00:00:00 GMT</t>
  </si>
  <si>
    <t>Fri, 07 Oct 2022 00:00:00 GMT</t>
  </si>
  <si>
    <t>Mon, 10 Oct 2022 00:00:00 GMT</t>
  </si>
  <si>
    <t>Tue, 11 Oct 2022 00:00:00 GMT</t>
  </si>
  <si>
    <t>Wed, 12 Oct 2022 00:00:00 GMT</t>
  </si>
  <si>
    <t>Thu, 13 Oct 2022 00:00:00 GMT</t>
  </si>
  <si>
    <t>Fri, 14 Oct 2022 00:00:00 GMT</t>
  </si>
  <si>
    <t>Mon, 17 Oct 2022 00:00:00 GMT</t>
  </si>
  <si>
    <t>Tue, 18 Oct 2022 00:00:00 GMT</t>
  </si>
  <si>
    <t>Wed, 19 Oct 2022 00:00:00 GMT</t>
  </si>
  <si>
    <t>Thu, 20 Oct 2022 00:00:00 GMT</t>
  </si>
  <si>
    <t>Fri, 21 Oct 2022 00:00:00 GMT</t>
  </si>
  <si>
    <t>Mon, 24 Oct 2022 00:00:00 GMT</t>
  </si>
  <si>
    <t>Tue, 25 Oct 2022 00:00:00 GMT</t>
  </si>
  <si>
    <t>Wed, 26 Oct 2022 00:00:00 GMT</t>
  </si>
  <si>
    <t>Thu, 27 Oct 2022 00:00:00 GMT</t>
  </si>
  <si>
    <t>Fri, 28 Oct 2022 00:00:00 GMT</t>
  </si>
  <si>
    <t>Mon, 31 Oct 2022 00:00:00 GMT</t>
  </si>
  <si>
    <t>Tue, 01 Nov 2022 00:00:00 GMT</t>
  </si>
  <si>
    <t>Wed, 02 Nov 2022 00:00:00 GMT</t>
  </si>
  <si>
    <t>Thu, 03 Nov 2022 00:00:00 GMT</t>
  </si>
  <si>
    <t>Fri, 04 Nov 2022 00:00:00 GMT</t>
  </si>
  <si>
    <t>Mon, 07 Nov 2022 00:00:00 GMT</t>
  </si>
  <si>
    <t>Tue, 08 Nov 2022 00:00:00 GMT</t>
  </si>
  <si>
    <t>Wed, 09 Nov 2022 00:00:00 GMT</t>
  </si>
  <si>
    <t>Thu, 10 Nov 2022 00:00:00 GMT</t>
  </si>
  <si>
    <t>Fri, 11 Nov 2022 00:00:00 GMT</t>
  </si>
  <si>
    <t>Mon, 14 Nov 2022 00:00:00 GMT</t>
  </si>
  <si>
    <t>Tue, 15 Nov 2022 00:00:00 GMT</t>
  </si>
  <si>
    <t>Wed, 16 Nov 2022 00:00:00 GMT</t>
  </si>
  <si>
    <t>Thu, 17 Nov 2022 00:00:00 GMT</t>
  </si>
  <si>
    <t>Fri, 18 Nov 2022 00:00:00 GMT</t>
  </si>
  <si>
    <t>Mon, 21 Nov 2022 00:00:00 GMT</t>
  </si>
  <si>
    <t>Tue, 22 Nov 2022 00:00:00 GMT</t>
  </si>
  <si>
    <t>Wed, 23 Nov 2022 00:00:00 GMT</t>
  </si>
  <si>
    <t>Fri, 25 Nov 2022 00:00:00 GMT</t>
  </si>
  <si>
    <t>Mon, 28 Nov 2022 00:00:00 GMT</t>
  </si>
  <si>
    <t>Tue, 29 Nov 2022 00:00:00 GMT</t>
  </si>
  <si>
    <t>Wed, 30 Nov 2022 00:00:00 GMT</t>
  </si>
  <si>
    <t>Thu, 01 Dec 2022 00:00:00 GMT</t>
  </si>
  <si>
    <t>Fri, 02 Dec 2022 00:00:00 GMT</t>
  </si>
  <si>
    <t>Mon, 05 Dec 2022 00:00:00 GMT</t>
  </si>
  <si>
    <t>Tue, 06 Dec 2022 00:00:00 GMT</t>
  </si>
  <si>
    <t>Wed, 07 Dec 2022 00:00:00 GMT</t>
  </si>
  <si>
    <t>Thu, 08 Dec 2022 00:00:00 GMT</t>
  </si>
  <si>
    <t>Fri, 09 Dec 2022 00:00:00 GMT</t>
  </si>
  <si>
    <t>Mon, 12 Dec 2022 00:00:00 GMT</t>
  </si>
  <si>
    <t>Tue, 13 Dec 2022 00:00:00 GMT</t>
  </si>
  <si>
    <t>Wed, 14 Dec 2022 00:00:00 GMT</t>
  </si>
  <si>
    <t>Thu, 15 Dec 2022 00:00:00 GMT</t>
  </si>
  <si>
    <t>Fri, 16 Dec 2022 00:00:00 GMT</t>
  </si>
  <si>
    <t>Mon, 19 Dec 2022 00:00:00 GMT</t>
  </si>
  <si>
    <t>Tue, 20 Dec 2022 00:00:00 GMT</t>
  </si>
  <si>
    <t>Wed, 21 Dec 2022 00:00:00 GMT</t>
  </si>
  <si>
    <t>Thu, 22 Dec 2022 00:00:00 GMT</t>
  </si>
  <si>
    <t>Fri, 23 Dec 2022 00:00:00 GMT</t>
  </si>
  <si>
    <t>Tue, 27 Dec 2022 00:00:00 GMT</t>
  </si>
  <si>
    <t>Wed, 28 Dec 2022 00:00:00 GMT</t>
  </si>
  <si>
    <t>Thu, 29 Dec 2022 00:00:00 GMT</t>
  </si>
  <si>
    <t>Fri, 30 Dec 2022 00:00:00 GMT</t>
  </si>
  <si>
    <t>Tue, 03 Jan 2023 00:00:00 GMT</t>
  </si>
  <si>
    <t>Wed, 04 Jan 2023 00:00:00 GMT</t>
  </si>
  <si>
    <t>Thu, 05 Jan 2023 00:00:00 GMT</t>
  </si>
  <si>
    <t>Fri, 06 Jan 2023 00:00:00 GMT</t>
  </si>
  <si>
    <t>Mon, 09 Jan 2023 00:00:00 GMT</t>
  </si>
  <si>
    <t>Tue, 10 Jan 2023 00:00:00 GMT</t>
  </si>
  <si>
    <t>Wed, 11 Jan 2023 00:00:00 GMT</t>
  </si>
  <si>
    <t>Thu, 12 Jan 2023 00:00:00 GMT</t>
  </si>
  <si>
    <t>Fri, 13 Jan 2023 00:00:00 GMT</t>
  </si>
  <si>
    <t>Tue, 17 Jan 2023 00:00:00 GMT</t>
  </si>
  <si>
    <t>Wed, 18 Jan 2023 00:00:00 GMT</t>
  </si>
  <si>
    <t>Thu, 19 Jan 2023 00:00:00 GMT</t>
  </si>
  <si>
    <t>Fri, 20 Jan 2023 00:00:00 GMT</t>
  </si>
  <si>
    <t>Mon, 23 Jan 2023 00:00:00 GMT</t>
  </si>
  <si>
    <t>Tue, 24 Jan 2023 00:00:00 GMT</t>
  </si>
  <si>
    <t>Wed, 25 Jan 2023 00:00:00 GMT</t>
  </si>
  <si>
    <t>Thu, 26 Jan 2023 00:00:00 GMT</t>
  </si>
  <si>
    <t>Fri, 27 Jan 2023 00:00:00 GMT</t>
  </si>
  <si>
    <t>Mon, 30 Jan 2023 00:00:00 GMT</t>
  </si>
  <si>
    <t>Tue, 31 Jan 2023 00:00:00 GMT</t>
  </si>
  <si>
    <t>Wed, 01 Feb 2023 00:00:00 GMT</t>
  </si>
  <si>
    <t>Thu, 02 Feb 2023 00:00:00 GMT</t>
  </si>
  <si>
    <t>Fri, 03 Feb 2023 00:00:00 GMT</t>
  </si>
  <si>
    <t>Mon, 06 Feb 2023 00:00:00 GMT</t>
  </si>
  <si>
    <t>Tue, 07 Feb 2023 00:00:00 GMT</t>
  </si>
  <si>
    <t>Wed, 08 Feb 2023 00:00:00 GMT</t>
  </si>
  <si>
    <t>Thu, 09 Feb 2023 00:00:00 GMT</t>
  </si>
  <si>
    <t>Fri, 10 Feb 2023 00:00:00 GMT</t>
  </si>
  <si>
    <t>Mon, 13 Feb 2023 00:00:00 GMT</t>
  </si>
  <si>
    <t>Tue, 14 Feb 2023 00:00:00 GMT</t>
  </si>
  <si>
    <t>Wed, 15 Feb 2023 00:00:00 GMT</t>
  </si>
  <si>
    <t>Thu, 16 Feb 2023 00:00:00 GMT</t>
  </si>
  <si>
    <t>Fri, 17 Feb 2023 00:00:00 GMT</t>
  </si>
  <si>
    <t>Tue, 21 Feb 2023 00:00:00 GMT</t>
  </si>
  <si>
    <t>Wed, 22 Feb 2023 00:00:00 GMT</t>
  </si>
  <si>
    <t>Thu, 23 Feb 2023 00:00:00 GMT</t>
  </si>
  <si>
    <t>Fri, 24 Feb 2023 00:00:00 GMT</t>
  </si>
  <si>
    <t>Mon, 27 Feb 2023 00:00:00 GMT</t>
  </si>
  <si>
    <t>Tue, 28 Feb 2023 00:00:00 GMT</t>
  </si>
  <si>
    <t>Wed, 01 Mar 2023 00:00:00 GMT</t>
  </si>
  <si>
    <t>Thu, 02 Mar 2023 00:00:00 GMT</t>
  </si>
  <si>
    <t>Fri, 03 Mar 2023 00:00:00 GMT</t>
  </si>
  <si>
    <t>Mon, 06 Mar 2023 00:00:00 GMT</t>
  </si>
  <si>
    <t>Tue, 07 Mar 2023 00:00:00 GMT</t>
  </si>
  <si>
    <t>Wed, 08 Mar 2023 00:00:00 GMT</t>
  </si>
  <si>
    <t>Thu, 09 Mar 2023 00:00:00 GMT</t>
  </si>
  <si>
    <t>Fri, 10 Mar 2023 00:00:00 GMT</t>
  </si>
  <si>
    <t>Mon, 13 Mar 2023 00:00:00 GMT</t>
  </si>
  <si>
    <t>Tue, 14 Mar 2023 00:00:00 GMT</t>
  </si>
  <si>
    <t>Wed, 15 Mar 2023 00:00:00 GMT</t>
  </si>
  <si>
    <t>Thu, 16 Mar 2023 00:00:00 GMT</t>
  </si>
  <si>
    <t>Fri, 17 Mar 2023 00:00:00 GMT</t>
  </si>
  <si>
    <t>Mon, 20 Mar 2023 00:00:00 GMT</t>
  </si>
  <si>
    <t>Tue, 21 Mar 2023 00:00:00 GMT</t>
  </si>
  <si>
    <t>Wed, 22 Mar 2023 00:00:00 GMT</t>
  </si>
  <si>
    <t>Thu, 23 Mar 2023 00:00:00 GMT</t>
  </si>
  <si>
    <t>Fri, 24 Mar 2023 00:00:00 GMT</t>
  </si>
  <si>
    <t>Mon, 27 Mar 2023 00:00:00 GMT</t>
  </si>
  <si>
    <t>Tue, 28 Mar 2023 00:00:00 GMT</t>
  </si>
  <si>
    <t>Wed, 29 Mar 2023 00:00:00 GMT</t>
  </si>
  <si>
    <t>Thu, 30 Mar 2023 00:00:00 GMT</t>
  </si>
  <si>
    <t>Fri, 31 Mar 2023 00:00:00 GMT</t>
  </si>
  <si>
    <t>Mon, 03 Apr 2023 00:00:00 GMT</t>
  </si>
  <si>
    <t>Tue, 04 Apr 2023 00:00:00 GMT</t>
  </si>
  <si>
    <t>Wed, 05 Apr 2023 00:00:00 GMT</t>
  </si>
  <si>
    <t>Thu, 06 Apr 2023 00:00:00 GMT</t>
  </si>
  <si>
    <t>Mon, 10 Apr 2023 00:00:00 GMT</t>
  </si>
  <si>
    <t>Tue, 11 Apr 2023 00:00:00 GMT</t>
  </si>
  <si>
    <t>Wed, 12 Apr 2023 00:00:00 GMT</t>
  </si>
  <si>
    <t>Thu, 13 Apr 2023 00:00:00 GMT</t>
  </si>
  <si>
    <t>Fri, 14 Apr 2023 00:00:00 GMT</t>
  </si>
  <si>
    <t>Mon, 17 Apr 2023 00:00:00 GMT</t>
  </si>
  <si>
    <t>Tue, 18 Apr 2023 00:00:00 GMT</t>
  </si>
  <si>
    <t>Wed, 19 Apr 2023 00:00:00 GMT</t>
  </si>
  <si>
    <t>Thu, 20 Apr 2023 00:00:00 GMT</t>
  </si>
  <si>
    <t>Fri, 21 Apr 2023 00:00:00 GMT</t>
  </si>
  <si>
    <t>Mon, 24 Apr 2023 00:00:00 GMT</t>
  </si>
  <si>
    <t>Tue, 25 Apr 2023 00:00:00 GMT</t>
  </si>
  <si>
    <t>Wed, 26 Apr 2023 00:00:00 GMT</t>
  </si>
  <si>
    <t>Thu, 27 Apr 2023 00:00:00 GMT</t>
  </si>
  <si>
    <t>Fri, 28 Apr 2023 00:00:00 GMT</t>
  </si>
  <si>
    <t>Mon, 01 May 2023 00:00:00 GMT</t>
  </si>
  <si>
    <t>Tue, 02 May 2023 00:00:00 GMT</t>
  </si>
  <si>
    <t>Wed, 03 May 2023 00:00:00 GMT</t>
  </si>
  <si>
    <t>Thu, 04 May 2023 00:00:00 GMT</t>
  </si>
  <si>
    <t>Fri, 05 May 2023 00:00:00 GMT</t>
  </si>
  <si>
    <t>Mon, 08 May 2023 00:00:00 GMT</t>
  </si>
  <si>
    <t>Tue, 09 May 2023 00:00:00 GMT</t>
  </si>
  <si>
    <t>Wed, 10 May 2023 00:00:00 GMT</t>
  </si>
  <si>
    <t>Thu, 11 May 2023 00:00:00 GMT</t>
  </si>
  <si>
    <t>Fri, 12 May 2023 00:00:00 GMT</t>
  </si>
  <si>
    <t>Mon, 15 May 2023 00:00:00 GMT</t>
  </si>
  <si>
    <t>Tue, 16 May 2023 00:00:00 GMT</t>
  </si>
  <si>
    <t>Wed, 17 May 2023 00:00:00 GMT</t>
  </si>
  <si>
    <t>Thu, 18 May 2023 00:00:00 GMT</t>
  </si>
  <si>
    <t>Fri, 19 May 2023 00:00:00 GMT</t>
  </si>
  <si>
    <t>Mon, 22 May 2023 00:00:00 GMT</t>
  </si>
  <si>
    <t>Tue, 23 May 2023 00:00:00 GMT</t>
  </si>
  <si>
    <t>Wed, 24 May 2023 00:00:00 GMT</t>
  </si>
  <si>
    <t>Thu, 25 May 2023 00:00:00 GMT</t>
  </si>
  <si>
    <t>Fri, 26 May 2023 00:00:00 GMT</t>
  </si>
  <si>
    <t>Tue, 30 May 2023 00:00:00 GMT</t>
  </si>
  <si>
    <t>Wed, 31 May 2023 00:00:00 GMT</t>
  </si>
  <si>
    <t>Thu, 01 Jun 2023 00:00:00 GMT</t>
  </si>
  <si>
    <t>Fri, 02 Jun 2023 00:00:00 GMT</t>
  </si>
  <si>
    <t>Mon, 05 Jun 2023 00:00:00 GMT</t>
  </si>
  <si>
    <t>Tue, 06 Jun 2023 00:00:00 GMT</t>
  </si>
  <si>
    <t>Wed, 07 Jun 2023 00:00:00 GMT</t>
  </si>
  <si>
    <t>Thu, 08 Jun 2023 00:00:00 GMT</t>
  </si>
  <si>
    <t>Fri, 09 Jun 2023 00:00:00 GMT</t>
  </si>
  <si>
    <t>Mon, 12 Jun 2023 00:00:00 GMT</t>
  </si>
  <si>
    <t>Tue, 13 Jun 2023 00:00:00 GMT</t>
  </si>
  <si>
    <t>Wed, 14 Jun 2023 00:00:00 GMT</t>
  </si>
  <si>
    <t>Thu, 15 Jun 2023 00:00:00 GMT</t>
  </si>
  <si>
    <t>Fri, 16 Jun 2023 00:00:00 GMT</t>
  </si>
  <si>
    <t>Tue, 20 Jun 2023 00:00:00 GMT</t>
  </si>
  <si>
    <t>Wed, 21 Jun 2023 00:00:00 GMT</t>
  </si>
  <si>
    <t>Thu, 22 Jun 2023 00:00:00 GMT</t>
  </si>
  <si>
    <t>Fri, 23 Jun 2023 00:00:00 GMT</t>
  </si>
  <si>
    <t>Mon, 26 Jun 2023 00:00:00 GMT</t>
  </si>
  <si>
    <t>Tue, 27 Jun 2023 00:00:00 GMT</t>
  </si>
  <si>
    <t>Wed, 28 Jun 2023 00:00:00 GMT</t>
  </si>
  <si>
    <t>Thu, 29 Jun 2023 00:00:00 GMT</t>
  </si>
  <si>
    <t>Fri, 30 Jun 2023 00:00:00 GMT</t>
  </si>
  <si>
    <t>Mon, 03 Jul 2023 00:00:00 GMT</t>
  </si>
  <si>
    <t>Wed, 05 Jul 2023 00:00:00 GMT</t>
  </si>
  <si>
    <t>Thu, 06 Jul 2023 00:00:00 GMT</t>
  </si>
  <si>
    <t>Fri, 07 Jul 2023 00:00:00 GMT</t>
  </si>
  <si>
    <t>Mon, 10 Jul 2023 00:00:00 GMT</t>
  </si>
  <si>
    <t>Tue, 11 Jul 2023 00:00:00 GMT</t>
  </si>
  <si>
    <t>Wed, 12 Jul 2023 00:00:00 GMT</t>
  </si>
  <si>
    <t>Thu, 13 Jul 2023 00:00:00 GMT</t>
  </si>
  <si>
    <t>Fri, 14 Jul 2023 00:00:00 GMT</t>
  </si>
  <si>
    <t>Mon, 17 Jul 2023 00:00:00 GMT</t>
  </si>
  <si>
    <t>Tue, 18 Jul 2023 00:00:00 GMT</t>
  </si>
  <si>
    <t>Wed, 19 Jul 2023 00:00:00 GMT</t>
  </si>
  <si>
    <t>Thu, 20 Jul 2023 00:00:00 GMT</t>
  </si>
  <si>
    <t>Fri, 21 Jul 2023 00:00:00 GMT</t>
  </si>
  <si>
    <t>Mon, 24 Jul 2023 00:00:00 GMT</t>
  </si>
  <si>
    <t>Tue, 25 Jul 2023 00:00:00 GMT</t>
  </si>
  <si>
    <t>Wed, 26 Jul 2023 00:00:00 GMT</t>
  </si>
  <si>
    <t>Thu, 27 Jul 2023 00:00:00 GMT</t>
  </si>
  <si>
    <t>Fri, 28 Jul 2023 00:00:00 GMT</t>
  </si>
  <si>
    <t>Mon, 31 Jul 2023 00:00:00 GMT</t>
  </si>
  <si>
    <t>Tue, 01 Aug 2023 00:00:00 GMT</t>
  </si>
  <si>
    <t>Wed, 02 Aug 2023 00:00:00 GMT</t>
  </si>
  <si>
    <t>Thu, 03 Aug 2023 00:00:00 GMT</t>
  </si>
  <si>
    <t>Fri, 04 Aug 2023 00:00:00 GMT</t>
  </si>
  <si>
    <t>Mon, 07 Aug 2023 00:00:00 GMT</t>
  </si>
  <si>
    <t>Tue, 08 Aug 2023 00:00:00 GMT</t>
  </si>
  <si>
    <t>Wed, 09 Aug 2023 00:00:00 GMT</t>
  </si>
  <si>
    <t>Thu, 10 Aug 2023 00:00:00 GMT</t>
  </si>
  <si>
    <t>Fri, 11 Aug 2023 00:00:00 GMT</t>
  </si>
  <si>
    <t>Mon, 14 Aug 2023 00:00:00 GMT</t>
  </si>
  <si>
    <t>Tue, 15 Aug 2023 00:00:00 GMT</t>
  </si>
  <si>
    <t>Wed, 16 Aug 2023 00:00:00 GMT</t>
  </si>
  <si>
    <t>Thu, 17 Aug 2023 00:00:00 GMT</t>
  </si>
  <si>
    <t>Fri, 18 Aug 2023 00:00:00 GMT</t>
  </si>
  <si>
    <t>Mon, 21 Aug 2023 00:00:00 GMT</t>
  </si>
  <si>
    <t>Tue, 22 Aug 2023 00:00:00 GMT</t>
  </si>
  <si>
    <t>Wed, 23 Aug 2023 00:00:00 GMT</t>
  </si>
  <si>
    <t>Thu, 24 Aug 2023 00:00:00 GMT</t>
  </si>
  <si>
    <t>Fri, 25 Aug 2023 00:00:00 GMT</t>
  </si>
  <si>
    <t>Mon, 28 Aug 2023 00:00:00 GMT</t>
  </si>
  <si>
    <t>Tue, 29 Aug 2023 00:00:00 GMT</t>
  </si>
  <si>
    <t>Wed, 30 Aug 2023 00:00:00 GMT</t>
  </si>
  <si>
    <t>Thu, 31 Aug 2023 00:00:00 GMT</t>
  </si>
  <si>
    <t>Fri, 01 Sep 2023 00:00:00 GMT</t>
  </si>
  <si>
    <t>Tue, 05 Sep 2023 00:00:00 GMT</t>
  </si>
  <si>
    <t>Wed, 06 Sep 2023 00:00:00 GMT</t>
  </si>
  <si>
    <t>Thu, 07 Sep 2023 00:00:00 GMT</t>
  </si>
  <si>
    <t>Fri, 08 Sep 2023 00:00:00 GMT</t>
  </si>
  <si>
    <t>Mon, 11 Sep 2023 00:00:00 GMT</t>
  </si>
  <si>
    <t>Tue, 12 Sep 2023 00:00:00 GMT</t>
  </si>
  <si>
    <t>Wed, 13 Sep 2023 00:00:00 GMT</t>
  </si>
  <si>
    <t>Thu, 14 Sep 2023 00:00:00 GMT</t>
  </si>
  <si>
    <t>Fri, 15 Sep 2023 00:00:00 GMT</t>
  </si>
  <si>
    <t>Mon, 18 Sep 2023 00:00:00 GMT</t>
  </si>
  <si>
    <t>Tue, 19 Sep 2023 00:00:00 GMT</t>
  </si>
  <si>
    <t>Wed, 20 Sep 2023 00:00:00 GMT</t>
  </si>
  <si>
    <t>Thu, 21 Sep 2023 00:00:00 GMT</t>
  </si>
  <si>
    <t>Fri, 22 Sep 2023 00:00:00 GMT</t>
  </si>
  <si>
    <t>Mon, 25 Sep 2023 00:00:00 GMT</t>
  </si>
  <si>
    <t>Tue, 26 Sep 2023 00:00:00 GMT</t>
  </si>
  <si>
    <t>Wed, 27 Sep 2023 00:00:00 GMT</t>
  </si>
  <si>
    <t>Thu, 28 Sep 2023 00:00:00 GMT</t>
  </si>
  <si>
    <t>Fri, 29 Sep 2023 00:00:00 GMT</t>
  </si>
  <si>
    <t>Mon, 02 Oct 2023 00:00:00 GMT</t>
  </si>
  <si>
    <t>Tue, 03 Oct 2023 00:00:00 GMT</t>
  </si>
  <si>
    <t>Wed, 04 Oct 2023 00:00:00 GMT</t>
  </si>
  <si>
    <t>Thu, 05 Oct 2023 00:00:00 GMT</t>
  </si>
  <si>
    <t>Fri, 06 Oct 2023 00:00:00 GMT</t>
  </si>
  <si>
    <t>Mon, 09 Oct 2023 00:00:00 GMT</t>
  </si>
  <si>
    <t>Tue, 10 Oct 2023 00:00:00 GMT</t>
  </si>
  <si>
    <t>Wed, 11 Oct 2023 00:00:00 GMT</t>
  </si>
  <si>
    <t>Thu, 12 Oct 2023 00:00:00 GMT</t>
  </si>
  <si>
    <t>Fri, 13 Oct 2023 00:00:00 GMT</t>
  </si>
  <si>
    <t>Mon, 16 Oct 2023 00:00:00 GMT</t>
  </si>
  <si>
    <t>Tue, 17 Oct 2023 00:00:00 GMT</t>
  </si>
  <si>
    <t>Wed, 18 Oct 2023 00:00:00 GMT</t>
  </si>
  <si>
    <t>Thu, 19 Oct 2023 00:00:00 GMT</t>
  </si>
  <si>
    <t>Fri, 20 Oct 2023 00:00:00 GMT</t>
  </si>
  <si>
    <t>Mon, 23 Oct 2023 00:00:00 GMT</t>
  </si>
  <si>
    <t>Tue, 24 Oct 2023 00:00:00 GMT</t>
  </si>
  <si>
    <t>Wed, 25 Oct 2023 00:00:00 GMT</t>
  </si>
  <si>
    <t>Thu, 26 Oct 2023 00:00:00 GMT</t>
  </si>
  <si>
    <t>Fri, 27 Oct 2023 00:00:00 GMT</t>
  </si>
  <si>
    <t>Mon, 30 Oct 2023 00:00:00 GMT</t>
  </si>
  <si>
    <t>Tue, 31 Oct 2023 00:00:00 GMT</t>
  </si>
  <si>
    <t>Wed, 01 Nov 2023 00:00:00 GMT</t>
  </si>
  <si>
    <t>Thu, 02 Nov 2023 00:00:00 GMT</t>
  </si>
  <si>
    <t>Fri, 03 Nov 2023 00:00:00 GMT</t>
  </si>
  <si>
    <t>Mon, 06 Nov 2023 00:00:00 GMT</t>
  </si>
  <si>
    <t>Tue, 07 Nov 2023 00:00:00 GMT</t>
  </si>
  <si>
    <t>Wed, 08 Nov 2023 00:00:00 GMT</t>
  </si>
  <si>
    <t>Thu, 09 Nov 2023 00:00:00 GMT</t>
  </si>
  <si>
    <t>Fri, 10 Nov 2023 00:00:00 GMT</t>
  </si>
  <si>
    <t>Mon, 13 Nov 2023 00:00:00 GMT</t>
  </si>
  <si>
    <t>Tue, 14 Nov 2023 00:00:00 GMT</t>
  </si>
  <si>
    <t>Wed, 15 Nov 2023 00:00:00 GMT</t>
  </si>
  <si>
    <t>Thu, 16 Nov 2023 00:00:00 GMT</t>
  </si>
  <si>
    <t>Fri, 17 Nov 2023 00:00:00 GMT</t>
  </si>
  <si>
    <t>Mon, 20 Nov 2023 00:00:00 GMT</t>
  </si>
  <si>
    <t>Tue, 21 Nov 2023 00:00:00 GMT</t>
  </si>
  <si>
    <t>Wed, 22 Nov 2023 00:00:00 GMT</t>
  </si>
  <si>
    <t>Fri, 24 Nov 2023 00:00:00 GMT</t>
  </si>
  <si>
    <t>Mon, 27 Nov 2023 00:00:00 GMT</t>
  </si>
  <si>
    <t>Tue, 28 Nov 2023 00:00:00 GMT</t>
  </si>
  <si>
    <t>Wed, 29 Nov 2023 00:00:00 GMT</t>
  </si>
  <si>
    <t>Thu, 30 Nov 2023 00:00:00 GMT</t>
  </si>
  <si>
    <t>Fri, 01 Dec 2023 00:00:00 GMT</t>
  </si>
  <si>
    <t>Mon, 04 Dec 2023 00:00:00 GMT</t>
  </si>
  <si>
    <t>Tue, 05 Dec 2023 00:00:00 GMT</t>
  </si>
  <si>
    <t>Wed, 06 Dec 2023 00:00:00 GMT</t>
  </si>
  <si>
    <t>Thu, 07 Dec 2023 00:00:00 GMT</t>
  </si>
  <si>
    <t>Fri, 08 Dec 2023 00:00:00 GMT</t>
  </si>
  <si>
    <t>Mon, 11 Dec 2023 00:00:00 GMT</t>
  </si>
  <si>
    <t>Tue, 12 Dec 2023 00:00:00 GMT</t>
  </si>
  <si>
    <t>Wed, 13 Dec 2023 00:00:00 GMT</t>
  </si>
  <si>
    <t>Thu, 14 Dec 2023 00:00:00 GMT</t>
  </si>
  <si>
    <t>Fri, 15 Dec 2023 00:00:00 GMT</t>
  </si>
  <si>
    <t>Mon, 18 Dec 2023 00:00:00 GMT</t>
  </si>
  <si>
    <t>Tue, 19 Dec 2023 00:00:00 GMT</t>
  </si>
  <si>
    <t>Wed, 20 Dec 2023 00:00:00 GMT</t>
  </si>
  <si>
    <t>Thu, 21 Dec 2023 00:00:00 GMT</t>
  </si>
  <si>
    <t>Fri, 22 Dec 2023 00:00:00 GMT</t>
  </si>
  <si>
    <t>Tue, 26 Dec 2023 00:00:00 GMT</t>
  </si>
  <si>
    <t>Wed, 27 Dec 2023 00:00:00 GMT</t>
  </si>
  <si>
    <t>Thu, 28 Dec 2023 00:00:00 GMT</t>
  </si>
  <si>
    <t>Fri, 29 Dec 2023 00:00:00 GMT</t>
  </si>
  <si>
    <t>Tue, 02 Jan 2024 00:00:00 GMT</t>
  </si>
  <si>
    <t>Wed, 03 Jan 2024 00:00:00 GMT</t>
  </si>
  <si>
    <t>Thu, 04 Jan 2024 00:00:00 GMT</t>
  </si>
  <si>
    <t>Fri, 05 Jan 2024 00:00:00 GMT</t>
  </si>
  <si>
    <t>Mon, 08 Jan 2024 00:00:00 GMT</t>
  </si>
  <si>
    <t>Tue, 09 Jan 2024 00:00:00 GMT</t>
  </si>
  <si>
    <t>Wed, 10 Jan 2024 00:00:00 GMT</t>
  </si>
  <si>
    <t>Thu, 11 Jan 2024 00:00:00 GMT</t>
  </si>
  <si>
    <t>Fri, 12 Jan 2024 00:00:00 GMT</t>
  </si>
  <si>
    <t>Tue, 16 Jan 2024 00:00:00 GMT</t>
  </si>
  <si>
    <t>Wed, 17 Jan 2024 00:00:00 GMT</t>
  </si>
  <si>
    <t>Thu, 18 Jan 2024 00:00:00 GMT</t>
  </si>
  <si>
    <t>Fri, 19 Jan 2024 00:00:00 GMT</t>
  </si>
  <si>
    <t>Mon, 22 Jan 2024 00:00:00 GMT</t>
  </si>
  <si>
    <t>Tue, 23 Jan 2024 00:00:00 GMT</t>
  </si>
  <si>
    <t>Wed, 24 Jan 2024 00:00:00 GMT</t>
  </si>
  <si>
    <t>Thu, 25 Jan 2024 00:00:00 GMT</t>
  </si>
  <si>
    <t>Fri, 26 Jan 2024 00:00:00 GMT</t>
  </si>
  <si>
    <t>Mon, 29 Jan 2024 00:00:00 GMT</t>
  </si>
  <si>
    <t>Tue, 30 Jan 2024 00:00:00 GMT</t>
  </si>
  <si>
    <t>Wed, 31 Jan 2024 00:00:00 GMT</t>
  </si>
  <si>
    <t>Thu, 01 Feb 2024 00:00:00 GMT</t>
  </si>
  <si>
    <t>Fri, 02 Feb 2024 00:00:00 GMT</t>
  </si>
  <si>
    <t>Mon, 05 Feb 2024 00:00:00 GMT</t>
  </si>
  <si>
    <t>Tue, 06 Feb 2024 00:00:00 GMT</t>
  </si>
  <si>
    <t>Wed, 07 Feb 2024 00:00:00 GMT</t>
  </si>
  <si>
    <t>Thu, 08 Feb 2024 00:00:00 GMT</t>
  </si>
  <si>
    <t>Fri, 09 Feb 2024 00:00:00 GMT</t>
  </si>
  <si>
    <t>Mon, 12 Feb 2024 00:00:00 GMT</t>
  </si>
  <si>
    <t>Tue, 13 Feb 2024 00:00:00 GMT</t>
  </si>
  <si>
    <t>Wed, 14 Feb 2024 00:00:00 GMT</t>
  </si>
  <si>
    <t>Thu, 15 Feb 2024 00:00:00 GMT</t>
  </si>
  <si>
    <t>Fri, 16 Feb 2024 00:00:00 GMT</t>
  </si>
  <si>
    <t>Tue, 20 Feb 2024 00:00:00 GMT</t>
  </si>
  <si>
    <t>Wed, 21 Feb 2024 00:00:00 GMT</t>
  </si>
  <si>
    <t>Thu, 22 Feb 2024 00:00:00 GMT</t>
  </si>
  <si>
    <t>Fri, 23 Feb 2024 00:00:00 GMT</t>
  </si>
  <si>
    <t>Mon, 26 Feb 2024 00:00:00 GMT</t>
  </si>
  <si>
    <t>Tue, 27 Feb 2024 00:00:00 GMT</t>
  </si>
  <si>
    <t>Wed, 28 Feb 2024 00:00:00 GMT</t>
  </si>
  <si>
    <t>Thu, 29 Feb 2024 00:00:00 GMT</t>
  </si>
  <si>
    <t>Fri, 01 Mar 2024 00:00:00 GMT</t>
  </si>
  <si>
    <t>Mon, 04 Mar 2024 00:00:00 GMT</t>
  </si>
  <si>
    <t>Tue, 05 Mar 2024 00:00:00 GMT</t>
  </si>
  <si>
    <t>Wed, 06 Mar 2024 00:00:00 GMT</t>
  </si>
  <si>
    <t>Thu, 07 Mar 2024 00:00:00 GMT</t>
  </si>
  <si>
    <t>Fri, 08 Mar 2024 00:00:00 GMT</t>
  </si>
  <si>
    <t>Mon, 11 Mar 2024 00:00:00 GMT</t>
  </si>
  <si>
    <t>Tue, 12 Mar 2024 00:00:00 GMT</t>
  </si>
  <si>
    <t>Wed, 13 Mar 2024 00:00:00 GMT</t>
  </si>
  <si>
    <t>Thu, 14 Mar 2024 00:00:00 GMT</t>
  </si>
  <si>
    <t>Fri, 15 Mar 2024 00:00:00 GMT</t>
  </si>
  <si>
    <t>Mon, 18 Mar 2024 00:00:00 GMT</t>
  </si>
  <si>
    <t>Tue, 19 Mar 2024 00:00:00 GMT</t>
  </si>
  <si>
    <t>Wed, 20 Mar 2024 00:00:00 GMT</t>
  </si>
  <si>
    <t>Thu, 21 Mar 2024 00:00:00 GMT</t>
  </si>
  <si>
    <t>Fri, 22 Mar 2024 00:00:00 GMT</t>
  </si>
  <si>
    <t>Mon, 25 Mar 2024 00:00:00 GMT</t>
  </si>
  <si>
    <t>Tue, 26 Mar 2024 00:00:00 GMT</t>
  </si>
  <si>
    <t>Wed, 27 Mar 2024 00:00:00 GMT</t>
  </si>
  <si>
    <t>Thu, 28 Mar 2024 00:00:00 GMT</t>
  </si>
  <si>
    <t>Mon, 01 Apr 2024 00:00:00 GMT</t>
  </si>
  <si>
    <t>Tue, 02 Apr 2024 00:00:00 GMT</t>
  </si>
  <si>
    <t>Wed, 03 Apr 2024 00:00:00 GMT</t>
  </si>
  <si>
    <t>Thu, 04 Apr 2024 00:00:00 GMT</t>
  </si>
  <si>
    <t>Fri, 05 Apr 2024 00:00:00 GMT</t>
  </si>
  <si>
    <t>Mon, 08 Apr 2024 00:00:00 GMT</t>
  </si>
  <si>
    <t>Tue, 09 Apr 2024 00:00:00 GMT</t>
  </si>
  <si>
    <t>Wed, 10 Apr 2024 00:00:00 GMT</t>
  </si>
  <si>
    <t>Thu, 11 Apr 2024 00:00:00 GMT</t>
  </si>
  <si>
    <t>Fri, 12 Apr 2024 00:00:00 GMT</t>
  </si>
  <si>
    <t>Mon, 15 Apr 2024 00:00:00 GMT</t>
  </si>
  <si>
    <t>Tue, 16 Apr 2024 00:00:00 GMT</t>
  </si>
  <si>
    <t>Wed, 17 Apr 2024 00:00:00 GMT</t>
  </si>
  <si>
    <t>Thu, 18 Apr 2024 00:00:00 GMT</t>
  </si>
  <si>
    <t>Fri, 19 Apr 2024 00:00:00 GMT</t>
  </si>
  <si>
    <t>Mon, 22 Apr 2024 00:00:00 GMT</t>
  </si>
  <si>
    <t>Tue, 23 Apr 2024 00:00:00 GMT</t>
  </si>
  <si>
    <t>Wed, 24 Apr 2024 00:00:00 GMT</t>
  </si>
  <si>
    <t>Thu, 25 Apr 2024 00:00:00 GMT</t>
  </si>
  <si>
    <t>Fri, 26 Apr 2024 00:00:00 GMT</t>
  </si>
  <si>
    <t>Mon, 29 Apr 2024 00:00:00 GMT</t>
  </si>
  <si>
    <t>Tue, 30 Apr 2024 00:00:00 GMT</t>
  </si>
  <si>
    <t>Wed, 01 May 2024 00:00:00 GMT</t>
  </si>
  <si>
    <t>Thu, 02 May 2024 00:00:00 GMT</t>
  </si>
  <si>
    <t>Fri, 03 May 2024 00:00:00 GMT</t>
  </si>
  <si>
    <t>Mon, 06 May 2024 00:00:00 GMT</t>
  </si>
  <si>
    <t>Tue, 07 May 2024 00:00:00 GMT</t>
  </si>
  <si>
    <t>Wed, 08 May 2024 00:00:00 GMT</t>
  </si>
  <si>
    <t>Thu, 09 May 2024 00:00:00 GMT</t>
  </si>
  <si>
    <t>Fri, 10 May 2024 00:00:00 GMT</t>
  </si>
  <si>
    <t>Mon, 13 May 2024 00:00:00 GMT</t>
  </si>
  <si>
    <t>Tue, 14 May 2024 00:00:00 GMT</t>
  </si>
  <si>
    <t>Wed, 15 May 2024 00:00:00 GMT</t>
  </si>
  <si>
    <t>Thu, 16 May 2024 00:00:00 GMT</t>
  </si>
  <si>
    <t>Fri, 17 May 2024 00:00:00 GMT</t>
  </si>
  <si>
    <t>Mon, 20 May 2024 00:00:00 GMT</t>
  </si>
  <si>
    <t>Tue, 21 May 2024 00:00:00 GMT</t>
  </si>
  <si>
    <t>Wed, 22 May 2024 00:00:00 GMT</t>
  </si>
  <si>
    <t>Thu, 23 May 2024 00:00:00 GMT</t>
  </si>
  <si>
    <t>Fri, 24 May 2024 00:00:00 GMT</t>
  </si>
  <si>
    <t>Tue, 28 May 2024 00:00:00 GMT</t>
  </si>
  <si>
    <t>Wed, 29 May 2024 00:00:00 GMT</t>
  </si>
  <si>
    <t>Thu, 30 May 2024 00:00:00 GMT</t>
  </si>
  <si>
    <t>Fri, 31 May 2024 00:00:00 GMT</t>
  </si>
  <si>
    <t>Mon, 03 Jun 2024 00:00:00 GMT</t>
  </si>
  <si>
    <t>Tue, 04 Jun 2024 00:00:00 GMT</t>
  </si>
  <si>
    <t>Wed, 05 Jun 2024 00:00:00 GMT</t>
  </si>
  <si>
    <t>Thu, 06 Jun 2024 00:00:00 GMT</t>
  </si>
  <si>
    <t>Fri, 07 Jun 2024 00:00:00 GMT</t>
  </si>
  <si>
    <t>Mon, 10 Jun 2024 00:00:00 GMT</t>
  </si>
  <si>
    <t>Tue, 11 Jun 2024 00:00:00 GMT</t>
  </si>
  <si>
    <t>Wed, 12 Jun 2024 00:00:00 GMT</t>
  </si>
  <si>
    <t>Thu, 13 Jun 2024 00:00:00 GMT</t>
  </si>
  <si>
    <t>Fri, 14 Jun 2024 00:00:00 GMT</t>
  </si>
  <si>
    <t>Mon, 17 Jun 2024 00:00:00 GMT</t>
  </si>
  <si>
    <t>Tue, 18 Jun 2024 00:00:00 GMT</t>
  </si>
  <si>
    <t>Thu, 20 Jun 2024 00:00:00 GMT</t>
  </si>
  <si>
    <t>Fri, 21 Jun 2024 00:00:00 GMT</t>
  </si>
  <si>
    <t>Mon, 24 Jun 2024 00:00:00 GMT</t>
  </si>
  <si>
    <t>Tue, 25 Jun 2024 00:00:00 GMT</t>
  </si>
  <si>
    <t>Wed, 26 Jun 2024 00:00:00 GMT</t>
  </si>
  <si>
    <t>Thu, 27 Jun 2024 00:00:00 GMT</t>
  </si>
  <si>
    <t>Fri, 28 Jun 2024 00:00:00 GMT</t>
  </si>
  <si>
    <t>Mon, 01 Jul 2024 00:00:00 GMT</t>
  </si>
  <si>
    <t>Tue, 02 Jul 2024 00:00:00 GMT</t>
  </si>
  <si>
    <t>Wed, 03 Jul 2024 00:00:00 GMT</t>
  </si>
  <si>
    <t>Fri, 05 Jul 2024 00:00:00 GMT</t>
  </si>
  <si>
    <t>Mon, 08 Jul 2024 00:00:00 GMT</t>
  </si>
  <si>
    <t>Tue, 09 Jul 2024 00:00:00 GMT</t>
  </si>
  <si>
    <t>Wed, 10 Jul 2024 00:00:00 GMT</t>
  </si>
  <si>
    <t>Thu, 11 Jul 2024 00:00:00 GMT</t>
  </si>
  <si>
    <t>Fri, 12 Jul 2024 00:00:00 GMT</t>
  </si>
  <si>
    <t>Mon, 15 Jul 2024 00:00:00 GMT</t>
  </si>
  <si>
    <t>Tue, 16 Jul 2024 00:00:00 GMT</t>
  </si>
  <si>
    <t>Wed, 17 Jul 2024 00:00:00 GMT</t>
  </si>
  <si>
    <t>Thu, 18 Jul 2024 00:00:00 GMT</t>
  </si>
  <si>
    <t>Fri, 19 Jul 2024 00:00:00 GMT</t>
  </si>
  <si>
    <t>Mon, 22 Jul 2024 00:00:00 GMT</t>
  </si>
  <si>
    <t>Tue, 23 Jul 2024 00:00:00 GMT</t>
  </si>
  <si>
    <t>Wed, 24 Jul 2024 00:00:00 GMT</t>
  </si>
  <si>
    <t>Thu, 25 Jul 2024 00:00:00 GMT</t>
  </si>
  <si>
    <t>Fri, 26 Jul 2024 00:00:00 GMT</t>
  </si>
  <si>
    <t>Mon, 29 Jul 2024 00:00:00 GMT</t>
  </si>
  <si>
    <t>Tue, 30 Jul 2024 00:00:00 GMT</t>
  </si>
  <si>
    <t>Wed, 31 Jul 2024 00:00:00 GMT</t>
  </si>
  <si>
    <t>Thu, 01 Aug 2024 00:00:00 GMT</t>
  </si>
  <si>
    <t>Fri, 02 Aug 2024 00:00:00 GMT</t>
  </si>
  <si>
    <t>Mon, 05 Aug 2024 00:00:00 GMT</t>
  </si>
  <si>
    <t>Tue, 06 Aug 2024 00:00:00 GMT</t>
  </si>
  <si>
    <t>Wed, 07 Aug 2024 00:00:00 GMT</t>
  </si>
  <si>
    <t>Thu, 08 Aug 2024 00:00:00 GMT</t>
  </si>
  <si>
    <t>Fri, 09 Aug 2024 00:00:00 GMT</t>
  </si>
  <si>
    <t>Mon, 12 Aug 2024 00:00:00 GMT</t>
  </si>
  <si>
    <t>Tue, 13 Aug 2024 00:00:00 GMT</t>
  </si>
  <si>
    <t>Wed, 14 Aug 2024 00:00:00 GMT</t>
  </si>
  <si>
    <t>Thu, 15 Aug 2024 00:00:00 GMT</t>
  </si>
  <si>
    <t>Fri, 16 Aug 2024 00:00:00 GMT</t>
  </si>
  <si>
    <t>Mon, 19 Aug 2024 00:00:00 GMT</t>
  </si>
  <si>
    <t>Tue, 20 Aug 2024 00:00:00 GMT</t>
  </si>
  <si>
    <t>Wed, 21 Aug 2024 00:00:00 GMT</t>
  </si>
  <si>
    <t>Thu, 22 Aug 2024 00:00:00 GMT</t>
  </si>
  <si>
    <t>Fri, 23 Aug 2024 00:00:00 GMT</t>
  </si>
  <si>
    <t>Mon, 26 Aug 2024 00:00:00 GMT</t>
  </si>
  <si>
    <t>Tue, 27 Aug 2024 00:00:00 GMT</t>
  </si>
  <si>
    <t>Wed, 28 Aug 2024 00:00:00 GMT</t>
  </si>
  <si>
    <t>Thu, 29 Aug 2024 00:00:00 GMT</t>
  </si>
  <si>
    <t>Fri, 30 Aug 2024 00:00:00 GMT</t>
  </si>
  <si>
    <t>Tue, 03 Sep 2024 00:00:00 GMT</t>
  </si>
  <si>
    <t>Wed, 04 Sep 2024 00:00:00 GMT</t>
  </si>
  <si>
    <t>Thu, 05 Sep 2024 00:00:00 GMT</t>
  </si>
  <si>
    <t>Fri, 06 Sep 2024 00:00:00 GMT</t>
  </si>
  <si>
    <t>Mon, 09 Sep 2024 00:00:00 GMT</t>
  </si>
  <si>
    <t>Tue, 10 Sep 2024 00:00:00 GMT</t>
  </si>
  <si>
    <t>Wed, 11 Sep 2024 00:00:00 GMT</t>
  </si>
  <si>
    <t>Thu, 12 Sep 2024 00:00:00 GMT</t>
  </si>
  <si>
    <t>Fri, 13 Sep 2024 00:00:00 GMT</t>
  </si>
  <si>
    <t>Mon, 16 Sep 2024 00:00:00 GMT</t>
  </si>
  <si>
    <t>Tue, 17 Sep 2024 00:00:00 GMT</t>
  </si>
  <si>
    <t>Wed, 18 Sep 2024 00:00:00 GMT</t>
  </si>
  <si>
    <t>Thu, 19 Sep 2024 00:00:00 GMT</t>
  </si>
  <si>
    <t>Fri, 20 Sep 2024 00:00:00 GMT</t>
  </si>
  <si>
    <t>Mon, 23 Sep 2024 00:00:00 GMT</t>
  </si>
  <si>
    <t>Tue, 24 Sep 2024 00:00:00 GMT</t>
  </si>
  <si>
    <t>Wed, 25 Sep 2024 00:00:00 GMT</t>
  </si>
  <si>
    <t>Thu, 26 Sep 2024 00:00:00 GMT</t>
  </si>
  <si>
    <t>Fri, 27 Sep 2024 00:00:00 GMT</t>
  </si>
  <si>
    <t>Mon, 30 Sep 2024 00:00:00 GMT</t>
  </si>
  <si>
    <t>Tue, 01 Oct 2024 00:00:00 GMT</t>
  </si>
  <si>
    <t>Wed, 02 Oct 2024 00:00:00 GMT</t>
  </si>
  <si>
    <t>Thu, 03 Oct 2024 00:00:00 GMT</t>
  </si>
  <si>
    <t>Fri, 04 Oct 2024 00:00:00 GMT</t>
  </si>
  <si>
    <t>Mon, 07 Oct 2024 00:00:00 GMT</t>
  </si>
  <si>
    <t>Tue, 08 Oct 2024 00:00:00 GMT</t>
  </si>
  <si>
    <t>Wed, 09 Oct 2024 00:00:00 GMT</t>
  </si>
  <si>
    <t>Thu, 10 Oct 2024 00:00:00 GMT</t>
  </si>
  <si>
    <t>Fri, 11 Oct 2024 00:00:00 GMT</t>
  </si>
  <si>
    <t>Mon, 14 Oct 2024 00:00:00 GMT</t>
  </si>
  <si>
    <t>Tue, 15 Oct 2024 00:00:00 GMT</t>
  </si>
  <si>
    <t>Wed, 16 Oct 2024 00:00:00 GMT</t>
  </si>
  <si>
    <t>Thu, 17 Oct 2024 00:00:00 GMT</t>
  </si>
  <si>
    <t>Fri, 18 Oct 2024 00:00:00 GMT</t>
  </si>
  <si>
    <t>Mon, 21 Oct 2024 00:00:00 GMT</t>
  </si>
  <si>
    <t>Tue, 22 Oct 2024 00:00:00 GMT</t>
  </si>
  <si>
    <t>Wed, 23 Oct 2024 00:00:00 GMT</t>
  </si>
  <si>
    <t>Thu, 24 Oct 2024 00:00:00 GMT</t>
  </si>
  <si>
    <t>Fri, 25 Oct 2024 00:00:00 GMT</t>
  </si>
  <si>
    <t>Mon, 28 Oct 2024 00:00:00 GMT</t>
  </si>
  <si>
    <t>Tue, 29 Oct 2024 00:00:00 GMT</t>
  </si>
  <si>
    <t>Wed, 30 Oct 2024 00:00:00 GMT</t>
  </si>
  <si>
    <t>Thu, 31 Oct 2024 00:00:00 GMT</t>
  </si>
  <si>
    <t>Fri, 01 Nov 2024 00:00:00 GMT</t>
  </si>
  <si>
    <t>Mon, 04 Nov 2024 00:00:00 GMT</t>
  </si>
  <si>
    <t>Tue, 05 Nov 2024 00:00:00 GMT</t>
  </si>
  <si>
    <t>Wed, 06 Nov 2024 00:00:00 GMT</t>
  </si>
  <si>
    <t>Thu, 07 Nov 2024 00:00:00 GMT</t>
  </si>
  <si>
    <t>Fri, 08 Nov 2024 00:00:00 GMT</t>
  </si>
  <si>
    <t>Mon, 11 Nov 2024 00:00:00 GMT</t>
  </si>
  <si>
    <t>Tue, 12 Nov 2024 00:00:00 GMT</t>
  </si>
  <si>
    <t>Wed, 13 Nov 2024 00:00:00 GMT</t>
  </si>
  <si>
    <t>Thu, 14 Nov 2024 00:00:00 GMT</t>
  </si>
  <si>
    <t>Fri, 15 Nov 2024 00:00:00 GMT</t>
  </si>
  <si>
    <t>Mon, 18 Nov 2024 00:00:00 GMT</t>
  </si>
  <si>
    <t>Tue, 19 Nov 2024 00:00:00 GMT</t>
  </si>
  <si>
    <t>Wed, 20 Nov 2024 00:00:00 GMT</t>
  </si>
  <si>
    <t>Thu, 21 Nov 2024 00:00:00 GMT</t>
  </si>
  <si>
    <t>Fri, 22 Nov 2024 00:00:00 GMT</t>
  </si>
  <si>
    <t>Mon, 25 Nov 2024 00:00:00 GMT</t>
  </si>
  <si>
    <t>Tue, 26 Nov 2024 00:00:00 GMT</t>
  </si>
  <si>
    <t>Wed, 27 Nov 2024 00:00:00 GMT</t>
  </si>
  <si>
    <t>Fri, 29 Nov 2024 00:00:00 GMT</t>
  </si>
  <si>
    <t>Mon, 02 Dec 2024 00:00:00 GMT</t>
  </si>
  <si>
    <t>Tue, 03 Dec 2024 00:00:00 GMT</t>
  </si>
  <si>
    <t>Wed, 04 Dec 2024 00:00:00 GMT</t>
  </si>
  <si>
    <t>Thu, 05 Dec 2024 00:00:00 GMT</t>
  </si>
  <si>
    <t>Fri, 06 Dec 2024 00:00:00 GMT</t>
  </si>
  <si>
    <t>Mon, 09 Dec 2024 00:00:00 GMT</t>
  </si>
  <si>
    <t>Tue, 10 Dec 2024 00:00:00 GMT</t>
  </si>
  <si>
    <t>Wed, 11 Dec 2024 00:00:00 GMT</t>
  </si>
  <si>
    <t>Thu, 12 Dec 2024 00:00:00 GMT</t>
  </si>
  <si>
    <t>Fri, 13 Dec 2024 00:00:00 GMT</t>
  </si>
  <si>
    <t>Mon, 16 Dec 2024 00:00:00 GMT</t>
  </si>
  <si>
    <t>Tue, 17 Dec 2024 00:00:00 GMT</t>
  </si>
  <si>
    <t>Wed, 18 Dec 2024 00:00:00 GMT</t>
  </si>
  <si>
    <t>Thu, 19 Dec 2024 00:00:00 GMT</t>
  </si>
  <si>
    <t>Fri, 20 Dec 2024 00:00:00 GMT</t>
  </si>
  <si>
    <t>Mon, 23 Dec 2024 00:00:00 GMT</t>
  </si>
  <si>
    <t>Tue, 24 Dec 2024 00:00:00 GMT</t>
  </si>
  <si>
    <t>Thu, 26 Dec 2024 00:00:00 GMT</t>
  </si>
  <si>
    <t>Fri, 27 Dec 2024 00:00:00 GMT</t>
  </si>
  <si>
    <t>Mon, 30 Dec 2024 00:00:00 GMT</t>
  </si>
  <si>
    <t>Tue, 31 Dec 2024 00:00:00 GMT</t>
  </si>
  <si>
    <t>Thu, 02 Jan 2025 00:00:00 GMT</t>
  </si>
  <si>
    <t>Fri, 03 Jan 2025 00:00:00 GMT</t>
  </si>
  <si>
    <t>Mon, 06 Jan 2025 00:00:00 GMT</t>
  </si>
  <si>
    <t>Tue, 07 Jan 2025 00:00:00 GMT</t>
  </si>
  <si>
    <t>Wed, 08 Jan 2025 00:00:00 GMT</t>
  </si>
  <si>
    <t>Fri, 10 Jan 2025 00:00:00 GMT</t>
  </si>
  <si>
    <t>Mon, 13 Jan 2025 00:00:00 GMT</t>
  </si>
  <si>
    <t>Tue, 14 Jan 2025 00:00:00 GMT</t>
  </si>
  <si>
    <t>Wed, 15 Jan 2025 00:00:00 GMT</t>
  </si>
  <si>
    <t>Thu, 16 Jan 2025 00:00:00 GMT</t>
  </si>
  <si>
    <t>Fri, 17 Jan 2025 00:00:00 GMT</t>
  </si>
  <si>
    <t>Tue, 21 Jan 2025 00:00:00 GMT</t>
  </si>
  <si>
    <t>Wed, 22 Jan 2025 00:00:00 GMT</t>
  </si>
  <si>
    <t>Thu, 23 Jan 2025 00:00:00 GMT</t>
  </si>
  <si>
    <t>Fri, 24 Jan 2025 00:00:00 GMT</t>
  </si>
  <si>
    <t>Mon, 27 Jan 2025 00:00:00 GMT</t>
  </si>
  <si>
    <t>Tue, 28 Jan 2025 00:00:00 GMT</t>
  </si>
  <si>
    <t>Wed, 29 Jan 2025 00:00:00 GMT</t>
  </si>
  <si>
    <t>Thu, 30 Jan 2025 00:00:00 GMT</t>
  </si>
  <si>
    <t>Fri, 31 Jan 2025 00:00:00 GMT</t>
  </si>
  <si>
    <t>Mon, 03 Feb 2025 00:00:00 GMT</t>
  </si>
  <si>
    <t>Tue, 04 Feb 2025 00:00:00 GMT</t>
  </si>
  <si>
    <t>Wed, 05 Feb 2025 00:00:00 GMT</t>
  </si>
  <si>
    <t>Thu, 06 Feb 2025 00:00:00 GMT</t>
  </si>
  <si>
    <t>Fri, 07 Feb 2025 00:00:00 GMT</t>
  </si>
  <si>
    <t>Mon, 10 Feb 2025 00:00:00 GMT</t>
  </si>
  <si>
    <t>Tue, 11 Feb 2025 00:00:00 GMT</t>
  </si>
  <si>
    <t>Wed, 12 Feb 2025 00:00:00 GMT</t>
  </si>
  <si>
    <t>Thu, 13 Feb 2025 00:00:00 GMT</t>
  </si>
  <si>
    <t>Fri, 14 Feb 2025 00:00:00 GMT</t>
  </si>
  <si>
    <t>Tue, 18 Feb 2025 00:00:00 GMT</t>
  </si>
  <si>
    <t>Wed, 19 Feb 2025 00:00:00 GMT</t>
  </si>
  <si>
    <t>Thu, 20 Feb 2025 00:00:00 GMT</t>
  </si>
  <si>
    <t>Fri, 21 Feb 2025 00:00:00 GMT</t>
  </si>
  <si>
    <t>Mon, 24 Feb 2025 00:00:00 GMT</t>
  </si>
  <si>
    <t>Tue, 25 Feb 2025 00:00:00 GMT</t>
  </si>
  <si>
    <t>Wed, 26 Feb 2025 00:00:00 GMT</t>
  </si>
  <si>
    <t>Thu, 27 Feb 2025 00:00:00 GMT</t>
  </si>
  <si>
    <t>Fri, 28 Feb 2025 00:00:00 GMT</t>
  </si>
  <si>
    <t>Mon, 03 Mar 2025 00:00:00 GMT</t>
  </si>
  <si>
    <t>Tue, 04 Mar 2025 00:00:00 GMT</t>
  </si>
  <si>
    <t>Wed, 05 Mar 2025 00:00:00 GMT</t>
  </si>
  <si>
    <t>Thu, 06 Mar 2025 00:00:00 GMT</t>
  </si>
  <si>
    <t>Fri, 07 Mar 2025 00:00:00 GMT</t>
  </si>
  <si>
    <t>Mon, 10 Mar 2025 00:00:00 GMT</t>
  </si>
  <si>
    <t>Tue, 11 Mar 2025 00:00:00 GMT</t>
  </si>
  <si>
    <t>Wed, 12 Mar 2025 00:00:00 GMT</t>
  </si>
  <si>
    <t>Thu, 13 Mar 2025 00:00:00 GMT</t>
  </si>
  <si>
    <t>Fri, 14 Mar 2025 00:00:00 GMT</t>
  </si>
  <si>
    <t>Mon, 17 Mar 2025 00:00:00 GMT</t>
  </si>
  <si>
    <t>Tue, 18 Mar 2025 00:00:00 GMT</t>
  </si>
  <si>
    <t>Wed, 19 Mar 2025 00:00:00 GMT</t>
  </si>
  <si>
    <t>Thu, 20 Mar 2025 00:00:00 GMT</t>
  </si>
  <si>
    <t>Fri, 21 Mar 2025 00:00:00 GMT</t>
  </si>
  <si>
    <t>Mon, 24 Mar 2025 00:00:00 GMT</t>
  </si>
  <si>
    <t>Tue, 25 Mar 2025 00:00:00 GMT</t>
  </si>
  <si>
    <t>Wed, 26 Mar 2025 00:00:00 GMT</t>
  </si>
  <si>
    <t>Thu, 27 Mar 2025 00:00:00 GMT</t>
  </si>
  <si>
    <t>Fri, 28 Mar 2025 00:00:00 GMT</t>
  </si>
  <si>
    <t>Mon, 31 Mar 2025 00:00:00 GMT</t>
  </si>
  <si>
    <t>Tue, 01 Apr 2025 00:00:00 GMT</t>
  </si>
  <si>
    <t>Wed, 02 Apr 2025 00:00:00 GMT</t>
  </si>
  <si>
    <t>Thu, 03 Apr 2025 00:00:00 GMT</t>
  </si>
  <si>
    <t>Fri, 04 Apr 2025 00:00:00 GMT</t>
  </si>
  <si>
    <t>Mon, 07 Apr 2025 00:00:00 GMT</t>
  </si>
  <si>
    <t>Tue, 08 Apr 2025 00:00:00 GMT</t>
  </si>
  <si>
    <t>Wed, 09 Apr 2025 00:00:00 GMT</t>
  </si>
  <si>
    <t>Thu, 10 Apr 2025 00:00:00 GMT</t>
  </si>
  <si>
    <t>Fri, 11 Apr 2025 00:00:00 GMT</t>
  </si>
  <si>
    <t>Mon, 14 Apr 2025 00:00:00 GMT</t>
  </si>
  <si>
    <t>Tue, 15 Apr 2025 00:00:00 GMT</t>
  </si>
  <si>
    <t>Wed, 16 Apr 2025 00:00:00 GMT</t>
  </si>
  <si>
    <t>Thu, 17 Apr 2025 00:00:00 GMT</t>
  </si>
  <si>
    <t>Mon, 21 Apr 2025 00:00:00 GMT</t>
  </si>
  <si>
    <t>Tue, 22 Apr 2025 00:00:00 GMT</t>
  </si>
  <si>
    <t>Wed, 23 Apr 2025 00:00:00 GMT</t>
  </si>
  <si>
    <t>Thu, 24 Apr 2025 00:00:00 GMT</t>
  </si>
  <si>
    <t>Fri, 25 Apr 2025 00:00:00 GMT</t>
  </si>
  <si>
    <t>Mon, 28 Apr 2025 00:00:00 GMT</t>
  </si>
  <si>
    <t>Tue, 29 Apr 2025 00:00:00 GMT</t>
  </si>
  <si>
    <t>Wed, 30 Apr 2025 00:00:00 GMT</t>
  </si>
  <si>
    <t>Thu, 01 May 2025 00:00:00 GMT</t>
  </si>
  <si>
    <t>Fri, 02 May 2025 00:00:00 GMT</t>
  </si>
  <si>
    <t>Mon, 05 May 2025 00:00:00 GMT</t>
  </si>
  <si>
    <t>Tue, 06 May 2025 00:00:00 GMT</t>
  </si>
  <si>
    <t>Wed, 07 May 2025 00:00:00 GMT</t>
  </si>
  <si>
    <t>Thu, 08 May 2025 00:00:00 GMT</t>
  </si>
  <si>
    <t>Fri, 09 May 2025 00:00:00 GMT</t>
  </si>
  <si>
    <t>Mon, 12 May 2025 00:00:00 GMT</t>
  </si>
  <si>
    <t>Tue, 13 May 2025 00:00:00 GMT</t>
  </si>
  <si>
    <t>Wed, 14 May 2025 00:00:00 GMT</t>
  </si>
  <si>
    <t>Thu, 15 May 2025 00:00:00 GMT</t>
  </si>
  <si>
    <t>Fri, 16 May 2025 00:00:00 GMT</t>
  </si>
  <si>
    <t>Mon, 19 May 2025 00:00:00 GMT</t>
  </si>
  <si>
    <t>Tue, 20 May 2025 00:00:00 GMT</t>
  </si>
  <si>
    <t xml:space="preserve">[GOOGL] Historical Return Histogram (5/21/2025) </t>
  </si>
  <si>
    <t>More</t>
  </si>
  <si>
    <t xml:space="preserve">Revenue Breakdown by Segment </t>
  </si>
  <si>
    <t>IPO: Aug. 19, 2004 -- $23B valuation</t>
  </si>
  <si>
    <t>Functions include search ads, display ads, video ads, and programmatic ad buying</t>
  </si>
  <si>
    <r>
      <rPr>
        <b/>
        <sz val="11"/>
        <color theme="1"/>
        <rFont val="Calibre"/>
      </rPr>
      <t>Core product</t>
    </r>
    <r>
      <rPr>
        <sz val="11"/>
        <color theme="1"/>
        <rFont val="Calibre"/>
      </rPr>
      <t xml:space="preserve"> that launched Google, providing web search capabilities and generating significant ad revenue through sponsored search results</t>
    </r>
  </si>
  <si>
    <r>
      <t xml:space="preserve">It operates through </t>
    </r>
    <r>
      <rPr>
        <b/>
        <sz val="11"/>
        <color theme="1"/>
        <rFont val="Calibre"/>
      </rPr>
      <t>Google Services, Google Cloud,</t>
    </r>
    <r>
      <rPr>
        <sz val="11"/>
        <color theme="1"/>
        <rFont val="Calibre"/>
      </rPr>
      <t xml:space="preserve"> and </t>
    </r>
    <r>
      <rPr>
        <b/>
        <sz val="11"/>
        <color theme="1"/>
        <rFont val="Calibre"/>
      </rPr>
      <t>Other Bets</t>
    </r>
    <r>
      <rPr>
        <sz val="11"/>
        <color theme="1"/>
        <rFont val="Calibre"/>
      </rPr>
      <t xml:space="preserve"> segments:</t>
    </r>
  </si>
  <si>
    <r>
      <t xml:space="preserve">As The Company's founders Larry and Sergey wrote in the original founders' letter, </t>
    </r>
    <r>
      <rPr>
        <b/>
        <sz val="11"/>
        <color theme="1"/>
        <rFont val="Calibre"/>
      </rPr>
      <t>"Google is not a conventional company. We do not intend to become one"</t>
    </r>
  </si>
  <si>
    <t>That unconventional spirit has been a driving force throughout our history, inspiring us to tackle big problems and invest in moonshots. It led us to be a pioneer in the development of AI and, since 2016, an AI-first company. The Company continues this work under the leadership of Alphabet and Google CEO, Sundar Pichai</t>
  </si>
  <si>
    <t>Overview:</t>
  </si>
  <si>
    <r>
      <rPr>
        <b/>
        <sz val="11"/>
        <color theme="1"/>
        <rFont val="Calibre"/>
      </rPr>
      <t>Alphabet is a collection of businesses</t>
    </r>
    <r>
      <rPr>
        <sz val="11"/>
        <color theme="1"/>
        <rFont val="Calibre"/>
      </rPr>
      <t xml:space="preserve"> — the </t>
    </r>
    <r>
      <rPr>
        <b/>
        <sz val="11"/>
        <color theme="1"/>
        <rFont val="Calibre"/>
      </rPr>
      <t>largest</t>
    </r>
    <r>
      <rPr>
        <sz val="11"/>
        <color theme="1"/>
        <rFont val="Calibre"/>
      </rPr>
      <t xml:space="preserve"> of which is </t>
    </r>
    <r>
      <rPr>
        <b/>
        <sz val="11"/>
        <color theme="1"/>
        <rFont val="Calibre"/>
      </rPr>
      <t>Google</t>
    </r>
  </si>
  <si>
    <t>https://youtu.be/rulGP9cqS4w?si=MsfN_5tCXlkbm57A</t>
  </si>
  <si>
    <t>Company</t>
  </si>
  <si>
    <t>Business</t>
  </si>
  <si>
    <t>Price</t>
  </si>
  <si>
    <t>Motorola Mobility</t>
  </si>
  <si>
    <t>Mobile device manufacturer</t>
  </si>
  <si>
    <t>$12.5 billion</t>
  </si>
  <si>
    <t>Nest Labs</t>
  </si>
  <si>
    <t>Home automation</t>
  </si>
  <si>
    <t>$3.2 billion</t>
  </si>
  <si>
    <t>DoubleClick</t>
  </si>
  <si>
    <t>Online advertising</t>
  </si>
  <si>
    <t>$3.1 billion</t>
  </si>
  <si>
    <t>AdSense</t>
  </si>
  <si>
    <t>Looker</t>
  </si>
  <si>
    <t>Big data, analytics</t>
  </si>
  <si>
    <t>$2.6 billion</t>
  </si>
  <si>
    <t>Google Cloud Platform</t>
  </si>
  <si>
    <t>Fitbit</t>
  </si>
  <si>
    <t>Wearables</t>
  </si>
  <si>
    <t>$2.1 billion</t>
  </si>
  <si>
    <t>Wear OS</t>
  </si>
  <si>
    <t>YouTube</t>
  </si>
  <si>
    <t>Video sharing</t>
  </si>
  <si>
    <t>$1.65 billion</t>
  </si>
  <si>
    <t>Waze</t>
  </si>
  <si>
    <t>GPS navigation software</t>
  </si>
  <si>
    <t>$1.3 billion</t>
  </si>
  <si>
    <t>Google Maps, Waze</t>
  </si>
  <si>
    <t>HTC</t>
  </si>
  <si>
    <t>Telecommunications</t>
  </si>
  <si>
    <t>$1.1 billion</t>
  </si>
  <si>
    <t>Google Pixel</t>
  </si>
  <si>
    <t>AdMob</t>
  </si>
  <si>
    <t>Mobile advertising</t>
  </si>
  <si>
    <t>$750 million</t>
  </si>
  <si>
    <t>DoubleClick, Invite Media</t>
  </si>
  <si>
    <t>ITA Software</t>
  </si>
  <si>
    <t>Travel technology</t>
  </si>
  <si>
    <t>$700 million</t>
  </si>
  <si>
    <t>Google Flights</t>
  </si>
  <si>
    <t>Complete List of Alphabet Acquisitions Since Inception</t>
  </si>
  <si>
    <t>Date of Acquisition</t>
  </si>
  <si>
    <t>Used as or Integrated With</t>
  </si>
  <si>
    <t>Feb. 7, 2014</t>
  </si>
  <si>
    <t>Apr. X, 2007</t>
  </si>
  <si>
    <t>Jan. X, 2020</t>
  </si>
  <si>
    <t>Feb. X, 2020</t>
  </si>
  <si>
    <t>Oct. 9, 2006</t>
  </si>
  <si>
    <t>June X, 2013</t>
  </si>
  <si>
    <t>Sept. 21, 2017</t>
  </si>
  <si>
    <t>Nov. X, 2009</t>
  </si>
  <si>
    <t>Apr. 8, 2011</t>
  </si>
  <si>
    <t>List of Other Acquisitions</t>
  </si>
  <si>
    <t>DejaNews</t>
  </si>
  <si>
    <t>Usenet</t>
  </si>
  <si>
    <t>Google Groups</t>
  </si>
  <si>
    <t>Outride</t>
  </si>
  <si>
    <t>Web search engine</t>
  </si>
  <si>
    <t>Google Personalized Search</t>
  </si>
  <si>
    <t>Pyra Labs</t>
  </si>
  <si>
    <t>Weblog software</t>
  </si>
  <si>
    <t>Blogger</t>
  </si>
  <si>
    <t>Neotonic Software</t>
  </si>
  <si>
    <t>Google Groups, Gmail</t>
  </si>
  <si>
    <t>Applied Semantics</t>
  </si>
  <si>
    <t>AdSense, AdWords</t>
  </si>
  <si>
    <t>Kaltix</t>
  </si>
  <si>
    <t>Sprinks</t>
  </si>
  <si>
    <t>Genius Labs</t>
  </si>
  <si>
    <t>Blogging</t>
  </si>
  <si>
    <t>Ignite Logic</t>
  </si>
  <si>
    <t>HTML editor</t>
  </si>
  <si>
    <t>Google Sites</t>
  </si>
  <si>
    <t>Picasa</t>
  </si>
  <si>
    <t>Image organizer</t>
  </si>
  <si>
    <t>Picasa, Blogger</t>
  </si>
  <si>
    <t>ZipDash</t>
  </si>
  <si>
    <t>Traffic analysis</t>
  </si>
  <si>
    <t>Google Maps</t>
  </si>
  <si>
    <t>Where2</t>
  </si>
  <si>
    <t>Map analysis</t>
  </si>
  <si>
    <t>Keyhole</t>
  </si>
  <si>
    <t>Google Maps, Google Earth</t>
  </si>
  <si>
    <t>Web analytics</t>
  </si>
  <si>
    <t>Google Analytics</t>
  </si>
  <si>
    <t>Dodgeball</t>
  </si>
  <si>
    <t>Social networking service</t>
  </si>
  <si>
    <t>Google Latitude</t>
  </si>
  <si>
    <t>Search engines</t>
  </si>
  <si>
    <t>Internet backbone</t>
  </si>
  <si>
    <t>Reqwireless</t>
  </si>
  <si>
    <t>Mobile browser</t>
  </si>
  <si>
    <t>Google Mobile</t>
  </si>
  <si>
    <t>Android</t>
  </si>
  <si>
    <t>Mobile operating system</t>
  </si>
  <si>
    <t>Skia</t>
  </si>
  <si>
    <t>Graphics library</t>
  </si>
  <si>
    <t>Phatbits</t>
  </si>
  <si>
    <t>Widget engine</t>
  </si>
  <si>
    <t>Google Desktop</t>
  </si>
  <si>
    <t>allPAY</t>
  </si>
  <si>
    <t>Mobile software</t>
  </si>
  <si>
    <t>bruNET</t>
  </si>
  <si>
    <t>dMarc Broadcasting</t>
  </si>
  <si>
    <t>Advertising</t>
  </si>
  <si>
    <t>Measure Map</t>
  </si>
  <si>
    <t>Upstartle</t>
  </si>
  <si>
    <t>Word processor</t>
  </si>
  <si>
    <t>Google Docs</t>
  </si>
  <si>
    <t>@Last Software</t>
  </si>
  <si>
    <t>3D modeling software</t>
  </si>
  <si>
    <t>Google Sketchup</t>
  </si>
  <si>
    <t>Orion</t>
  </si>
  <si>
    <t>Google Search</t>
  </si>
  <si>
    <t>2Web Technologies</t>
  </si>
  <si>
    <t>Online spreadsheets</t>
  </si>
  <si>
    <t>Google Spreadsheet</t>
  </si>
  <si>
    <t>Neven Vision Germany</t>
  </si>
  <si>
    <t>Computer vision</t>
  </si>
  <si>
    <t>Picasa, Google Goggles</t>
  </si>
  <si>
    <t>JotSpot</t>
  </si>
  <si>
    <t>Web application</t>
  </si>
  <si>
    <t>Endoxon</t>
  </si>
  <si>
    <t>Mapping</t>
  </si>
  <si>
    <t>Adscape</t>
  </si>
  <si>
    <t>In-game advertising</t>
  </si>
  <si>
    <t>Trendalyzer</t>
  </si>
  <si>
    <t>Statistical software</t>
  </si>
  <si>
    <t>Crusix</t>
  </si>
  <si>
    <t>Tonic Systems</t>
  </si>
  <si>
    <t>Presentation program</t>
  </si>
  <si>
    <t>Marratech</t>
  </si>
  <si>
    <t>Videoconferencing</t>
  </si>
  <si>
    <t>Google Talk, Google Hangouts</t>
  </si>
  <si>
    <t>GreenBorder</t>
  </si>
  <si>
    <t>Computer security</t>
  </si>
  <si>
    <t>Google Chrome</t>
  </si>
  <si>
    <t>Panoramio</t>
  </si>
  <si>
    <t>Photo sharing</t>
  </si>
  <si>
    <t>FeedBurner</t>
  </si>
  <si>
    <t>Web feed</t>
  </si>
  <si>
    <t>PeakStream</t>
  </si>
  <si>
    <t>Parallel processing</t>
  </si>
  <si>
    <t>Zenter</t>
  </si>
  <si>
    <t>GrandCentral</t>
  </si>
  <si>
    <t>Voice over IP</t>
  </si>
  <si>
    <t>Google Voice</t>
  </si>
  <si>
    <t>ImageAmerica</t>
  </si>
  <si>
    <t>Aerial photography</t>
  </si>
  <si>
    <t>Postini</t>
  </si>
  <si>
    <t>Communications security</t>
  </si>
  <si>
    <t>Gmail</t>
  </si>
  <si>
    <t>Zingku</t>
  </si>
  <si>
    <t>Jaiku</t>
  </si>
  <si>
    <t>Microblogging</t>
  </si>
  <si>
    <t>Omnisio</t>
  </si>
  <si>
    <t>Online video</t>
  </si>
  <si>
    <t>TNC</t>
  </si>
  <si>
    <t>On2</t>
  </si>
  <si>
    <t>Video compression</t>
  </si>
  <si>
    <t>WebM, YouTube</t>
  </si>
  <si>
    <t>reCAPTCHA</t>
  </si>
  <si>
    <t>Security</t>
  </si>
  <si>
    <t>Google Books, reCAPTCHA</t>
  </si>
  <si>
    <t>Gizmo5</t>
  </si>
  <si>
    <t>Teracent</t>
  </si>
  <si>
    <t>AppJet</t>
  </si>
  <si>
    <t>Google Wave, Google Docs</t>
  </si>
  <si>
    <t>Aardvark</t>
  </si>
  <si>
    <t>Social search</t>
  </si>
  <si>
    <t>reMail</t>
  </si>
  <si>
    <t>Email search</t>
  </si>
  <si>
    <t>Picnik</t>
  </si>
  <si>
    <t>Photo editing</t>
  </si>
  <si>
    <t>DocVerse</t>
  </si>
  <si>
    <t>Episodic</t>
  </si>
  <si>
    <t>Plink</t>
  </si>
  <si>
    <t>Visual search engine</t>
  </si>
  <si>
    <t>Google Goggles</t>
  </si>
  <si>
    <t>Agnilux</t>
  </si>
  <si>
    <t>Server CPUs</t>
  </si>
  <si>
    <t>LabPixies</t>
  </si>
  <si>
    <t>Gadgets</t>
  </si>
  <si>
    <t>iGoogle, Android</t>
  </si>
  <si>
    <t>BumpTop</t>
  </si>
  <si>
    <t>Desktop environment</t>
  </si>
  <si>
    <t>Global IP Solutions</t>
  </si>
  <si>
    <t>WebRTC</t>
  </si>
  <si>
    <t>Simplify Media</t>
  </si>
  <si>
    <t>Music streaming</t>
  </si>
  <si>
    <t>Ruba.com</t>
  </si>
  <si>
    <t>Travel</t>
  </si>
  <si>
    <t>iGoogle</t>
  </si>
  <si>
    <t>Invite Media</t>
  </si>
  <si>
    <t>Metaweb</t>
  </si>
  <si>
    <t>Semantic search</t>
  </si>
  <si>
    <t>Zetawire</t>
  </si>
  <si>
    <t>Mobile payment, NFC</t>
  </si>
  <si>
    <t>Android, Google Wallet, Google Checkout</t>
  </si>
  <si>
    <t>Instantiations</t>
  </si>
  <si>
    <t>Java/Eclipse/AJAX developer tools</t>
  </si>
  <si>
    <t>Google Web Toolkit</t>
  </si>
  <si>
    <t>Slide.com</t>
  </si>
  <si>
    <t>Social gaming</t>
  </si>
  <si>
    <t>Google+, Orkut, Google Play</t>
  </si>
  <si>
    <t>Jambool</t>
  </si>
  <si>
    <t>Social Gold payment</t>
  </si>
  <si>
    <t>Google+, Orkut</t>
  </si>
  <si>
    <t>Like.com</t>
  </si>
  <si>
    <t>Google Shopping</t>
  </si>
  <si>
    <t>Angstro</t>
  </si>
  <si>
    <t>Google, Google Alert</t>
  </si>
  <si>
    <t>SocialDeck</t>
  </si>
  <si>
    <t>Google, Google+</t>
  </si>
  <si>
    <t>Quiksee</t>
  </si>
  <si>
    <t>Plannr</t>
  </si>
  <si>
    <t>Schedule management</t>
  </si>
  <si>
    <t>Google+</t>
  </si>
  <si>
    <t>BlindType</t>
  </si>
  <si>
    <t>Touch typing</t>
  </si>
  <si>
    <t>Phonetic Arts</t>
  </si>
  <si>
    <t>Speech synthesis</t>
  </si>
  <si>
    <t>Google Voice, Google Translate</t>
  </si>
  <si>
    <t>Widevine Technologies</t>
  </si>
  <si>
    <t>DRM</t>
  </si>
  <si>
    <t>Google TV</t>
  </si>
  <si>
    <t>eBook Technologies</t>
  </si>
  <si>
    <t>E-book</t>
  </si>
  <si>
    <t>Google Books</t>
  </si>
  <si>
    <t>SayNow</t>
  </si>
  <si>
    <t>Voice recognition</t>
  </si>
  <si>
    <t>Zynamics</t>
  </si>
  <si>
    <t>Project Zero</t>
  </si>
  <si>
    <t>BeatThatQuote.com</t>
  </si>
  <si>
    <t>Price comparison service</t>
  </si>
  <si>
    <t>Next New Networks</t>
  </si>
  <si>
    <t>Green Parrot Pictures</t>
  </si>
  <si>
    <t>Digital video</t>
  </si>
  <si>
    <t>PushLife</t>
  </si>
  <si>
    <t>Service provider</t>
  </si>
  <si>
    <t>Google Play</t>
  </si>
  <si>
    <t>TalkBin</t>
  </si>
  <si>
    <t>Sparkbuy</t>
  </si>
  <si>
    <t>Product search</t>
  </si>
  <si>
    <t>PostRank</t>
  </si>
  <si>
    <t>Google+ Google Analytics</t>
  </si>
  <si>
    <t>Admeld</t>
  </si>
  <si>
    <t>SageTV</t>
  </si>
  <si>
    <t>Media center</t>
  </si>
  <si>
    <t>Google TV, Google Fiber, Android TV</t>
  </si>
  <si>
    <t>Punchd</t>
  </si>
  <si>
    <t>Loyalty program</t>
  </si>
  <si>
    <t>Google Offers</t>
  </si>
  <si>
    <t>Fridge</t>
  </si>
  <si>
    <t>Social groups</t>
  </si>
  <si>
    <t>PittPatt</t>
  </si>
  <si>
    <t>Facial recognition system</t>
  </si>
  <si>
    <t>Dealmap</t>
  </si>
  <si>
    <t>One deal a day service</t>
  </si>
  <si>
    <t>Zave Networks</t>
  </si>
  <si>
    <t>Digital coupons</t>
  </si>
  <si>
    <t>Zagat</t>
  </si>
  <si>
    <t>Restaurant reviews</t>
  </si>
  <si>
    <t>Google Places, Google Maps</t>
  </si>
  <si>
    <t>DailyDeal</t>
  </si>
  <si>
    <t>SocialGrapple</t>
  </si>
  <si>
    <t>Apture</t>
  </si>
  <si>
    <t>Instantaneous search</t>
  </si>
  <si>
    <t>Katango</t>
  </si>
  <si>
    <t>Social circle organization</t>
  </si>
  <si>
    <t>RightsFlow</t>
  </si>
  <si>
    <t>Music rights management</t>
  </si>
  <si>
    <t>Clever Sense</t>
  </si>
  <si>
    <t>Local recommendations app</t>
  </si>
  <si>
    <t>Milk</t>
  </si>
  <si>
    <t>Software company</t>
  </si>
  <si>
    <t>TxVia</t>
  </si>
  <si>
    <t>Online payments</t>
  </si>
  <si>
    <t>Google Wallet, Google Checkout</t>
  </si>
  <si>
    <t>Meebo</t>
  </si>
  <si>
    <t>Social networking</t>
  </si>
  <si>
    <t>Quickoffice</t>
  </si>
  <si>
    <t>Mobile office suite</t>
  </si>
  <si>
    <t>Sparrow</t>
  </si>
  <si>
    <t>Mobile apps</t>
  </si>
  <si>
    <t>WIMM Labs</t>
  </si>
  <si>
    <t>Android Wear</t>
  </si>
  <si>
    <t>Wildfire Interactive</t>
  </si>
  <si>
    <t>Social media marketing</t>
  </si>
  <si>
    <t>VirusTotal.com</t>
  </si>
  <si>
    <t>Chronicle</t>
  </si>
  <si>
    <t>Nik Software</t>
  </si>
  <si>
    <t>Photography</t>
  </si>
  <si>
    <t>Google, Android</t>
  </si>
  <si>
    <t>Viewdle</t>
  </si>
  <si>
    <t>Facial recognition</t>
  </si>
  <si>
    <t>Incentive Targeting</t>
  </si>
  <si>
    <t>BufferBox</t>
  </si>
  <si>
    <t>Package delivery</t>
  </si>
  <si>
    <t>Google Shopping, Android</t>
  </si>
  <si>
    <t>Channel Intelligence</t>
  </si>
  <si>
    <t>Product ecommerce</t>
  </si>
  <si>
    <t>DNNresearch</t>
  </si>
  <si>
    <t>Deep Neural Networks</t>
  </si>
  <si>
    <t>Talaria Technologies</t>
  </si>
  <si>
    <t>Cloud computing</t>
  </si>
  <si>
    <t>Behavio</t>
  </si>
  <si>
    <t>Social prediction</t>
  </si>
  <si>
    <t>Google Now</t>
  </si>
  <si>
    <t>Wavii</t>
  </si>
  <si>
    <t>Natural language processing</t>
  </si>
  <si>
    <t>Google Knowledge Graph</t>
  </si>
  <si>
    <t>Makani Power</t>
  </si>
  <si>
    <t>Airborne wind turbines</t>
  </si>
  <si>
    <t>Bump</t>
  </si>
  <si>
    <t>Google Photos</t>
  </si>
  <si>
    <t>Flutter</t>
  </si>
  <si>
    <t>FlexyCore</t>
  </si>
  <si>
    <t>DroidBooster app for Android</t>
  </si>
  <si>
    <t>Schaft</t>
  </si>
  <si>
    <t>Robotics, humanoid robots</t>
  </si>
  <si>
    <t>Industrial Perception</t>
  </si>
  <si>
    <t>Robotic arms, computer vision</t>
  </si>
  <si>
    <t>Redwood Robotics</t>
  </si>
  <si>
    <t>Robotic arms</t>
  </si>
  <si>
    <t>Meka Robotics</t>
  </si>
  <si>
    <t>Robots</t>
  </si>
  <si>
    <t>Holomni</t>
  </si>
  <si>
    <t>Robotic wheels</t>
  </si>
  <si>
    <t>Bot &amp; Dolly</t>
  </si>
  <si>
    <t>Robotic cameras</t>
  </si>
  <si>
    <t>Autofuss</t>
  </si>
  <si>
    <t>Ads and design</t>
  </si>
  <si>
    <t>Boston Dynamics</t>
  </si>
  <si>
    <t>Robotics</t>
  </si>
  <si>
    <t>Bitspin</t>
  </si>
  <si>
    <t>Timely app for Android</t>
  </si>
  <si>
    <t>Impermium</t>
  </si>
  <si>
    <t>Internet security</t>
  </si>
  <si>
    <t>DeepMind Technologies</t>
  </si>
  <si>
    <t>Artificial intelligence</t>
  </si>
  <si>
    <t>Google DeepMind</t>
  </si>
  <si>
    <t>SlickLogin</t>
  </si>
  <si>
    <t>Internet Security</t>
  </si>
  <si>
    <t>spider.io</t>
  </si>
  <si>
    <t>Anti-click fraud</t>
  </si>
  <si>
    <t>DoubleClick, AdSense</t>
  </si>
  <si>
    <t>GreenThrottle</t>
  </si>
  <si>
    <t>Titan Aerospace</t>
  </si>
  <si>
    <t>High-altitude UAVs</t>
  </si>
  <si>
    <t>Project Loon</t>
  </si>
  <si>
    <t>Rangespan</t>
  </si>
  <si>
    <t>E-commerce</t>
  </si>
  <si>
    <t>Adometry</t>
  </si>
  <si>
    <t>Online advertising attribution</t>
  </si>
  <si>
    <t>Google Analytics AdSense</t>
  </si>
  <si>
    <t>Appetas</t>
  </si>
  <si>
    <t>Restaurant website creation</t>
  </si>
  <si>
    <t>Google My Business</t>
  </si>
  <si>
    <t>Stackdriver</t>
  </si>
  <si>
    <t>MyEnergy</t>
  </si>
  <si>
    <t>Quest Visual</t>
  </si>
  <si>
    <t>Augmented reality</t>
  </si>
  <si>
    <t>Google Translate</t>
  </si>
  <si>
    <t>Divide</t>
  </si>
  <si>
    <t>Mobile device management</t>
  </si>
  <si>
    <t>Android for Work</t>
  </si>
  <si>
    <t>Skybox Imaging</t>
  </si>
  <si>
    <t>Satellite</t>
  </si>
  <si>
    <t>Google Maps, Project Loon</t>
  </si>
  <si>
    <t>mDialog</t>
  </si>
  <si>
    <t>Alpental Technologies</t>
  </si>
  <si>
    <t>Wireless</t>
  </si>
  <si>
    <t>Google</t>
  </si>
  <si>
    <t>Dropcam</t>
  </si>
  <si>
    <t>Home monitoring</t>
  </si>
  <si>
    <t>Appurify</t>
  </si>
  <si>
    <t>Automated application testing</t>
  </si>
  <si>
    <t>Songza</t>
  </si>
  <si>
    <t>Google Play, Android TV</t>
  </si>
  <si>
    <t>drawElements</t>
  </si>
  <si>
    <t>Graphics compatibility testing</t>
  </si>
  <si>
    <t>Emu</t>
  </si>
  <si>
    <t>IM client</t>
  </si>
  <si>
    <t>Google Hangouts, Google Now</t>
  </si>
  <si>
    <t>Directr</t>
  </si>
  <si>
    <t>Mobile video</t>
  </si>
  <si>
    <t>Jetpac</t>
  </si>
  <si>
    <t>Artificial intelligence, image recognition</t>
  </si>
  <si>
    <t>Gecko Design</t>
  </si>
  <si>
    <t>Mechanical design</t>
  </si>
  <si>
    <t>Zync Render</t>
  </si>
  <si>
    <t>Cloud-based visual effects software</t>
  </si>
  <si>
    <t>Lift Labs</t>
  </si>
  <si>
    <t>Liftware</t>
  </si>
  <si>
    <t>Verily</t>
  </si>
  <si>
    <t>Polar</t>
  </si>
  <si>
    <t>Social polling</t>
  </si>
  <si>
    <t>Firebase</t>
  </si>
  <si>
    <t>Dark Blue Labs &amp; Vision Factory</t>
  </si>
  <si>
    <t>Revolv</t>
  </si>
  <si>
    <t>RelativeWave</t>
  </si>
  <si>
    <t>Mobile software prototyping</t>
  </si>
  <si>
    <t>Vidmaker</t>
  </si>
  <si>
    <t>Video editing</t>
  </si>
  <si>
    <t>Launchpad Toys</t>
  </si>
  <si>
    <t>Child-friendly apps</t>
  </si>
  <si>
    <t>YouTube for Kids</t>
  </si>
  <si>
    <t>Odysee</t>
  </si>
  <si>
    <t>Multimedia sharing and storage</t>
  </si>
  <si>
    <t>Softcard</t>
  </si>
  <si>
    <t>Mobile payments</t>
  </si>
  <si>
    <t>Android Pay</t>
  </si>
  <si>
    <t>Red Hot Labs</t>
  </si>
  <si>
    <t>App advertising and discovery</t>
  </si>
  <si>
    <t>Thrive Audio</t>
  </si>
  <si>
    <t>Surround sound technology</t>
  </si>
  <si>
    <t>Google Cardboard</t>
  </si>
  <si>
    <t>Skillman &amp; Hackett</t>
  </si>
  <si>
    <t>Virtual reality software</t>
  </si>
  <si>
    <t>Tilt Brush</t>
  </si>
  <si>
    <t>Timeful</t>
  </si>
  <si>
    <t>Google Inbox, Google Calendar</t>
  </si>
  <si>
    <t>Pulse.io</t>
  </si>
  <si>
    <t>Mobile app optimizer</t>
  </si>
  <si>
    <t>Pixate</t>
  </si>
  <si>
    <t>Oyster</t>
  </si>
  <si>
    <t>E-book subscriptions</t>
  </si>
  <si>
    <t>Google Play Books</t>
  </si>
  <si>
    <t>Jibe Mobile</t>
  </si>
  <si>
    <t>Rich Communication Services</t>
  </si>
  <si>
    <t>Messages</t>
  </si>
  <si>
    <t>Agawi</t>
  </si>
  <si>
    <t>Mobile application streaming</t>
  </si>
  <si>
    <t>Android, Google Play</t>
  </si>
  <si>
    <t>Digisfera</t>
  </si>
  <si>
    <t>360-degree photography</t>
  </si>
  <si>
    <t>Street View</t>
  </si>
  <si>
    <t>Fly Labs</t>
  </si>
  <si>
    <t>bebop</t>
  </si>
  <si>
    <t>Cloud software</t>
  </si>
  <si>
    <t>BandPage</t>
  </si>
  <si>
    <t>Platform for musicians</t>
  </si>
  <si>
    <t>Pie</t>
  </si>
  <si>
    <t>Enterprise communications</t>
  </si>
  <si>
    <t>Spaces</t>
  </si>
  <si>
    <t>Synergyse</t>
  </si>
  <si>
    <t>Interactive learning platform</t>
  </si>
  <si>
    <t>Webpass</t>
  </si>
  <si>
    <t>Internet service provider</t>
  </si>
  <si>
    <t>Google Fiber</t>
  </si>
  <si>
    <t>Moodstocks</t>
  </si>
  <si>
    <t>Image recognition</t>
  </si>
  <si>
    <t>Anvato</t>
  </si>
  <si>
    <t>Cloud-based video services</t>
  </si>
  <si>
    <t>Kifi</t>
  </si>
  <si>
    <t>Link management</t>
  </si>
  <si>
    <t>LaunchKit</t>
  </si>
  <si>
    <t>Mobile developer tools</t>
  </si>
  <si>
    <t>Orbitera</t>
  </si>
  <si>
    <t>Apigee</t>
  </si>
  <si>
    <t>API management and predictive analytics</t>
  </si>
  <si>
    <t>Urban Engines</t>
  </si>
  <si>
    <t>Location-based analytics</t>
  </si>
  <si>
    <t>API.AI</t>
  </si>
  <si>
    <t>Google Assistant</t>
  </si>
  <si>
    <t>FameBit</t>
  </si>
  <si>
    <t>Branded content</t>
  </si>
  <si>
    <t>Eyefluence</t>
  </si>
  <si>
    <t>Eye tracking, virtual reality</t>
  </si>
  <si>
    <t>LeapDroid</t>
  </si>
  <si>
    <t>Android emulator</t>
  </si>
  <si>
    <t>Qwiklabs</t>
  </si>
  <si>
    <t>Cronologics</t>
  </si>
  <si>
    <t>Smartwatches</t>
  </si>
  <si>
    <t>Limes Audio</t>
  </si>
  <si>
    <t>Voice communication</t>
  </si>
  <si>
    <t>Google Duo, Google Hangouts</t>
  </si>
  <si>
    <t>Fabric</t>
  </si>
  <si>
    <t>Mobile app platform</t>
  </si>
  <si>
    <t>Kaggle</t>
  </si>
  <si>
    <t>Data science</t>
  </si>
  <si>
    <t>AppBridge</t>
  </si>
  <si>
    <t>Productivity suite</t>
  </si>
  <si>
    <t>Owlchemy Labs</t>
  </si>
  <si>
    <t>Virtual reality studio</t>
  </si>
  <si>
    <t>Halli Labs</t>
  </si>
  <si>
    <t>AIMatter</t>
  </si>
  <si>
    <t>Bitium</t>
  </si>
  <si>
    <t>Single sign-on and identity management</t>
  </si>
  <si>
    <t>Relay Media</t>
  </si>
  <si>
    <t>AMP converter</t>
  </si>
  <si>
    <t>Accelerated Mobile Pages</t>
  </si>
  <si>
    <t>60db</t>
  </si>
  <si>
    <t>Podcasts</t>
  </si>
  <si>
    <t>Google Play Music, Google Podcasts</t>
  </si>
  <si>
    <t>Redux</t>
  </si>
  <si>
    <t>Audio</t>
  </si>
  <si>
    <t>Tenor</t>
  </si>
  <si>
    <t>GIF image search</t>
  </si>
  <si>
    <t>Google Images, Gboard</t>
  </si>
  <si>
    <t>Velostrata</t>
  </si>
  <si>
    <t>Cloud migration</t>
  </si>
  <si>
    <t>Cask</t>
  </si>
  <si>
    <t>Big data, Hadoop</t>
  </si>
  <si>
    <t>GraphicsFuzz</t>
  </si>
  <si>
    <t>GPU reliability</t>
  </si>
  <si>
    <t>Senosis</t>
  </si>
  <si>
    <t>Health monitoring</t>
  </si>
  <si>
    <t>Onward</t>
  </si>
  <si>
    <t>Machine learning, natural language processing</t>
  </si>
  <si>
    <t>Workbench Education</t>
  </si>
  <si>
    <t>Education technology</t>
  </si>
  <si>
    <t>Google Classroom</t>
  </si>
  <si>
    <t>Sigmoid Labs</t>
  </si>
  <si>
    <t>Research and assessment</t>
  </si>
  <si>
    <t>Superpod</t>
  </si>
  <si>
    <t>Question and answer app</t>
  </si>
  <si>
    <t>Alooma</t>
  </si>
  <si>
    <t>Big data, cloud migration</t>
  </si>
  <si>
    <t>Nightcorn</t>
  </si>
  <si>
    <t>Elastifile</t>
  </si>
  <si>
    <t>File storage</t>
  </si>
  <si>
    <t>Socratic</t>
  </si>
  <si>
    <t>Learning apps</t>
  </si>
  <si>
    <t>CloudSimple</t>
  </si>
  <si>
    <t>Cloud hosting</t>
  </si>
  <si>
    <t>Typhoon Studios</t>
  </si>
  <si>
    <t>Video game development</t>
  </si>
  <si>
    <t>Stadia</t>
  </si>
  <si>
    <t>AppSheet</t>
  </si>
  <si>
    <t>Mobile app development</t>
  </si>
  <si>
    <t>Pointy</t>
  </si>
  <si>
    <t>Local retail inventory feeds</t>
  </si>
  <si>
    <t>Cornerstone Technology B.V.</t>
  </si>
  <si>
    <t>Mainframe, cloud migration</t>
  </si>
  <si>
    <t>North</t>
  </si>
  <si>
    <t>Smart glasses</t>
  </si>
  <si>
    <t>Stratozone</t>
  </si>
  <si>
    <t>Cloud assessment</t>
  </si>
  <si>
    <t>Dataform</t>
  </si>
  <si>
    <t>Neverware</t>
  </si>
  <si>
    <t>ChromiumOS distribution</t>
  </si>
  <si>
    <t>ChromeOS Flex</t>
  </si>
  <si>
    <t>Actifio</t>
  </si>
  <si>
    <t>Backup, disaster recovery</t>
  </si>
  <si>
    <t>Provino</t>
  </si>
  <si>
    <t>Cloud hardware</t>
  </si>
  <si>
    <t>Tensor processing unit</t>
  </si>
  <si>
    <t>Dysonics</t>
  </si>
  <si>
    <t>Audio hardware</t>
  </si>
  <si>
    <t>Pixel Buds</t>
  </si>
  <si>
    <t>Simsim</t>
  </si>
  <si>
    <t>Playspace</t>
  </si>
  <si>
    <t>Collaboration tool</t>
  </si>
  <si>
    <t>Google Workspace</t>
  </si>
  <si>
    <t>MuJoCo</t>
  </si>
  <si>
    <t>Robotics simulator</t>
  </si>
  <si>
    <t>Siemplify</t>
  </si>
  <si>
    <t>Cybersecurity</t>
  </si>
  <si>
    <t>Mandiant</t>
  </si>
  <si>
    <t>Raxium</t>
  </si>
  <si>
    <t>AR hardware</t>
  </si>
  <si>
    <t>Vicarious</t>
  </si>
  <si>
    <t>Artificial intelligence, robotics software</t>
  </si>
  <si>
    <t>Intrinsic</t>
  </si>
  <si>
    <t>MobiledgeX</t>
  </si>
  <si>
    <t>Mobile edge computing</t>
  </si>
  <si>
    <t>Forseeti</t>
  </si>
  <si>
    <t>Cybersecurity software</t>
  </si>
  <si>
    <t>Alter</t>
  </si>
  <si>
    <t>BreezoMeter</t>
  </si>
  <si>
    <t>Air quality monitoring</t>
  </si>
  <si>
    <t>BrightBytes</t>
  </si>
  <si>
    <t>Data and analytics</t>
  </si>
  <si>
    <t>Google for Education</t>
  </si>
  <si>
    <t>Sound Life Sciences</t>
  </si>
  <si>
    <t>Robotics software</t>
  </si>
  <si>
    <t>Photomath</t>
  </si>
  <si>
    <t>Bard</t>
  </si>
  <si>
    <t>Cameyo</t>
  </si>
  <si>
    <t>Virtual app delivery</t>
  </si>
  <si>
    <t>ChromeOS</t>
  </si>
  <si>
    <t>N/A</t>
  </si>
  <si>
    <t>$102 million</t>
  </si>
  <si>
    <t>$50 million</t>
  </si>
  <si>
    <t>$28 million</t>
  </si>
  <si>
    <t>$23 million</t>
  </si>
  <si>
    <t>$15 million</t>
  </si>
  <si>
    <t>$100 million</t>
  </si>
  <si>
    <t>$45 million</t>
  </si>
  <si>
    <t>$625 million</t>
  </si>
  <si>
    <t>$133 million</t>
  </si>
  <si>
    <t>$30 million</t>
  </si>
  <si>
    <t>$25 million</t>
  </si>
  <si>
    <t>$68.2 million</t>
  </si>
  <si>
    <t>$81 million</t>
  </si>
  <si>
    <t>$228 million</t>
  </si>
  <si>
    <t>$70 million</t>
  </si>
  <si>
    <t>$10 million</t>
  </si>
  <si>
    <t>$65 million</t>
  </si>
  <si>
    <t>$400 million</t>
  </si>
  <si>
    <t>$151 million</t>
  </si>
  <si>
    <t>$114 million</t>
  </si>
  <si>
    <t>$450 million</t>
  </si>
  <si>
    <t>$17 million</t>
  </si>
  <si>
    <t>$125 million</t>
  </si>
  <si>
    <t>$44 million</t>
  </si>
  <si>
    <t>$40 million</t>
  </si>
  <si>
    <t>$500 million</t>
  </si>
  <si>
    <t>$555 million</t>
  </si>
  <si>
    <t>$90 million</t>
  </si>
  <si>
    <t>$380 million</t>
  </si>
  <si>
    <t>$60 million</t>
  </si>
  <si>
    <t>$150 million</t>
  </si>
  <si>
    <t>$163 million</t>
  </si>
  <si>
    <t>$180 million</t>
  </si>
  <si>
    <t>$5.4 billion</t>
  </si>
  <si>
    <t>$1 billion</t>
  </si>
  <si>
    <t>CRM</t>
  </si>
  <si>
    <t>Collaborative real-time edits</t>
  </si>
  <si>
    <t>Microsoft doc sharing site</t>
  </si>
  <si>
    <t xml:space="preserve">Online video platform </t>
  </si>
  <si>
    <t>Video / audio compression</t>
  </si>
  <si>
    <t xml:space="preserve">Social media analytics </t>
  </si>
  <si>
    <t>Android-powered smartwatch</t>
  </si>
  <si>
    <t>Gesture recognition tech</t>
  </si>
  <si>
    <t>Online energy use monitoring</t>
  </si>
  <si>
    <t>App development platform</t>
  </si>
  <si>
    <t>Cloud-based training platform</t>
  </si>
  <si>
    <t>Indian Railways train tracking app "Where Is My Train"</t>
  </si>
  <si>
    <t>Divested 2014</t>
  </si>
  <si>
    <t>Open Source Robotics Corp.</t>
  </si>
  <si>
    <t>Wiz (upon regulatory approval)</t>
  </si>
  <si>
    <t>Cloud security (cybersecurity)</t>
  </si>
  <si>
    <t>$32 billion</t>
  </si>
  <si>
    <t>Equalum</t>
  </si>
  <si>
    <t>Cloud desktop virtualization</t>
  </si>
  <si>
    <t>Phair Technologies</t>
  </si>
  <si>
    <t>AI-powered navigation (augmented reality)</t>
  </si>
  <si>
    <t>General and Admin % of Revenue</t>
  </si>
  <si>
    <t>Sales &amp; Marketing % of Revenue</t>
  </si>
  <si>
    <t>ROIC</t>
  </si>
  <si>
    <t>Terminal</t>
  </si>
  <si>
    <t>RFR (10-year yield)</t>
  </si>
  <si>
    <t>ERP 
(Avg. market return - (less) RFR)</t>
  </si>
  <si>
    <t>Equity β (1-year avg.)</t>
  </si>
  <si>
    <t>Discount (Cost of Equity)</t>
  </si>
  <si>
    <t>NPV</t>
  </si>
  <si>
    <t>FV</t>
  </si>
  <si>
    <t>CP</t>
  </si>
  <si>
    <t>Change Δ:</t>
  </si>
  <si>
    <t>Autonomous Vehicles - Waymo develops and operates self-driving car technology, including commercial robotaxi services in select U.S. cities --&gt; metropolitan entry offers vehicles/software a complex training environments, short trips and a concentration of yuppie early adopters</t>
  </si>
  <si>
    <t xml:space="preserve">LIDAR, Radar, Camera/Visual software autonomous vehicle configuration … much more robust than TSLA's camera/visual only AV "offering" that has been teased for 10 years </t>
  </si>
  <si>
    <t>… the question is can TSLA do it with just cameras, saving big in hardware … as a consumer and family man, I'd be paying the extra few $'s per trip for a Waymo to keep loved ones safe</t>
  </si>
  <si>
    <t>The Company is focused on building an even more helpful Google for everyone, and aspire to give everyone the tools they need to increase their knowledge, health, happiness, and success</t>
  </si>
  <si>
    <r>
      <t xml:space="preserve">Google Search helps people find information and make sense of the world in more natural and intuitive ways, with </t>
    </r>
    <r>
      <rPr>
        <b/>
        <sz val="11"/>
        <color theme="1"/>
        <rFont val="Calibre"/>
      </rPr>
      <t>trillions of searches on Google every year</t>
    </r>
  </si>
  <si>
    <t>YouTube provides people with entertainment, information, and opportunities to learn something new and helps support the creator economy through the YouTube Partner Program</t>
  </si>
  <si>
    <t>Google Cloud helps customers solve today’s business challenges, improve productivity, reduce costs, and unlock new growth engines</t>
  </si>
  <si>
    <r>
      <t>Marc Andreesen (of Andreessen Horowitz VC, AUM: $42B as of 5/1/24) stated during an interview: "</t>
    </r>
    <r>
      <rPr>
        <b/>
        <sz val="11"/>
        <color theme="1"/>
        <rFont val="Calibre"/>
      </rPr>
      <t>AI is a technology basically that the government is going to completely control</t>
    </r>
    <r>
      <rPr>
        <sz val="11"/>
        <color theme="1"/>
        <rFont val="Calibre"/>
      </rPr>
      <t xml:space="preserve"> ... This is not going to be a startup thing ... They actually said flat out told us 'don't do AI startups ... like don't </t>
    </r>
    <r>
      <rPr>
        <b/>
        <sz val="11"/>
        <color theme="1"/>
        <rFont val="Calibre"/>
      </rPr>
      <t xml:space="preserve"> fund AI startups that's not something that we're going to allow to happen</t>
    </r>
    <r>
      <rPr>
        <sz val="11"/>
        <color theme="1"/>
        <rFont val="Calibre"/>
      </rPr>
      <t xml:space="preserve"> ... </t>
    </r>
    <r>
      <rPr>
        <b/>
        <sz val="11"/>
        <color theme="1"/>
        <rFont val="Calibre"/>
      </rPr>
      <t>they're not going to be allowed to exist</t>
    </r>
    <r>
      <rPr>
        <sz val="11"/>
        <color theme="1"/>
        <rFont val="Calibre"/>
      </rPr>
      <t>' ... uh 'there's no point.' They told us '</t>
    </r>
    <r>
      <rPr>
        <b/>
        <sz val="11"/>
        <color theme="1"/>
        <rFont val="Calibre"/>
      </rPr>
      <t>AI is going to be a  game of two or three big companies working closely with the government and we're going to basically wrap them up</t>
    </r>
    <r>
      <rPr>
        <sz val="11"/>
        <color theme="1"/>
        <rFont val="Calibre"/>
      </rPr>
      <t xml:space="preserve"> in a' ... you know I'm paraphrasing ... but 'we're going to basically </t>
    </r>
    <r>
      <rPr>
        <b/>
        <sz val="11"/>
        <color theme="1"/>
        <rFont val="Calibre"/>
      </rPr>
      <t>wrap them in a government cocoon we're going to protect them from competition. We're going to control them and we're going to dictate what they do.'</t>
    </r>
    <r>
      <rPr>
        <sz val="11"/>
        <color theme="1"/>
        <rFont val="Calibre"/>
      </rPr>
      <t xml:space="preserve">  Then I said 'well I don't understand how you're going to lock this down so much because like the math for AI is like out there and it's being taught everywhere and you know' ... They literally said 'well you know </t>
    </r>
    <r>
      <rPr>
        <b/>
        <sz val="11"/>
        <color theme="1"/>
        <rFont val="Calibre"/>
      </rPr>
      <t>during the Cold War we classified entire areas of physics and took them out of the research community and [those branches of] physics basically went dark and didn't proceed</t>
    </r>
    <r>
      <rPr>
        <sz val="11"/>
        <color theme="1"/>
        <rFont val="Calibre"/>
      </rPr>
      <t xml:space="preserve"> ... '</t>
    </r>
    <r>
      <rPr>
        <b/>
        <sz val="11"/>
        <color theme="1"/>
        <rFont val="Calibre"/>
      </rPr>
      <t>If we decide</t>
    </r>
    <r>
      <rPr>
        <sz val="11"/>
        <color theme="1"/>
        <rFont val="Calibre"/>
      </rPr>
      <t xml:space="preserve"> we need to </t>
    </r>
    <r>
      <rPr>
        <b/>
        <sz val="11"/>
        <color theme="1"/>
        <rFont val="Calibre"/>
      </rPr>
      <t>we're going to do the same thing to the math underneath AI</t>
    </r>
    <r>
      <rPr>
        <sz val="11"/>
        <color theme="1"/>
        <rFont val="Calibre"/>
      </rPr>
      <t>.'"</t>
    </r>
  </si>
  <si>
    <t>The Company is continuously innovating and building new products and features to help our users, partners, customers, and communities and have invested more than $150 billion in research and development in the last five years in support of these efforts</t>
  </si>
  <si>
    <r>
      <rPr>
        <b/>
        <sz val="11"/>
        <color theme="1"/>
        <rFont val="Calibre"/>
      </rPr>
      <t>Search moat IS currently being eroded by AI tools</t>
    </r>
    <r>
      <rPr>
        <sz val="11"/>
        <color theme="1"/>
        <rFont val="Calibre"/>
      </rPr>
      <t xml:space="preserve"> such as: Perplexity tool, OpenAI GPT, Anthropic Claude, etc. … Managers are on the defense, working to protect/innovate this core business</t>
    </r>
  </si>
  <si>
    <t>Massive international presence … basically all mobile phones that aren't on IOS (Apple OS) or HarmonyOS (Huawei OS) use Android</t>
  </si>
  <si>
    <t>YouTube Segment generates revenue through advertising, premium subscriptions (YouTube Premium, YouTube TV), and content partnerships</t>
  </si>
  <si>
    <r>
      <t xml:space="preserve">It is truly nutty to think about how well Google has monetized YouTube -- Every other media firm is paying handsomely to develop content … YouTube truly does have organic content creation, and the firm acts as a </t>
    </r>
    <r>
      <rPr>
        <i/>
        <sz val="11"/>
        <color theme="1"/>
        <rFont val="Calibre"/>
      </rPr>
      <t>partner</t>
    </r>
    <r>
      <rPr>
        <sz val="11"/>
        <color theme="1"/>
        <rFont val="Calibre"/>
      </rPr>
      <t xml:space="preserve"> with creators … the market (consumers) choose the winners</t>
    </r>
  </si>
  <si>
    <t>Massive network effect -- essentially all non-business, non-government emails are linked through a  free Google Drive account</t>
  </si>
  <si>
    <t>Once a consumer has filled out 5GB's of storage, they're far more likely to pay for the small storage expansion fee over the conversion of switching over to a new free service</t>
  </si>
  <si>
    <t>Similar to Apple's App Store, Google would collect ~30% of revenue from all transactions that take place through the marketplace … Huge profitability and market power leverage</t>
  </si>
  <si>
    <t>Partially eliminates rent seeking behavior … Definitely a crack in hard market power, which The Company was previously able to leverage ... managers still have soft power to circumvent damages but the lawsuit was a big lose for established tech giants</t>
  </si>
  <si>
    <t>Massive network effect -- essentially all non-business, non-government emails are linked through a Gmail</t>
  </si>
  <si>
    <r>
      <t xml:space="preserve">Other Bets </t>
    </r>
    <r>
      <rPr>
        <sz val="11"/>
        <color theme="1"/>
        <rFont val="Calibre"/>
      </rPr>
      <t xml:space="preserve">[Internal innovation branch … can be thought of as a capital recycling operation to avoid tech </t>
    </r>
    <r>
      <rPr>
        <i/>
        <sz val="11"/>
        <color theme="1"/>
        <rFont val="Calibre"/>
      </rPr>
      <t>Dutch disease</t>
    </r>
    <r>
      <rPr>
        <sz val="11"/>
        <color theme="1"/>
        <rFont val="Calibre"/>
      </rPr>
      <t xml:space="preserve"> … turns current cash flows into future investments that may pay off big … also serves to provide additional slack to managers]</t>
    </r>
  </si>
  <si>
    <t>Acquired in 2010, DeepMind's research has since produced landmark achievements such as AlphaGo, the first AI to defeat a world champion in Go; AlphaFold, which revolutionized protein structure prediction; and AlphaEvolve, an AI system that discovers new algorithms and optimizes complex systems like chip design and data center management</t>
  </si>
  <si>
    <t>Initial role out / product development field was in SF; the AV service has since expanded to other "tech cities" including Pheonix, AZ &amp; Austin, TX</t>
  </si>
  <si>
    <r>
      <t>(</t>
    </r>
    <r>
      <rPr>
        <i/>
        <sz val="11"/>
        <color theme="1"/>
        <rFont val="Calibre"/>
      </rPr>
      <t>I</t>
    </r>
    <r>
      <rPr>
        <sz val="11"/>
        <color theme="1"/>
        <rFont val="Calibre"/>
      </rPr>
      <t xml:space="preserve">) Demonstrates scalable quantum error correction-reducing errors exponentially as more qubits are added and </t>
    </r>
  </si>
  <si>
    <r>
      <t xml:space="preserve">Quantum computing is a breakthrough away!!! </t>
    </r>
    <r>
      <rPr>
        <sz val="11"/>
        <color theme="1"/>
        <rFont val="Calibre"/>
      </rPr>
      <t xml:space="preserve">Hahaha, its fun to tease physics friends and say "fusion, quantum, etc. is only 7 years away" </t>
    </r>
  </si>
  <si>
    <t>Access and Technology for Everyone</t>
  </si>
  <si>
    <t>Making AI Helpful for Everyone</t>
  </si>
  <si>
    <t>The Company believes AI is a profound platform shift, one that can bring meaningful and positive change to people and societies across the world, and to the business</t>
  </si>
  <si>
    <t>The Company has been enabling AI in products and services for more than a decade and making them available to our users … [Lol, I know DeepMind has been an R&amp;D titan in the field … but what is The Company's definition of AI and why haven't they made an LLM that I'm excited to use]</t>
  </si>
  <si>
    <t>In 2023, The Company took a significant step on the journey to make AI more helpful for everyone with the introduction of Gemini, a native/internally developed multimodal AI model</t>
  </si>
  <si>
    <t>In 2024, The Company launched Gemini 2.0, their most capable model yet</t>
  </si>
  <si>
    <t>Gemini can generalize and seamlessly understand, operate across, and combine different types of information including text, code, audio, image, and video</t>
  </si>
  <si>
    <t>Gemini is powering AI features across our products and services that are helping people everyday</t>
  </si>
  <si>
    <t>Today, all seven of our two billion-user products — Android, Chrome, Gmail, Maps, Play Store, Search, and YouTube — are using Gemini</t>
  </si>
  <si>
    <t>The Company's Google Cloud products, including Google Cloud Platform and Google Workspace, help organizations stay at the forefront of innovation with our AI-optimized infrastructure, AI development platform, world-class models, as well as assistive agents and applications</t>
  </si>
  <si>
    <t>The Company believes AI has the potential to solve important societal, scientific, and engineering challenges. For example, in 2020, Google DeepMind’s AlphaFold system solved a 50-year-old protein folding challenge, and in 2024, we introduced AlphaFold 3, built on the previous models, to predict the structure and interactions of all the molecules in life's processes</t>
  </si>
  <si>
    <t>The Company is focused on transforming it's products to provide the most helpful tools to users and customers as The Company delivers on the mission of organizing the world’s information and make it universally accessible and useful</t>
  </si>
  <si>
    <t>Deliver the Most Advanced, Safe, and Responsible AI</t>
  </si>
  <si>
    <t>The Company has been increasing investment into cloud security in the last few years, with the most recent acquisition of Wiz really cementing this shift in Cloud support services to compliment their growing datacenter business</t>
  </si>
  <si>
    <t>We are driving efficiencies in our data centers, while making significant hardware and model improvements</t>
  </si>
  <si>
    <t>For example, since we started serving AI Overviews to our users, we have significantly lowered machine costs and latency through hardware, engineering, and technical breakthroughs</t>
  </si>
  <si>
    <t>AI-optimized infrastructure allows The Company to use, and offer customers a range of AI accelerator options, including The Company's own custom-built Tensor Processing Units (TPUs).</t>
  </si>
  <si>
    <t>[Investigate FAB operations, research and techniques in greater detail … are firms like AMZN, META and GOOG going to eventually be able to replace their expensive GPU server racks with much simpler, application specific TPU's]</t>
  </si>
  <si>
    <t>The Company's teams across Alphabet leverage Gemini, as well as other AI models previously developed and announced, in order to live test and deliver the best product and service experiences for our users, advertisers, partners, customers, and developers</t>
  </si>
  <si>
    <t>The Company is using Gemini 2.0 in new research prototypes, including Project Astra, which explores the future capabilities of a universal AI assistant and Project Mariner, an early prototype capable of taking actions in Chrome as an experimental extension</t>
  </si>
  <si>
    <t>We believe our approach to AI must be both bold and responsible. That means developing AI in a way that maximizes the positive benefits to society while addressing its potential challenges, guided by our AI Principles</t>
  </si>
  <si>
    <t>The Company is aiming to build the most advanced, safe, and responsible AI through a full stack of robust AI-optimized infrastructure, including data centers, chips, and a global fiber network; world class research teams; and a broad global reach through products and platforms that touch billions of people and customers around the world</t>
  </si>
  <si>
    <t>Enable Organizations and Developers to Innovate on Google Cloud</t>
  </si>
  <si>
    <t>AI is a major technology shift for enterprises</t>
  </si>
  <si>
    <t>Globally, businesses from startups to large enterprises, and the public sector are thinking about how to drive transformation</t>
  </si>
  <si>
    <t>That is why we are focused on making it easy and scalable for others to innovate, and grow, with AI</t>
  </si>
  <si>
    <t>That means providing advanced computing infrastructure and expanding access to Google’s latest AI models</t>
  </si>
  <si>
    <t>Our Vertex AI platform gives developers the ability to train, tune, augment, test, and deploy applications using Gemini, Imagen, Veo, and other generative AI models</t>
  </si>
  <si>
    <t>Gemini for Google Cloud provides pre-packaged AI agents that can assist developers to write, document, test, and operate software as well as assist cybersecurity teams to analyze, detect, protect, and respond to threats</t>
  </si>
  <si>
    <t>Improve Knowledge, Learning, Creativity, and Productivity</t>
  </si>
  <si>
    <t>As AI continues to improve rapidly, we are focused on transforming our products to provide our users the most helpful tools</t>
  </si>
  <si>
    <t>Examples include AI Overviews, which allow users to ask their most complex questions, break down concepts in a format that is useful for them, or take a video and ask a question out loud, and NotebookLM, which helps users understand complex information by summarizing sources and providing relevant quotes</t>
  </si>
  <si>
    <t>We are embedding the power of generative AI to continue helping our users express themselves and get things done</t>
  </si>
  <si>
    <t>For example, the Gemini app allows users to collaborate with new AI features that include image generation capabilities, coding support, and app integration</t>
  </si>
  <si>
    <t>Gemini for Google Workspace helps users write, organize, visualize, accelerate workflows, and have richer meetings</t>
  </si>
  <si>
    <t>Additionally, we are using Gemini to improve recommendations on YouTube</t>
  </si>
  <si>
    <t>We also know businesses of all sizes around the world rely on Google Ads to find customers and grow their businesses — and we make that even easier with AI</t>
  </si>
  <si>
    <t>For example, advertisers are able to use our updated image generation in Google Ads to produce high-quality imagery for their campaigns, and Demand Gen helps them reach their target audiences</t>
  </si>
  <si>
    <t>Build the Most Helpful Personal Computing Platforms and Devices</t>
  </si>
  <si>
    <t>Over the years, our Pixel phones have incorporated AI compute directly into the device and built experiences on top of it</t>
  </si>
  <si>
    <t>Our latest Pixel devices were built with Gemini Nano, bringing the best AI-assistive experiences to our users, such as Gemini on Pixel, Pixel Screenshots, and Pixel Studio</t>
  </si>
  <si>
    <t>Our Android and Chrome operating systems enable users to access Gemini, and other Google AI features throughout their day</t>
  </si>
  <si>
    <t xml:space="preserve"> For example, with Circle to Search built directly into the Android experience, users can search anything they see on their phone using a simple gesture</t>
  </si>
  <si>
    <t>Moonshots</t>
  </si>
  <si>
    <t>Many companies get comfortable doing what they have always done, making only incremental changes</t>
  </si>
  <si>
    <t>This incrementalism leads to irrelevance over time, especially in technology, where change tends to be revolutionary, not evolutionary</t>
  </si>
  <si>
    <t>Our acquisitions of YouTube and Android and subsequent launch of Chrome have matured into major platforms for digital video and mobile devices and a safer, popular browser</t>
  </si>
  <si>
    <t>In Other Bets, our fully autonomous driving technology company, Waymo, is now providing fully autonomous, paid ride-hailing services to customers in multiple cities</t>
  </si>
  <si>
    <t>[Keep an eye on Waymo as the next internally developed unicorn] … investigate other technologies developed internally and acquired through M&amp;A transactions</t>
  </si>
  <si>
    <t>Our early investments in AI started out as moonshots but are now incorporated into our core products and central to future developments</t>
  </si>
  <si>
    <t>We continue to look toward the future and to invest for the long term, most notably for the application of AI to our products and services, as well as other frontier technologies such as quantum computing</t>
  </si>
  <si>
    <t>As we said in the original founders' letter, we will not shy away from high-risk, high-reward projects that we believe in, as they are the key to our long-term success</t>
  </si>
  <si>
    <t>Big bets in AI, Cloud Security, and AV ride hailing … all incredibly positive avenues … the most important factor with The Company's future is how the government treats/designates them in the future …</t>
  </si>
  <si>
    <t>Privacy and Security</t>
  </si>
  <si>
    <t>We make it a priority to protect the privacy and security of our products, users, and customers, even if there are near-term financial consequences</t>
  </si>
  <si>
    <t>We do this by continuously investing in building products that are secure by default; strictly upholding responsible data practices that emphasize privacy by design; and building easy-to-use settings that put people in control</t>
  </si>
  <si>
    <t>We are continually enhancing these efforts over time, whether by enabling users to auto-delete their data, applying privacy technologies like on-device processing, giving people tools to control their experience, or advancing anti-malware, anti-phishing, and password security features</t>
  </si>
  <si>
    <t>Alphabet Products &amp; Services:</t>
  </si>
  <si>
    <t>Serving Users</t>
  </si>
  <si>
    <t>We have always been committed to building helpful products that can improve the lives of millions of people worldwide</t>
  </si>
  <si>
    <t>Our product innovations are what make our services widely used, and our brand one of the most recognized in the world</t>
  </si>
  <si>
    <t>Google Services' core products and platforms include ads, Android, Chrome, devices, Gmail, Google Drive, Google Maps, Google Photos, Google Play, Search, and YouTube, with broad and growing adoption by users around the world</t>
  </si>
  <si>
    <t>Our products and services have come a long way since the company was founded more than 25 years ago</t>
  </si>
  <si>
    <t>While Google Search started as a way to find web pages, organized into ten blue links, we have driven technical advancements and product innovations that have transformed Google Search into a dynamic, multimodal experience</t>
  </si>
  <si>
    <t>We first expanded from traditional desktop browsers into mobile web search, making it easier to navigate on smaller screens</t>
  </si>
  <si>
    <t xml:space="preserve"> As new types of content surfaced on the internet, Universal Search made it possible to search multiple content types, like news, images, videos, and more, to deliver rich, relevant results</t>
  </si>
  <si>
    <t>The introduction of new search modalities, like voice and visual search, made it easier for people to express their curiosity in natural and intuitive ways</t>
  </si>
  <si>
    <t>We took that a step further with multisearch, which lets people search with text and images at the same time</t>
  </si>
  <si>
    <t>Large language models have made it possible to express more natural language queries, vastly improving the types of questions users can ask, and the quality of results</t>
  </si>
  <si>
    <t xml:space="preserve"> Each advancement has made it easier and more natural for people to find what they are looking for</t>
  </si>
  <si>
    <t>[spooky]</t>
  </si>
  <si>
    <t>We are now using Gemini customized for Google Search to provide our users an improved Search experience, and AI Overviews has been released in more than one hundred countries, reaching more than one billion users</t>
  </si>
  <si>
    <t>This drive to make information more accessible and helpful has led us over the years to improve the discovery and creation of digital content both on the web and through platforms like Google Play and YouTube</t>
  </si>
  <si>
    <r>
      <t xml:space="preserve">People are consuming many forms of digital content, including watching videos, streaming TV, playing games, listening to music, </t>
    </r>
    <r>
      <rPr>
        <b/>
        <sz val="11"/>
        <color theme="1"/>
        <rFont val="Calibre"/>
      </rPr>
      <t>reading books, and using apps</t>
    </r>
  </si>
  <si>
    <t>Working with content creators and partners, we continue to build new ways for people around the world to create and find great digital content</t>
  </si>
  <si>
    <t>The self sustaining/grassroots content creation model is a powerhouse for the firm … Competing content distributors are just beginning to catch up in terms of monetary insentives for producing great content</t>
  </si>
  <si>
    <t>Fueling all of these great digital experiences are extraordinary platforms and devices</t>
  </si>
  <si>
    <t>That is why we continue to invest in platforms like our Android mobile operating system, Chrome browser, and Chrome operating system, as well as our family of devices</t>
  </si>
  <si>
    <t>We see tremendous potential for devices to be helpful and make people's lives easier by combining the best of our AI, software, and hardware</t>
  </si>
  <si>
    <t>This potential is reflected in our latest generation of devices, such as the new Pixel 9 series and the Pixel Watch 3</t>
  </si>
  <si>
    <t>Creating products and services that people rely on every day is a journey that we are investing in for the long-term</t>
  </si>
  <si>
    <t>Product &amp; Service Overview</t>
  </si>
  <si>
    <t>10 of The Company's Flagship Transactions</t>
  </si>
  <si>
    <t>How The Company Makes Money</t>
  </si>
  <si>
    <t>We have built world-class advertising technologies for advertisers, agencies, and publishers to power their digital marketing businesses</t>
  </si>
  <si>
    <t>Our advertising solutions help millions of companies grow their businesses through our wide range of products across devices and formats, and we aim to ensure positive user experiences by serving the right ads at the right time and by building deep partnerships with brands and agencies</t>
  </si>
  <si>
    <t>AI has been foundational to our advertising business for more than a decade</t>
  </si>
  <si>
    <t>Products like Demand Gen, Performance Max, and Product Studio use the full power of our AI to help advertisers find untapped and incremental conversion opportunities</t>
  </si>
  <si>
    <t>Google Services generates revenues primarily by delivering both performance and brand advertising that appears on Google Search &amp; other properties, YouTube, and Google Network partners' properties ("Google Network properties")</t>
  </si>
  <si>
    <t>We continue to invest in both performance and brand advertising and seek to improve the measurability of advertising so advertisers understand the effectiveness of their campaigns</t>
  </si>
  <si>
    <t>Performance advertising lets our advertisers connect with users while driving measurable results</t>
  </si>
  <si>
    <t>Our ads tools allow performance advertisers to create simple text-based ads</t>
  </si>
  <si>
    <t>helps enhance users' awareness of and affinity for advertisers' products and services, through videos, text, images, and other interactive ads that run across various devices</t>
  </si>
  <si>
    <t>creates and delivers relevant ads that users will click on leading to direct engagement with advertisers</t>
  </si>
  <si>
    <t>We help brand advertisers deliver digital videos and other types of ads to specific audiences for their brand-building marketing campaigns</t>
  </si>
  <si>
    <t>In addition, Google Services increasingly generates revenues from products and services beyond advertising, including:</t>
  </si>
  <si>
    <t>Brand Advertising:</t>
  </si>
  <si>
    <t>Performance Advertising:</t>
  </si>
  <si>
    <t>Consumer Subscriptions:</t>
  </si>
  <si>
    <t>which primarily include revenues from YouTube services, such as YouTube TV, YouTube Music and Premium, and NFL Sunday Ticket, as well as Google One</t>
  </si>
  <si>
    <t>Platforms:</t>
  </si>
  <si>
    <t>which primarily include revenues from Google Play sales of apps and in-app purchases</t>
  </si>
  <si>
    <t>Devices:</t>
  </si>
  <si>
    <t>which primarily include sales of the Pixel family of devices</t>
  </si>
  <si>
    <t>Google Cloud -- Through our Google Cloud Platform and Google Workspace offerings, Google Cloud generates revenues primarily from consumption-based fees and subscriptions for infrastructure, platform, applications, and other cloud services. Customers use Google Cloud in multiple ways such as:</t>
  </si>
  <si>
    <t>AI-optimized Infrastructure:</t>
  </si>
  <si>
    <t>provides open, reliable, and scalable compute, networking, and storage to enable customers to run workloads anywhere — on our Cloud, at the edge, or in their data centers</t>
  </si>
  <si>
    <t>It can be used to migrate and modernize IT systems and to train and serve various types of AI models</t>
  </si>
  <si>
    <t>Developer Platform:</t>
  </si>
  <si>
    <t>provides developers, through the Vertex AI platform, the ability to train, tune, augment, test, and deploy applications using Gemini and other leading generative AI models</t>
  </si>
  <si>
    <t>We offer widely used first-party, third-party, and open models along with services such as vector search, grounding, and distillation to further improve the cost and quality of models</t>
  </si>
  <si>
    <t>provides AI powered cybersecurity solutions to help customers analyze, detect, protect, and respond to a broad range of cybersecurity threats</t>
  </si>
  <si>
    <t>This includes further strengthening security outcomes, prioritizing which threats to investigate, and identifying attack paths, as well as accelerating resolution of cybersecurity threats</t>
  </si>
  <si>
    <t>Data and Analytics:</t>
  </si>
  <si>
    <t>provides a variety of different types of databases — relational, key-value, and in-memory — to store and manage data for different types of applications and deliver data to AI agents</t>
  </si>
  <si>
    <t>Our data platform also unifies data lakes, data warehouses, data governance, and advanced machine learning into a single platform that helps users analyze data using AI models across any cloud</t>
  </si>
  <si>
    <t>Applications:</t>
  </si>
  <si>
    <t>offers a broad applications portfolio, including Gemini for Google Cloud and Gemini for Google Workspace, as well as purpose-built agents for Search and our Customer Engagement Suite</t>
  </si>
  <si>
    <t>AI has been used in Google Workspace for years to improve grammar, efficiency, security, and more with features like Smart Reply, Smart Compose, and malware and phishing protection in Gmail</t>
  </si>
  <si>
    <t>Now, Gemini for Google Workspace brings our AI-powered agents into Gmail, Docs, Sheets and more to help users write, organize, visualize, accelerate workflows, and have richer meetings</t>
  </si>
  <si>
    <t>I still believe any serious business is using Microsoft suite … but Googles "ease of access" is truly impressive, with implied soft power that can be leveraged on its consumer base … when the product is free, you are the product</t>
  </si>
  <si>
    <t>Other Bets --  using technology to try to solve big problems that affect a wide variety of industries, including transportation and health technology</t>
  </si>
  <si>
    <t>Alphabet’s investment in the portfolio of Other Bets includes businesses that are at various stages of development, ranging from those in the R&amp;D phase to those that are in the beginning stages of commercialization</t>
  </si>
  <si>
    <t>Our goal is for them to become thriving, successful businesses -- offers insurmountable network effect/installment base … trust and brand maintenance is absolutely key</t>
  </si>
  <si>
    <t>Other Bets operate as independent companies and some of them have their own boards with independent members and outside investors</t>
  </si>
  <si>
    <t>While these early-stage businesses naturally come with considerable uncertainty, some of them are already generating revenue and making important strides in their industries</t>
  </si>
  <si>
    <t>Revenues from Other Bets are generated primarily from the sale of healthcare-related services, and internet services … Waymo AV hailing is definitely something worth tracking as well</t>
  </si>
  <si>
    <t>Competition:</t>
  </si>
  <si>
    <t>Our business is characterized by rapid change as well as new and disruptive technologies. We face formidable competition in every aspect of our business, including but not limited to, from:</t>
  </si>
  <si>
    <t>Search engine competitors:</t>
  </si>
  <si>
    <t>Yahoo</t>
  </si>
  <si>
    <t>DuckDuckGo</t>
  </si>
  <si>
    <t>Bing / Edge</t>
  </si>
  <si>
    <t>OperaGX</t>
  </si>
  <si>
    <t xml:space="preserve">Yahoo Search </t>
  </si>
  <si>
    <t>General purpose search engines and information services</t>
  </si>
  <si>
    <t>AI Competitors</t>
  </si>
  <si>
    <t>Seen above… The Company is demonstrating their moat like installment/user bases, coming into the AI race as a legacy competitor … they'll either dominate through CapEx investment might, or fall behind and be seen as the 21st century's AT&amp;T</t>
  </si>
  <si>
    <t>The Company's is currently being heavily scrutinized by analysts who're concerned about the long term prospects of the Search Business … The competitive erosion and overhauled regulatory effort over the last 2 years have really weighed on The Company's valuation and equity return profile</t>
  </si>
  <si>
    <t xml:space="preserve">They clearly are one of the Fed's AI golden goose R&amp;D centers, but will that stop the government from breaking up the firm into smaller individual companies / equity listings </t>
  </si>
  <si>
    <t>Could the break-up of Google actually deliver greater value to shareholders in a "sum of parts" scenario? (Bell Labs -&gt; Baby Bell's style)</t>
  </si>
  <si>
    <t>The self sustaining/grassroots content creation model is a powerhouse for the firm … Competing content distributors are just beginning to catch up in terms of monetary incentives for producing great content</t>
  </si>
  <si>
    <t>Monetization comes from paid storage plans under Google One -- similar business segment to Apple's iCloud consumer storage</t>
  </si>
  <si>
    <t>[The company has been accelerating investment into the cloud security space, and if the Wiz Acquisition goes through they'll be a frontrunner in the space along with CRWD, S, ZS MSFT, etc.]</t>
  </si>
  <si>
    <t>% of Market Share</t>
  </si>
  <si>
    <t>YANDEX</t>
  </si>
  <si>
    <t>Baidu</t>
  </si>
  <si>
    <t>Yandex</t>
  </si>
  <si>
    <t>OpenAI</t>
  </si>
  <si>
    <t>Anthropic</t>
  </si>
  <si>
    <t>Perplexity AI</t>
  </si>
  <si>
    <t>xAI</t>
  </si>
  <si>
    <t>Claude 3 (Opus, Sonnet, Haiku)</t>
  </si>
  <si>
    <t>Grok</t>
  </si>
  <si>
    <t>Apple Intelligence (announced)</t>
  </si>
  <si>
    <t>Advanced conversational AI, multimodal capabilities, strong developer ecosystem</t>
  </si>
  <si>
    <t>Deep integration with Office, Windows, and Azure; enterprise focus</t>
  </si>
  <si>
    <t>Emphasis on safety, context length, and reliable reasoning</t>
  </si>
  <si>
    <t>Open-source models, integration with Facebook, Instagram, WhatsApp</t>
  </si>
  <si>
    <t>Enterprise AI, cloud-based generative models, Alexa integration</t>
  </si>
  <si>
    <t>Real-time, citation-focused conversational search and answers</t>
  </si>
  <si>
    <t>Real-time, uncensored conversational AI, integrated with X/Twitter</t>
  </si>
  <si>
    <t>On-device AI, privacy-centric, deep iOS/macOS integration</t>
  </si>
  <si>
    <t>Flagship Model(s)</t>
  </si>
  <si>
    <t>Microsoft (MSFT)</t>
  </si>
  <si>
    <t>OPERA (OPRA)</t>
  </si>
  <si>
    <t>Meta (META)</t>
  </si>
  <si>
    <t>Amazon (AMZN)</t>
  </si>
  <si>
    <t>Apple (APPL)</t>
  </si>
  <si>
    <t>Comments</t>
  </si>
  <si>
    <t>Llama 3.1, Meta AI</t>
  </si>
  <si>
    <t>[Equity Preformance Compared to Peers] (5/23/24)</t>
  </si>
  <si>
    <t>DevOps R&amp;A</t>
  </si>
  <si>
    <t>Akwan Information Tech</t>
  </si>
  <si>
    <t>Urchin Software Corp.</t>
  </si>
  <si>
    <t>Android, Google TV, Android TV, Patents</t>
  </si>
  <si>
    <t>Management Scope:</t>
  </si>
  <si>
    <t>650-253-0000</t>
  </si>
  <si>
    <t>Phone:</t>
  </si>
  <si>
    <t>https://www.gurufocus.com/term/roic/GOOGL</t>
  </si>
  <si>
    <t>ROIC, WACC</t>
  </si>
  <si>
    <t>Invested Capital</t>
  </si>
  <si>
    <t>Deffered Income Tax Assets</t>
  </si>
  <si>
    <t>PP&amp;E, net</t>
  </si>
  <si>
    <t>ROIC:</t>
  </si>
  <si>
    <t>AVG Invested Capital</t>
  </si>
  <si>
    <t>2023-2024</t>
  </si>
  <si>
    <t xml:space="preserve">Google is a sole underpreformer when compared to U.S. peer's short term return profiles </t>
  </si>
  <si>
    <t>[The other bets segments obviously operates more projects than stated in The Company's provided description … Research further]</t>
  </si>
  <si>
    <r>
      <t xml:space="preserve">Commit to further research into "real" quantum players… Off the top of my head: GOOG: Willow, IBM: Heron, Honeywell: Model H, Microsoft: Majorana 1 … </t>
    </r>
    <r>
      <rPr>
        <b/>
        <sz val="11"/>
        <color theme="1"/>
        <rFont val="Calibre"/>
      </rPr>
      <t>[research others]</t>
    </r>
  </si>
  <si>
    <t>Greater &gt; amt. of qubits + higher gate fidelity is required to run any interesting algos (like Shor's to break RSA) or make calculations beyond the capabilities of a tradition computer as it currently stands</t>
  </si>
  <si>
    <t>Waymo has completed ~ 5 million trips in five months (from beg of 2025 to May 2025)</t>
  </si>
  <si>
    <t>https://www.youtube.com/watch?v=brXly99OHUw&amp;t=23s&amp;ab_channel=CNBCTelevision</t>
  </si>
  <si>
    <t xml:space="preserve">Look into segmenting the business and valuing based off of a sum-of-the-parts approach … I theorize that the firm's regulatory standing is a large burden on it's market valuation … </t>
  </si>
  <si>
    <t>Could actually be more valuable if split into six businesses … but government can't break up a cash cow partnering firm that is at the forefront of AI ... quite the curious business</t>
  </si>
  <si>
    <t>Google, Other Bets</t>
  </si>
  <si>
    <t>Google, Android, Other Bets</t>
  </si>
  <si>
    <t>Investors Relation Department</t>
  </si>
  <si>
    <t>The IPO was conducted through a dutch auction, with intentions of distributing shares across a wide range of interested investors (both institutional and retail)</t>
  </si>
  <si>
    <t>Dutch Auction IPOs are facilitated by means of investors submiting bids for numbers of shares and willing price to purchase various amounts of those shares; shares are then allocated from highest to lowest bid until all are sold. All winning bidders pay the lowest price that clears the offering</t>
  </si>
  <si>
    <t>LA Times wrote, "In trying to include the public in its initial public offering, Google Inc. found that bringing the Internet’s populism to Wall Street can be messy … The company that created the world’s No. 1 search engine on Wednesday cut the value of its IPO in half, to $1.7 billion, hours before its shares were expected to start trading today ... In an unusual auction process, Google’s stock sold for $85 a share, much less than the company originally had projected. And Google insiders, facing surprisingly weak demand from investors, chose not to sell as many of their own shares as planned</t>
  </si>
  <si>
    <t>Early quarters … Google's second derivative revenue growth was continuing to grow … There is something special in seeing revenue grow quicker as the firm grew larger … PLTR, HIMS are special modern call backs</t>
  </si>
  <si>
    <r>
      <rPr>
        <b/>
        <sz val="11"/>
        <color theme="1"/>
        <rFont val="Calibre"/>
      </rPr>
      <t>Dominant Market Position:</t>
    </r>
    <r>
      <rPr>
        <sz val="11"/>
        <color theme="1"/>
        <rFont val="Calibre"/>
      </rPr>
      <t xml:space="preserve"> Mandel recognized Google’s clear dominance in internet search, a market with strong network effects and high barriers to entry. This leadership position provided Google with a sustainable competitive advantage over rivals</t>
    </r>
  </si>
  <si>
    <r>
      <rPr>
        <b/>
        <sz val="11"/>
        <color theme="1"/>
        <rFont val="Calibre"/>
      </rPr>
      <t>Scalable Business Model:</t>
    </r>
    <r>
      <rPr>
        <sz val="11"/>
        <color theme="1"/>
        <rFont val="Calibre"/>
      </rPr>
      <t xml:space="preserve"> Google’s advertising-driven revenue model was highly scalable, with significant operating leverage. As internet usage and search volume grew globally, Google’s margins and profits were expected to expand rapidly</t>
    </r>
  </si>
  <si>
    <r>
      <rPr>
        <b/>
        <sz val="11"/>
        <color theme="1"/>
        <rFont val="Calibre"/>
      </rPr>
      <t>Management Quality:</t>
    </r>
    <r>
      <rPr>
        <sz val="11"/>
        <color theme="1"/>
        <rFont val="Calibre"/>
      </rPr>
      <t xml:space="preserve"> Mandel and his team placed a strong emphasis on the quality and vision of Google’s founders and management, believing they would continue to innovate and execute effectively … Institutional investors were initially a little spooked with how voting shares v. economic shares were structured ... requires more trust in managers</t>
    </r>
  </si>
  <si>
    <r>
      <rPr>
        <b/>
        <sz val="11"/>
        <color theme="1"/>
        <rFont val="Calibre"/>
      </rPr>
      <t>Underappreciated by Peers:</t>
    </r>
    <r>
      <rPr>
        <sz val="11"/>
        <color theme="1"/>
        <rFont val="Calibre"/>
      </rPr>
      <t xml:space="preserve"> At the time, many institutional investors were cautious about Google’s unconventional IPO, corporate governance structure, and high valuation multiples. Lone Pine’s willingness to look past these concerns and focus on fundamentals allowed it to take a larger position than most peers</t>
    </r>
  </si>
  <si>
    <t>Google -- "The front door to the internet for the last 25 years"</t>
  </si>
  <si>
    <t>Founders: Larry Page and Sergey Brin (of Stanford)</t>
  </si>
  <si>
    <t>The hot thing at the time was Yahoo, which manually curated directories for websites by category (Yahoo Finance, Sports, etc.). Yahoo intended to direct flows of users and collect Ad revenue by the CPM agreements with partnering/listed sites (almost like a neo-media company)</t>
  </si>
  <si>
    <t>Google had only four seed founders … a suprising personal discovery considering the established VC environment that assists Stanford commercialize IP (Kliener Perkins -&gt; Genentech)</t>
  </si>
  <si>
    <t>The four seed funders are as follows:</t>
  </si>
  <si>
    <t>Andy Bechtolsheim’s ability to write the first $100,000 seed checks to Google was largely due to his substantial wealth from co-founding Sun Microsystems, which had its initial public offering (IPO) in 1986 … Bechtolsheim was already a highly successful entrepreneur and investor, having accumulated significant liquidity from Sun’s early and sustained success as a public company</t>
  </si>
  <si>
    <r>
      <rPr>
        <b/>
        <sz val="11"/>
        <color theme="1"/>
        <rFont val="Calibre"/>
      </rPr>
      <t>David Cheriton</t>
    </r>
    <r>
      <rPr>
        <sz val="11"/>
        <color theme="1"/>
        <rFont val="Calibre"/>
      </rPr>
      <t>, an accomplished Stanford professor and entrepreneur who held the first seed meeting with Sergey Brin and Larry Page … This meeting also introduced the young founders to Andy Bechtolsheim</t>
    </r>
  </si>
  <si>
    <r>
      <rPr>
        <b/>
        <sz val="11"/>
        <color theme="1"/>
        <rFont val="Calibre"/>
      </rPr>
      <t>Ram Shriram</t>
    </r>
    <r>
      <rPr>
        <sz val="11"/>
        <color theme="1"/>
        <rFont val="Calibre"/>
      </rPr>
      <t xml:space="preserve"> (early Amazon executive and venture capitalist) who was impressed with Larry and Sergey's vision and PageRank Algorithm … seeing it as a superior technology, he invested $250,000 </t>
    </r>
  </si>
  <si>
    <t xml:space="preserve">Shriram went on to ask the founders if they wanted to meet with Jeff Bezo's aswell … </t>
  </si>
  <si>
    <r>
      <rPr>
        <b/>
        <sz val="11"/>
        <color theme="1"/>
        <rFont val="Calibre"/>
      </rPr>
      <t>Andy Bechtolsheim</t>
    </r>
    <r>
      <rPr>
        <sz val="11"/>
        <color theme="1"/>
        <rFont val="Calibre"/>
      </rPr>
      <t xml:space="preserve"> (co-founder of Sun Microsystems) who famously wrote out a check for $100,000 to "Google Inc." (a company that had not yet been officially registered) after only a brief "elevator pitch" from Larry and Sergey. Bechtolsheim wrote a second check for the same amount a month later</t>
    </r>
  </si>
  <si>
    <t>The seed round for Google occurred in August of 1998, with a larger angel round totaling about $1 million closing in November 1998</t>
  </si>
  <si>
    <r>
      <rPr>
        <b/>
        <sz val="11"/>
        <color theme="1"/>
        <rFont val="Calibre"/>
      </rPr>
      <t>Jeff Bezos</t>
    </r>
    <r>
      <rPr>
        <sz val="11"/>
        <color theme="1"/>
        <rFont val="Calibre"/>
      </rPr>
      <t xml:space="preserve"> (Amazon founder) put in another $250,000 </t>
    </r>
  </si>
  <si>
    <t>Q1 2009</t>
  </si>
  <si>
    <t>Q2 2009</t>
  </si>
  <si>
    <t>Q3 2009</t>
  </si>
  <si>
    <t>Q4 2009</t>
  </si>
  <si>
    <t>Q1 2010</t>
  </si>
  <si>
    <t>Q2 2010</t>
  </si>
  <si>
    <t>Q3 2010</t>
  </si>
  <si>
    <t>Q4 2010</t>
  </si>
  <si>
    <t>Q1 2011</t>
  </si>
  <si>
    <t>Q2 2011</t>
  </si>
  <si>
    <t>Q3 2011</t>
  </si>
  <si>
    <t>Q4 2011</t>
  </si>
  <si>
    <t>Q1 2012</t>
  </si>
  <si>
    <t>Q2 2012</t>
  </si>
  <si>
    <t>Q3 2012</t>
  </si>
  <si>
    <t>Q4 2012</t>
  </si>
  <si>
    <t>Q1 2013</t>
  </si>
  <si>
    <t>Q2 2013</t>
  </si>
  <si>
    <t>Q3 2013</t>
  </si>
  <si>
    <t>Q4 2013</t>
  </si>
  <si>
    <t>Q1 2014</t>
  </si>
  <si>
    <t>Q2 2014</t>
  </si>
  <si>
    <t>Q3 2014</t>
  </si>
  <si>
    <t>Q4 2014</t>
  </si>
  <si>
    <t>Q1 2015</t>
  </si>
  <si>
    <t>Q2 2015</t>
  </si>
  <si>
    <t>Q3 2015</t>
  </si>
  <si>
    <t>Q4 2015</t>
  </si>
  <si>
    <t>Q1 2016</t>
  </si>
  <si>
    <t>Q2 2016</t>
  </si>
  <si>
    <t>Q3 2016</t>
  </si>
  <si>
    <t>Q4 2016</t>
  </si>
  <si>
    <t>Q1 2017</t>
  </si>
  <si>
    <t>Q2 2017</t>
  </si>
  <si>
    <t>Q3 2017</t>
  </si>
  <si>
    <t>Q4 2017</t>
  </si>
  <si>
    <t>Q1 2018</t>
  </si>
  <si>
    <t>Q2 2018</t>
  </si>
  <si>
    <t>Q3 2018</t>
  </si>
  <si>
    <t>Q4 2018</t>
  </si>
  <si>
    <t>Q1 2019</t>
  </si>
  <si>
    <t>Q2 2019</t>
  </si>
  <si>
    <t>Q3 2019</t>
  </si>
  <si>
    <t>Q4 2019</t>
  </si>
  <si>
    <t>Q2 2020</t>
  </si>
  <si>
    <t>Q3 2020</t>
  </si>
  <si>
    <t>Q4 2020</t>
  </si>
  <si>
    <t>Q2 2021</t>
  </si>
  <si>
    <t>Q3 2021</t>
  </si>
  <si>
    <t>Q4 2021</t>
  </si>
  <si>
    <t>Q2 2022</t>
  </si>
  <si>
    <t>Q3 2022</t>
  </si>
  <si>
    <t>Q4 2022</t>
  </si>
  <si>
    <t>Q2 2023</t>
  </si>
  <si>
    <t>Q3 2023</t>
  </si>
  <si>
    <t>Q4 2023</t>
  </si>
  <si>
    <t>Q2 2024</t>
  </si>
  <si>
    <t>Q3 2024</t>
  </si>
  <si>
    <t>Q4 2024</t>
  </si>
  <si>
    <t>Q2 2025</t>
  </si>
  <si>
    <t>Q3 2025</t>
  </si>
  <si>
    <t>Q4 2025</t>
  </si>
  <si>
    <t>Q1 2026</t>
  </si>
  <si>
    <t>Q2 2026</t>
  </si>
  <si>
    <t>Q3 2026</t>
  </si>
  <si>
    <t>Q4 2026</t>
  </si>
  <si>
    <t>Q/q Total Revenues, Net Income, FCF</t>
  </si>
  <si>
    <t>Y/y Total Revenues, Net Income, FCF</t>
  </si>
  <si>
    <t>Bezos really was an "internet aristocrat," even back in the day … If he'd held onto those shares until January 2025, the single seed investment would be worth apx. $25.1B dollars (3.3 Million shares at IPO × 40x in stock split since IPO × $190 share price = $25.1B)</t>
  </si>
  <si>
    <t>Ad business dominates (potential overreliance on search revenues has discounted The Company's valuation in the face of AI rollout)</t>
  </si>
  <si>
    <t>One of the most diversified businesses within Mag 7 (Microsoft is Google's only peer)</t>
  </si>
  <si>
    <t xml:space="preserve">I'm incredibly bullish on Waymo taking dominant share within Ride-Sharing and AV markets … </t>
  </si>
  <si>
    <t>Waymo growth is exponential, and while the vehicle is more costly, the technology is fleshed out (safer) and superior to competitors proposed offerings</t>
  </si>
  <si>
    <t>Google's capital investment activity has seen a significant increase in growth, beginning around 2023 and remaining strong (even accelerated) into 2025 (data center cluster investments)</t>
  </si>
  <si>
    <t>Headquartered: Mountain View, CA</t>
  </si>
  <si>
    <t>Alphabet Inc. is a technology company that offers various products and platforms on a global scale</t>
  </si>
  <si>
    <r>
      <t>The Company has the vibe of a</t>
    </r>
    <r>
      <rPr>
        <b/>
        <sz val="11"/>
        <color theme="1"/>
        <rFont val="Calibre"/>
      </rPr>
      <t xml:space="preserve"> "consumer oriented Microsoft"</t>
    </r>
    <r>
      <rPr>
        <sz val="11"/>
        <color theme="1"/>
        <rFont val="Calibre"/>
      </rPr>
      <t xml:space="preserve"> … yes they have a enterprise cloud business, but that only came about because of their consumer Google Drive offering (still &lt;15% of Ttl revenue, yet expanding rapidly)</t>
    </r>
  </si>
  <si>
    <t>Microsoft is the most serious productivity software player on the planet ... Every business uses excel; everyone has access to Google sheets though</t>
  </si>
  <si>
    <t>Google serves as a "Pay-pal checkout" for your identity on the internent … people no longer create individual accounts for each website … they fasttrack it through their pre-existing google account</t>
  </si>
  <si>
    <t>ChatGPT-4o, GPT-4, GPT-5 (8/7/2025)</t>
  </si>
  <si>
    <t>Copilot (powered by GPT-5), Azure AI</t>
  </si>
  <si>
    <t>Amazon Q, Bedrock, Alexa LLM (equity investments into Anthropic)</t>
  </si>
  <si>
    <t>Google was America's most profitable company as of 2024, earning $100 billion in net profit (earning more than AAPL: $94B, BRK: $89B, MSFT: $88B)</t>
  </si>
  <si>
    <t xml:space="preserve">Larry Page and Sergey Brin did go looking for "institutional" funding, but nobody was interested in commercializing the new technology … </t>
  </si>
  <si>
    <t>These seed infusions are highly regarded as some of the absolute greatest VC investments in Silicon Valley History</t>
  </si>
  <si>
    <t xml:space="preserve">Google's IPO was somewhat underwhelming … The lack of institutional sentiment was troubling enough for The Company's managers (and underwriters) to cut their shares offered to the market in half due to lack of demand ... </t>
  </si>
  <si>
    <t>Absolutely no sign of Dot Com bubble valuations like so many other competing firms had achieved just years earlier ... Equity raise / public entry definitely wasn't as smooth as anticipated...</t>
  </si>
  <si>
    <t xml:space="preserve">Fund managers may have had a lingering warriness towards Tech companies coming out of the Dot Com Bubble … </t>
  </si>
  <si>
    <t>Despite the weak IPO / Entry into public markets, Lone Pine (Tiger Cub) began building a substancial position in early 2005</t>
  </si>
  <si>
    <t xml:space="preserve">GOOG/GOOGL grew into Lone Pine's second largest position by mid 2005 … Lone Pine fund managers took an outsized position in the young company when compared to peers (other funds) … but what did the analysts see? </t>
  </si>
  <si>
    <t>Stephen Mendel is cited describing a few reasons for his conviction towards The Firm's position in GOOG/GOOGL</t>
  </si>
  <si>
    <r>
      <rPr>
        <b/>
        <sz val="11"/>
        <color theme="1"/>
        <rFont val="Calibre"/>
      </rPr>
      <t>Growth Runway:</t>
    </r>
    <r>
      <rPr>
        <sz val="11"/>
        <color theme="1"/>
        <rFont val="Calibre"/>
      </rPr>
      <t xml:space="preserve"> Lone Pine saw Google as a “category killer” with a long runway for growth, not just in search but also in adjacent markets such as online advertising, video (YouTube), and emerging technologies … every quarterly report Google would announce accelerating revenue growth ... positive second derivative revenue growth is incredibly rare ... and special</t>
    </r>
  </si>
  <si>
    <t xml:space="preserve">Mandel and Lone Pine saw Googles potential TAM and knew Google was going to be a blow out business … </t>
  </si>
  <si>
    <t>When TAM is so large, valuation matters less until the market is completely saturated (like Search is now) … (Think PLTR valuation right now … it's TAM is truly incredible, and it is going to be a massive company if it takes even a portion of that market)</t>
  </si>
  <si>
    <t>This is all war story talk from the past … but taking this perspective as a model to evaluate contempary businesses coming up in the markets will be important/necessary for finding future Google's … where is the next 1000x</t>
  </si>
  <si>
    <t>Financial Stmts. Notes/Observations (Updated Q2'25)</t>
  </si>
  <si>
    <t>This is not a fixed fee but a revenue-sharing scheme, making Apple's share a direct variable cost for Google</t>
  </si>
  <si>
    <t>In exchange, Google is set as the default and pre-installed search engine.</t>
  </si>
  <si>
    <t xml:space="preserve">Back in 2005-2007, the Iphone was in development … Google, then a key partner (with Eric Schmidt on Apple's board), was the obvious choice for Search … Google would pay Apple to be the default search engine and service IOS Search traffic </t>
  </si>
  <si>
    <t>The initial agreement was likely simple and not a major revenue driver for Apple ... The original focus was on providing the best user experience for the nascent iPhone</t>
  </si>
  <si>
    <t>Earnings Scope:</t>
  </si>
  <si>
    <t xml:space="preserve">The iPhone and iOS went on to become the dominant premium mobile platform worldwide (2008 - 2016) </t>
  </si>
  <si>
    <t xml:space="preserve">Google's Android also grew, making the relationship more coopetitive … Safari traffic became incredibly valuable to Google's core search business … </t>
  </si>
  <si>
    <t>The agreement was periodically renewed with increasingly lucrative terms for Apple … Very curious … this is potentially how the parternship has skated regulatory scrutiny for so long (similar to MSFT originally funding AAPL in the late 90's to avoid monopoly status)</t>
  </si>
  <si>
    <t>As the volume of searches and the value of mobile ads skyrocketed, so did the payment</t>
  </si>
  <si>
    <t>It transitioned from a minor partnership into a multi-billion dollar annual payment, becoming a cornerstone of Apple's high-margin Services revenue segment</t>
  </si>
  <si>
    <r>
      <rPr>
        <b/>
        <sz val="11"/>
        <color theme="1"/>
        <rFont val="Calibre"/>
      </rPr>
      <t>The payment had ballooned to become the largest single cost item for Google</t>
    </r>
    <r>
      <rPr>
        <sz val="11"/>
        <color theme="1"/>
        <rFont val="Calibre"/>
      </rPr>
      <t xml:space="preserve"> (under Traffic Acquisition Costs - TAC) and one of the largest revenue streams for Apple Services</t>
    </r>
  </si>
  <si>
    <t>The annual payment grew from an estimated ~$1 billion in 2014 to a peak of ~$20 billion in 2022, according to analyst estimates and court disclosures</t>
  </si>
  <si>
    <t>Recent reporting suggests Google may be pushing for more favorable terms in the face of regulatory pressure and its own margin considerations, though the agreement remains immensely profitable for both parties</t>
  </si>
  <si>
    <t>The Partnership agreement for default browser status has since become a driver for domestic and international scrutiny (beg. ~2017) …  The U.S. Department of Justice's landmark antitrust lawsuit against Google (2020) placed the Apple deal at its center, alleging it illegally maintains a monopoly</t>
  </si>
  <si>
    <t>Traffic Acquisition Cost:</t>
  </si>
  <si>
    <t>TAC is the money Google pays to partners (like Apple, Mozilla, Samsung, and other mobile carriers/operators) who direct search traffic to Google</t>
  </si>
  <si>
    <t>Google pays Apple a portion of the advertising revenue it generates from searches performed in Apple's Safari web browser across its iOS devices (iPhone, iPad, Mac)</t>
  </si>
  <si>
    <t>The payment is expected to grow in line with the increase in search advertising revenue generated from Apple devices, though the growth rate may be pressured by regulatory scrutiny</t>
  </si>
  <si>
    <t>The exact percentage is confidential, but widely believed by analysts that AAPL recieves apx. 36% - 40% of the revenue Google generates from Safari searches (Bernstein's Toni Sacconaghi ~2024)</t>
  </si>
  <si>
    <t>iOS users are among the most valuable (demographically affluent) users in the world</t>
  </si>
  <si>
    <t xml:space="preserve">Traffic Acquisition Cost (TAC) is incredibly important to track / listen out for … can be a key indicator into margin compression if TAC increases </t>
  </si>
  <si>
    <t>Address: 1600 Amphitheatre PKWY, Mountain View, CA, 94043 U.S.</t>
  </si>
  <si>
    <t>Alphabet Inc. (GOOG) holds a minority interest in DXCM (~0.27% stake) - just over a billion shares … Investigate further … was there an old partnership or spin off?</t>
  </si>
  <si>
    <t>In August 2015, Dexcom entered a partnership with Google's life sciences team (which later became Verily) to jointly develop next-generation continuous glucose monitoring (CGM) products</t>
  </si>
  <si>
    <t>The collaboration aimed to combine Google’s miniaturized electronics platform with Dexcom's sensor technology</t>
  </si>
  <si>
    <t>This allowed the team to create smaller, less expensive and disposable CGM sensors … This is their patch business which monitors and beams data to the DXCM app</t>
  </si>
  <si>
    <t>DXCM retained sales and distribution rights but made upfront and milestone payments to Google/Verily as part of the collab and licensing deal</t>
  </si>
  <si>
    <t>The partnership included Alphabet receiving over a billion shares of Dexcom via stock payments as part of licensing and collaboration agreements</t>
  </si>
  <si>
    <t>The collaboration involves ongoing joint product development, sharing R&amp;D resources, and expanded options for joint ventures in diabetes technology</t>
  </si>
  <si>
    <t>Lone Pine's post-IPO Position:</t>
  </si>
  <si>
    <t>Seed Funding:</t>
  </si>
  <si>
    <t>Old Wall Street Tid-Bits</t>
  </si>
  <si>
    <t>Apple - Safari Partnership (Critical for Valuation):</t>
  </si>
  <si>
    <t>Additional Information on Google's Minority Equity Stakes</t>
  </si>
  <si>
    <t>Company Scope:</t>
  </si>
  <si>
    <t>Fiscal Year: [January - December]</t>
  </si>
  <si>
    <t>The Google-Apple search deal is a perfect case study of two excellent technologies coming to the marketplace at the same time ... "killer functionality" if you will. Apple monetizes its vast, premium user base without operating a search engine, while Google pays a premium to protect its unparalleled access to valuable traffic</t>
  </si>
  <si>
    <t>I think the most likely future candidate for Apple to potentially partner with is Perplexity AI … that is if regulators come back to kill the GOOG partnership</t>
  </si>
  <si>
    <t xml:space="preserve">General Notes/Observations </t>
  </si>
  <si>
    <t xml:space="preserve">Institutional Ownership Snapshot </t>
  </si>
  <si>
    <r>
      <t xml:space="preserve">The Company reports </t>
    </r>
    <r>
      <rPr>
        <b/>
        <sz val="11"/>
        <color theme="1"/>
        <rFont val="Calibre"/>
      </rPr>
      <t>Google in segments</t>
    </r>
    <r>
      <rPr>
        <sz val="11"/>
        <color theme="1"/>
        <rFont val="Calibre"/>
      </rPr>
      <t xml:space="preserve">, Google </t>
    </r>
    <r>
      <rPr>
        <b/>
        <sz val="11"/>
        <color theme="1"/>
        <rFont val="Calibre"/>
      </rPr>
      <t>Services</t>
    </r>
    <r>
      <rPr>
        <sz val="11"/>
        <color theme="1"/>
        <rFont val="Calibre"/>
      </rPr>
      <t xml:space="preserve"> and Google </t>
    </r>
    <r>
      <rPr>
        <b/>
        <sz val="11"/>
        <color theme="1"/>
        <rFont val="Calibre"/>
      </rPr>
      <t>Cloud</t>
    </r>
    <r>
      <rPr>
        <sz val="11"/>
        <color theme="1"/>
        <rFont val="Calibre"/>
      </rPr>
      <t xml:space="preserve">, and all </t>
    </r>
    <r>
      <rPr>
        <b/>
        <sz val="11"/>
        <color theme="1"/>
        <rFont val="Calibre"/>
      </rPr>
      <t>non-Google</t>
    </r>
    <r>
      <rPr>
        <sz val="11"/>
        <color theme="1"/>
        <rFont val="Calibre"/>
      </rPr>
      <t xml:space="preserve"> businesses collectively </t>
    </r>
    <r>
      <rPr>
        <b/>
        <sz val="11"/>
        <color theme="1"/>
        <rFont val="Calibre"/>
      </rPr>
      <t>as Other Bets</t>
    </r>
  </si>
  <si>
    <r>
      <t xml:space="preserve">Supporting these businesses, The Company has </t>
    </r>
    <r>
      <rPr>
        <b/>
        <sz val="11"/>
        <color theme="1"/>
        <rFont val="Calibre"/>
      </rPr>
      <t>centralized certain AI-related research and development</t>
    </r>
    <r>
      <rPr>
        <sz val="11"/>
        <color theme="1"/>
        <rFont val="Calibre"/>
      </rPr>
      <t xml:space="preserve"> which is reported in Alphabet-level activities</t>
    </r>
  </si>
  <si>
    <r>
      <t>Marc Andreesen (of Andreessen Horowitz VC, AUM: $42B as of 5/1/24) stated during an interview: "</t>
    </r>
    <r>
      <rPr>
        <b/>
        <sz val="11"/>
        <color theme="1"/>
        <rFont val="Calibre"/>
      </rPr>
      <t>AI is a technology basically that the government is going to completely control</t>
    </r>
    <r>
      <rPr>
        <sz val="11"/>
        <color theme="1"/>
        <rFont val="Calibre"/>
      </rPr>
      <t xml:space="preserve"> ... This is not going to be a startup thing ... They actually said ... flat out told us 'don't do AI startups ... like don't </t>
    </r>
    <r>
      <rPr>
        <b/>
        <sz val="11"/>
        <color theme="1"/>
        <rFont val="Calibre"/>
      </rPr>
      <t xml:space="preserve"> fund AI startups that's not something that we're going to allow to happen</t>
    </r>
    <r>
      <rPr>
        <sz val="11"/>
        <color theme="1"/>
        <rFont val="Calibre"/>
      </rPr>
      <t xml:space="preserve"> ... </t>
    </r>
    <r>
      <rPr>
        <b/>
        <sz val="11"/>
        <color theme="1"/>
        <rFont val="Calibre"/>
      </rPr>
      <t>they're not going to be allowed to exist</t>
    </r>
    <r>
      <rPr>
        <sz val="11"/>
        <color theme="1"/>
        <rFont val="Calibre"/>
      </rPr>
      <t>' ... uh 'there's no point'. They told us '</t>
    </r>
    <r>
      <rPr>
        <b/>
        <sz val="11"/>
        <color theme="1"/>
        <rFont val="Calibre"/>
      </rPr>
      <t>AI is going to be a  game of two or three big companies working closely with the government and we're going to basically wrap them up</t>
    </r>
    <r>
      <rPr>
        <sz val="11"/>
        <color theme="1"/>
        <rFont val="Calibre"/>
      </rPr>
      <t xml:space="preserve"> in a' ... you know I'm paraphrasing ... but 'we're going to basically </t>
    </r>
    <r>
      <rPr>
        <b/>
        <sz val="11"/>
        <color theme="1"/>
        <rFont val="Calibre"/>
      </rPr>
      <t>wrap them in a government cocoon we're going to protect them from competition. We're going to control them and we're going to dictate what they do.'</t>
    </r>
    <r>
      <rPr>
        <sz val="11"/>
        <color theme="1"/>
        <rFont val="Calibre"/>
      </rPr>
      <t xml:space="preserve">  Then I said 'well I don't understand how you're going to lock this down so much because like the math for AI is like out there and it's being taught everywhere and you know' ... They literally said 'well you know </t>
    </r>
    <r>
      <rPr>
        <b/>
        <sz val="11"/>
        <color theme="1"/>
        <rFont val="Calibre"/>
      </rPr>
      <t>during the Cold War we classified entire areas of physics and took them out of the research community and [those branches of] physics basically went dark and didn't proceed</t>
    </r>
    <r>
      <rPr>
        <sz val="11"/>
        <color theme="1"/>
        <rFont val="Calibre"/>
      </rPr>
      <t xml:space="preserve"> ... '</t>
    </r>
    <r>
      <rPr>
        <b/>
        <sz val="11"/>
        <color theme="1"/>
        <rFont val="Calibre"/>
      </rPr>
      <t>If we decide</t>
    </r>
    <r>
      <rPr>
        <sz val="11"/>
        <color theme="1"/>
        <rFont val="Calibre"/>
      </rPr>
      <t xml:space="preserve"> we need to </t>
    </r>
    <r>
      <rPr>
        <b/>
        <sz val="11"/>
        <color theme="1"/>
        <rFont val="Calibre"/>
      </rPr>
      <t>we're going to do the same thing to the math underneath AI</t>
    </r>
    <r>
      <rPr>
        <sz val="11"/>
        <color theme="1"/>
        <rFont val="Calibre"/>
      </rPr>
      <t>.'"</t>
    </r>
  </si>
  <si>
    <t xml:space="preserve">I really like the technicals of the actual business though … </t>
  </si>
  <si>
    <t>Google Chrome and it's integrated password manager serve as a huge moat for The Company … Chrome desktop users are not going to switch to any other browser because they’re locked into the Google ID system</t>
  </si>
  <si>
    <t>The only market player who has a huge chance of actively disrupting Google's traditional search monopoly is if AAPL uses their passsword management system and integrate in a new search partner (like Perplexity)</t>
  </si>
  <si>
    <t>GOOG Historical Returns</t>
  </si>
  <si>
    <t>Fri, 03 Oct 2025 00:00:00 GMT</t>
  </si>
  <si>
    <t>Thu, 02 Oct 2025 00:00:00 GMT</t>
  </si>
  <si>
    <t>Wed, 01 Oct 2025 00:00:00 GMT</t>
  </si>
  <si>
    <t>Tue, 30 Sep 2025 00:00:00 GMT</t>
  </si>
  <si>
    <t>Mon, 29 Sep 2025 00:00:00 GMT</t>
  </si>
  <si>
    <t>Fri, 26 Sep 2025 00:00:00 GMT</t>
  </si>
  <si>
    <t>Thu, 25 Sep 2025 00:00:00 GMT</t>
  </si>
  <si>
    <t>Wed, 24 Sep 2025 00:00:00 GMT</t>
  </si>
  <si>
    <t>Tue, 23 Sep 2025 00:00:00 GMT</t>
  </si>
  <si>
    <t>Mon, 22 Sep 2025 00:00:00 GMT</t>
  </si>
  <si>
    <t>Fri, 19 Sep 2025 00:00:00 GMT</t>
  </si>
  <si>
    <t>Thu, 18 Sep 2025 00:00:00 GMT</t>
  </si>
  <si>
    <t>Wed, 17 Sep 2025 00:00:00 GMT</t>
  </si>
  <si>
    <t>Tue, 16 Sep 2025 00:00:00 GMT</t>
  </si>
  <si>
    <t>Mon, 15 Sep 2025 00:00:00 GMT</t>
  </si>
  <si>
    <t>Fri, 12 Sep 2025 00:00:00 GMT</t>
  </si>
  <si>
    <t>Thu, 11 Sep 2025 00:00:00 GMT</t>
  </si>
  <si>
    <t>Wed, 10 Sep 2025 00:00:00 GMT</t>
  </si>
  <si>
    <t>Tue, 09 Sep 2025 00:00:00 GMT</t>
  </si>
  <si>
    <t>Mon, 08 Sep 2025 00:00:00 GMT</t>
  </si>
  <si>
    <t>Fri, 05 Sep 2025 00:00:00 GMT</t>
  </si>
  <si>
    <t>Thu, 04 Sep 2025 00:00:00 GMT</t>
  </si>
  <si>
    <t>Wed, 03 Sep 2025 00:00:00 GMT</t>
  </si>
  <si>
    <t>Tue, 02 Sep 2025 00:00:00 GMT</t>
  </si>
  <si>
    <t>Fri, 29 Aug 2025 00:00:00 GMT</t>
  </si>
  <si>
    <t>Thu, 28 Aug 2025 00:00:00 GMT</t>
  </si>
  <si>
    <t>Wed, 27 Aug 2025 00:00:00 GMT</t>
  </si>
  <si>
    <t>Tue, 26 Aug 2025 00:00:00 GMT</t>
  </si>
  <si>
    <t>Mon, 25 Aug 2025 00:00:00 GMT</t>
  </si>
  <si>
    <t>Fri, 22 Aug 2025 00:00:00 GMT</t>
  </si>
  <si>
    <t>Thu, 21 Aug 2025 00:00:00 GMT</t>
  </si>
  <si>
    <t>Wed, 20 Aug 2025 00:00:00 GMT</t>
  </si>
  <si>
    <t>Tue, 19 Aug 2025 00:00:00 GMT</t>
  </si>
  <si>
    <t>Mon, 18 Aug 2025 00:00:00 GMT</t>
  </si>
  <si>
    <t>Fri, 15 Aug 2025 00:00:00 GMT</t>
  </si>
  <si>
    <t>Thu, 14 Aug 2025 00:00:00 GMT</t>
  </si>
  <si>
    <t>Wed, 13 Aug 2025 00:00:00 GMT</t>
  </si>
  <si>
    <t>Tue, 12 Aug 2025 00:00:00 GMT</t>
  </si>
  <si>
    <t>Mon, 11 Aug 2025 00:00:00 GMT</t>
  </si>
  <si>
    <t>Fri, 08 Aug 2025 00:00:00 GMT</t>
  </si>
  <si>
    <t>Thu, 07 Aug 2025 00:00:00 GMT</t>
  </si>
  <si>
    <t>Wed, 06 Aug 2025 00:00:00 GMT</t>
  </si>
  <si>
    <t>Tue, 05 Aug 2025 00:00:00 GMT</t>
  </si>
  <si>
    <t>Mon, 04 Aug 2025 00:00:00 GMT</t>
  </si>
  <si>
    <t>Fri, 01 Aug 2025 00:00:00 GMT</t>
  </si>
  <si>
    <t>Thu, 31 Jul 2025 00:00:00 GMT</t>
  </si>
  <si>
    <t>Wed, 30 Jul 2025 00:00:00 GMT</t>
  </si>
  <si>
    <t>Tue, 29 Jul 2025 00:00:00 GMT</t>
  </si>
  <si>
    <t>Mon, 28 Jul 2025 00:00:00 GMT</t>
  </si>
  <si>
    <t>Fri, 25 Jul 2025 00:00:00 GMT</t>
  </si>
  <si>
    <t>Thu, 24 Jul 2025 00:00:00 GMT</t>
  </si>
  <si>
    <t>Wed, 23 Jul 2025 00:00:00 GMT</t>
  </si>
  <si>
    <t>Tue, 22 Jul 2025 00:00:00 GMT</t>
  </si>
  <si>
    <t>Mon, 21 Jul 2025 00:00:00 GMT</t>
  </si>
  <si>
    <t>Fri, 18 Jul 2025 00:00:00 GMT</t>
  </si>
  <si>
    <t>Thu, 17 Jul 2025 00:00:00 GMT</t>
  </si>
  <si>
    <t>Wed, 16 Jul 2025 00:00:00 GMT</t>
  </si>
  <si>
    <t>Tue, 15 Jul 2025 00:00:00 GMT</t>
  </si>
  <si>
    <t>Mon, 14 Jul 2025 00:00:00 GMT</t>
  </si>
  <si>
    <t>Fri, 11 Jul 2025 00:00:00 GMT</t>
  </si>
  <si>
    <t>Thu, 10 Jul 2025 00:00:00 GMT</t>
  </si>
  <si>
    <t>Wed, 09 Jul 2025 00:00:00 GMT</t>
  </si>
  <si>
    <t>Tue, 08 Jul 2025 00:00:00 GMT</t>
  </si>
  <si>
    <t>Mon, 07 Jul 2025 00:00:00 GMT</t>
  </si>
  <si>
    <t>Thu, 03 Jul 2025 00:00:00 GMT</t>
  </si>
  <si>
    <t>Wed, 02 Jul 2025 00:00:00 GMT</t>
  </si>
  <si>
    <t>Tue, 01 Jul 2025 00:00:00 GMT</t>
  </si>
  <si>
    <t>Mon, 30 Jun 2025 00:00:00 GMT</t>
  </si>
  <si>
    <t>Fri, 27 Jun 2025 00:00:00 GMT</t>
  </si>
  <si>
    <t>Thu, 26 Jun 2025 00:00:00 GMT</t>
  </si>
  <si>
    <t>Wed, 25 Jun 2025 00:00:00 GMT</t>
  </si>
  <si>
    <t>Tue, 24 Jun 2025 00:00:00 GMT</t>
  </si>
  <si>
    <t>Mon, 23 Jun 2025 00:00:00 GMT</t>
  </si>
  <si>
    <t>Fri, 20 Jun 2025 00:00:00 GMT</t>
  </si>
  <si>
    <t>Wed, 18 Jun 2025 00:00:00 GMT</t>
  </si>
  <si>
    <t>Tue, 17 Jun 2025 00:00:00 GMT</t>
  </si>
  <si>
    <t>Mon, 16 Jun 2025 00:00:00 GMT</t>
  </si>
  <si>
    <t>Fri, 13 Jun 2025 00:00:00 GMT</t>
  </si>
  <si>
    <t>Thu, 12 Jun 2025 00:00:00 GMT</t>
  </si>
  <si>
    <t>Wed, 11 Jun 2025 00:00:00 GMT</t>
  </si>
  <si>
    <t>Tue, 10 Jun 2025 00:00:00 GMT</t>
  </si>
  <si>
    <t>Mon, 09 Jun 2025 00:00:00 GMT</t>
  </si>
  <si>
    <t>Fri, 06 Jun 2025 00:00:00 GMT</t>
  </si>
  <si>
    <t>Thu, 05 Jun 2025 00:00:00 GMT</t>
  </si>
  <si>
    <t>Wed, 04 Jun 2025 00:00:00 GMT</t>
  </si>
  <si>
    <t>Tue, 03 Jun 2025 00:00:00 GMT</t>
  </si>
  <si>
    <t>Mon, 02 Jun 2025 00:00:00 GMT</t>
  </si>
  <si>
    <t>Fri, 30 May 2025 00:00:00 GMT</t>
  </si>
  <si>
    <t>Thu, 29 May 2025 00:00:00 GMT</t>
  </si>
  <si>
    <t>Wed, 28 May 2025 00:00:00 GMT</t>
  </si>
  <si>
    <t>Tue, 27 May 2025 00:00:00 GMT</t>
  </si>
  <si>
    <t>Fri, 23 May 2025 00:00:00 GMT</t>
  </si>
  <si>
    <t>Thu, 22 May 2025 00:00:00 GMT</t>
  </si>
  <si>
    <t>Wed, 21 May 2025 00:00:00 GMT</t>
  </si>
  <si>
    <r>
      <rPr>
        <i/>
        <sz val="11"/>
        <color theme="1"/>
        <rFont val="Calibre"/>
      </rPr>
      <t>1760</t>
    </r>
    <r>
      <rPr>
        <sz val="11"/>
        <color theme="1"/>
        <rFont val="Calibre"/>
      </rPr>
      <t xml:space="preserve"> Trading Days? (From: </t>
    </r>
    <r>
      <rPr>
        <i/>
        <sz val="11"/>
        <color theme="1"/>
        <rFont val="Calibre"/>
      </rPr>
      <t>10/6/18 - 10/26/25</t>
    </r>
    <r>
      <rPr>
        <sz val="11"/>
        <color theme="1"/>
        <rFont val="Calibre"/>
      </rPr>
      <t>)</t>
    </r>
  </si>
  <si>
    <t>VOO Historical Returns</t>
  </si>
  <si>
    <t>Alphabet - Gmail's Differentiated Success:</t>
  </si>
  <si>
    <t>Alphabet - Deep Learning / AI Research Commentary:</t>
  </si>
  <si>
    <t xml:space="preserve">In the late 90's and early 2000's there was an email platform boom, with companies competing to offer "free email accounts," usually with limited inbox storage space ranging from ~2-10mbs </t>
  </si>
  <si>
    <t>Leading services included Hotmail (2mb inbox offering, Yahoo! Mail (4mb inbox offering), and AOL (2mb inbox offering)</t>
  </si>
  <si>
    <t>The limited free storage space offered forced users to delete emails, pay a service fee for upgraded storage, or force the user to migrate to another email inbox provider … the latter being a key behavior Google's management made note of</t>
  </si>
  <si>
    <t>In 2004, Google launched Gmail, with 1GB of free storage for users once they signed up … this was a dramatic shift from the norm which set Gmail apart from competitors offering much smaller inbox storage space</t>
  </si>
  <si>
    <t>The much larger free storage led many users to migrate to Gmail … Gmail userbase leapfrogged many of the legacy firms and their user numbers</t>
  </si>
  <si>
    <t>Soon, competing firms began raising their free available storage ... In turn, Google raised Gmails available storage (from 2GB to 10+GB) which allowed The Company to maintain a competitive edge in the space … other firms were second movers in an ams race they didn't even grasp until it was too late</t>
  </si>
  <si>
    <t xml:space="preserve">The large inbox Google offered "encouraged" users to store years worth of emails, making another “migration” to another service increasingly complex </t>
  </si>
  <si>
    <t xml:space="preserve">"it's easy to ditch a platform if you have a few spam emails taking up the storage space … it's difficult to leave a platform when you have 3 years and 10GBs of data to back up and deal with" </t>
  </si>
  <si>
    <t xml:space="preserve">Google's offering created a “lock-in” for users since relocating thousands of messages to a new service was tedious and technically difficult for the average Google user … lol … but incredibly cunning </t>
  </si>
  <si>
    <t>This storage arms-race advantage contributed to Gmail’s rapid market share growth and long-term dominance</t>
  </si>
  <si>
    <t>As legacy providers like Hotmail, Yahoo and AOL fell to the wayside, Gmail and Outlook took significant market share of the consumer and enterprise email inbox market … both serve as unassailable ecosystem offerings for the tech giants</t>
  </si>
  <si>
    <t>In August 2015, Dexcom DXCM entered into a joint partnership with Google's life sciences team (later branded as Verily Life Sciences) to develop next-generation continuous glucose monitoring (CGM) products for the market</t>
  </si>
  <si>
    <t xml:space="preserve">The collaboration aimed to combine Google’s miniaturized electronics platform with Dexcom's sensor technology </t>
  </si>
  <si>
    <t>This allowed the team to create smaller, less expensive and disposable CGM sensors … This built out DXCM's patch business which monitors and beams data back to the DXCM app</t>
  </si>
  <si>
    <t>On October 2nd, 2025 Management  announced that it has been working for the last 2.5 yeart to separate Verily Life Sciences into an independent company, spun off from Alphabet</t>
  </si>
  <si>
    <t>Alphabet - Verily Life Sciences Subsidiary:</t>
  </si>
  <si>
    <t>The technical and operational separation of Verily from Google's infrastructure was completed at the end of 2024 … Management reported that Verily has transitioned its systems to the Google Cloud Platform to operate independently while still under Alphabet's umbrella</t>
  </si>
  <si>
    <t>The goal is for Verily to become fully independent, potentially as its own public company or through a sale to outside investors … I'm hoping for an IPO</t>
  </si>
  <si>
    <t>Managers insists The Company intends to remain a significant shareholder in Verily but aims to open the door for fresh external investment to fuel its growth</t>
  </si>
  <si>
    <t>This move is part of Alphabet’s broader strategy to restructure its "Other Bets" division, encouraging ambitious projects like Verily to operate more like independent startups rather than as internal divisions</t>
  </si>
  <si>
    <t>Management was probably getting ready for Alphabet as a whole to be broken up from the Antitrust suit ... but that was before current admin and the lax SEC regime got into office</t>
  </si>
  <si>
    <t xml:space="preserve">The spinout reflects Verily’s focus on health-related technology and medical research distinct from Google’s core advertising business, especially amid scrutiny in the DOJ's antitrust case against Google's ad tech monopoly  </t>
  </si>
  <si>
    <t xml:space="preserve">It has been reported that Verily is shifting from an LLC structure to a C-corp ... positioning itself to be more attractive to investors … will they go for public or private market investment … hopefully an IPO </t>
  </si>
  <si>
    <t>As of August, Verily has exited the Medical device manufacturing market … Recently Verily managers have expressed increased focus on AI-driven health technology solutions</t>
  </si>
  <si>
    <t>Dexcom Stake:</t>
  </si>
  <si>
    <t>This change, which included layoffs, marks a reorientation away from capital-intensive hardware and toward AI-powered software solutions for clinical research and precision health</t>
  </si>
  <si>
    <t>Google initiated the TPU effort in 2015 primarily to address internal compute demands for searches, YouTube, and other services</t>
  </si>
  <si>
    <t>As the cloud compute and AI market expanded, TPUs became an offering through Google Cloud Platform (GCP) ... Unlike NVIDIA GPUs, which are more general-purpose and capable of graphics-related tasks, TPUs are custom-built specifically for AI and machine learning computations</t>
  </si>
  <si>
    <t>This specialization in TPU's yields superior performance on specific workloads when compared to NVIDIA GPUs</t>
  </si>
  <si>
    <t>TPUs excel at both training and inference workloads, though the latest version (V6, codenamed Ironwood) is specifically optimized for inference</t>
  </si>
  <si>
    <t>Prior versions of the TPU were designed for both large language model training and inference</t>
  </si>
  <si>
    <t xml:space="preserve">Market data indicates TPUs account for approximately 2-4% of all training deployments, while NVIDIA holds roughly 80% market share although TPU usage has ticked up a few basis points in 2025 </t>
  </si>
  <si>
    <t>Regarding total cost of ownership, which includes power consumption and chip cost, It is widely reported Google TPUs demonstrate advantages over NVIDIA GPUs from an energy efficiency and cost to manufacture / rent to cloud compute customers</t>
  </si>
  <si>
    <t>CUDA as the primary reason for NVIDIA's dominant moat in the AI ecosystem, calling it the de facto standard with extensive existing code and software libraries</t>
  </si>
  <si>
    <t>This creates significant stickiness, making it extremely difficult for customers to migrate their infrastructure from NVIDIA GPU-based data centers to TPUs or other custom AI accelerators</t>
  </si>
  <si>
    <t>Google is attempting a similar vertical integration strategy with their own software stack ... If customers actively engage with Google and establish their infrastructure on TPUs, they would face comparable difficulty migrating back to NVIDIA</t>
  </si>
  <si>
    <t>When comparing Google TPUs to Microsoft's Maia chip (MSFT's ASIC) and AWS's Trainium chip (AMZN's ASIC), the expert noted that both Microsoft and AWS started their chip efforts later than Google and have been less aggressive in design optimization</t>
  </si>
  <si>
    <t>Something to watch out for though … Ultimately NVDA's biggest risk is its current customer base, and their potential efforts to throw out NVDA in favor of custom silicon designs … That day is far away, but there is a trend … just look at AVGO</t>
  </si>
  <si>
    <t>It is understood by the market that MSFTs Maia chip is inferior to GOOG's TPU offering</t>
  </si>
  <si>
    <t>It has been reported that OpenAI is also definitely pursuing a custom silicon chip, having built a team led by a former senior director from Google's TPU group …  However, they don't yet have working silicon and are either in the design phase or close to producing their first silicon
prototype, based on current info</t>
  </si>
  <si>
    <t>Anthropic, conversely, is not building their own silicon but is using TPUs as part of their machine mix, according to the expert's internet research</t>
  </si>
  <si>
    <t>Analysts describe  Google's smart organizational approach to ASIC chip design, maintaining a lean team by largely outsourcing design hardening to AVGO</t>
  </si>
  <si>
    <t>Google handles the chip architecture and writes the Verilog, then hands it to AVGO for implementation</t>
  </si>
  <si>
    <t>Google focuses on architecting the TPU itself, while Broadcom provides the skeleton of peripheral components needed to build a chip around the TPU—including inputs/outputs like PCIe, UCIe components, USBs, analog components, and interconnects ... Google does not handle most of these peripheral elements</t>
  </si>
  <si>
    <t>This division of labor enables significant innovation despite not having as large a team as some merchant chip manufacturers (i.e. NVDA, AMD, INTC)</t>
  </si>
  <si>
    <t>Additionally, because Google controls the full software stack, they can aggressively optimize hardware according to software - similar to NVIDIA with CUDA, but unlike Intel or AMD who may not control the complete end-to-end software stack</t>
  </si>
  <si>
    <t>TPUs undergo continuous improvements with full-stack integration between software and hardware within Googles cloud ecosystem, making them superior to NVIDIA solutions in that aspect</t>
  </si>
  <si>
    <t>It has been rumored that Waymo generates more revenue in the SF area than Lyft … Uber #1 , Waymo #2, Lyft #3 … very interesting … Customers for Waymo hail the ride service through the Uber App</t>
  </si>
  <si>
    <t>Waymo has navigated these challenges exceptionally well, with "really impressive people on their legal and safety teams"</t>
  </si>
  <si>
    <t>Current expert consensus believes that in order to achieve adoption of autonomous vehicles at scale, the U.S. is still facing significant future regulatory headwinds</t>
  </si>
  <si>
    <t>Analysts are predicting regulatory demands will only increase in the U.S., especially as more vehicles enter roads and more safety accidents occur … one class action lawsuit (most likely directed at TSLA) could really muck up the market</t>
  </si>
  <si>
    <t>The technology is either good or it isn't … Firms either have good engineers with the vision and ability to execute, or they don't … I put Waymo a step above all other current operators</t>
  </si>
  <si>
    <t xml:space="preserve">There are still plenty of AI startups focused on supporting the Autonomous Vehicle buildout … Many of these company’s were talking about exiting ideas and received rounds of funding … I predict there will be more exits as the market consolidates around a few unicorn projects … essentially already a duopoly between TSLA and GOOG </t>
  </si>
  <si>
    <t>Experts have discussed that there may not even be a consolidation period … Startups will just exit and die ... Neither GOOG nor TSLA need any of these start ups nor the technology they offer</t>
  </si>
  <si>
    <t>Additionally, I could see TSLA throwing around some money to acquire technologies in order to fill deficits in their current offering</t>
  </si>
  <si>
    <t>The Autonomous Vehicle market is understood to be relatively difficult for start-ups to enter and operate in because of the regulatory constraints and capital demands necessary to push the industry forward</t>
  </si>
  <si>
    <t>Enables enterprises to build, train, and deploy AI models efficiently with options such as high-performance GPUs, TPUs, managed Kubernetes, and integrated orchestration</t>
  </si>
  <si>
    <t>Supports industry-standard frameworks (TensorFlow, PyTorch), and offers automated ML pipelines and infrastructure-as-code for large-scale AI deployments</t>
  </si>
  <si>
    <t>Vertex AI streamlines the ML lifecycle, enabling rapid data labeling, feature engineering, model versioning, and MLOps automation</t>
  </si>
  <si>
    <t>Integration with BigQuery ML, AutoML, and responsible AI tools helps businesses operationalize AI while maintaining governance and high-quality outputs</t>
  </si>
  <si>
    <t>Services include advanced threat detection (Chronicle, Security Command Center), identity and access management (IAM), security analytics, encryption at rest and in transit, cloud firewall, DDoS protection, and compliance management for regulatory needs</t>
  </si>
  <si>
    <t>On March 18th, 2025, Management annouced their intentions to acquire a private cloud security provider - Wiz - for $32 billion … If the acquisition goes through, it will be Google's largest transaction to date</t>
  </si>
  <si>
    <t xml:space="preserve">The plan to integrate Wiz represents a strategic shift from Management … The move is expected to make Google’s security capabilities more attractive for enterprises embracing multi-cloud and AI-driven architectures, fueling further growth in its cloud business from the entropies customer base </t>
  </si>
  <si>
    <t>Google's DeepMind ML program is powered by the Tensor Processing Unit (TPU) , a specialized ASIC chip designed by Google for specific workloads</t>
  </si>
  <si>
    <t>Google sells TPUs through Google Cloud at hourly usage rates, with active customers using them for both training and inference use cases … TPUs remain a very small portion of the wider training and inference market</t>
  </si>
  <si>
    <t xml:space="preserve">Almost all high-flying data scientists have been trained and are most comfortable on CUDA … The CUDA library is an incredible moat for NVDA  … TPUs on the other hand have a less user friendly programming environment </t>
  </si>
  <si>
    <t>From a performance per watt perspective TPUs greatly outperform GPUs and remain comparable in certain use cases … Analysts are expecting continued performance per watt and chip architecture improvements</t>
  </si>
  <si>
    <t>However, from an end customer's perspective where ease of use matters, TPUs underperform NVIDIA's offering due to the CUDA software moat</t>
  </si>
  <si>
    <r>
      <t xml:space="preserve">Mawakana (Co-CEO of Waymo) stated in </t>
    </r>
    <r>
      <rPr>
        <b/>
        <sz val="11"/>
        <color theme="1"/>
        <rFont val="Calibre"/>
      </rPr>
      <t>May 2025</t>
    </r>
    <r>
      <rPr>
        <sz val="11"/>
        <color theme="1"/>
        <rFont val="Calibre"/>
      </rPr>
      <t>: "</t>
    </r>
    <r>
      <rPr>
        <b/>
        <sz val="11"/>
        <color theme="1"/>
        <rFont val="Calibre"/>
      </rPr>
      <t>Waymo is announcing today that we have completed over 10 million paid autonomously driven trips</t>
    </r>
    <r>
      <rPr>
        <sz val="11"/>
        <color theme="1"/>
        <rFont val="Calibre"/>
      </rPr>
      <t>" … "</t>
    </r>
    <r>
      <rPr>
        <b/>
        <sz val="11"/>
        <color theme="1"/>
        <rFont val="Calibre"/>
      </rPr>
      <t xml:space="preserve">This essentially represents scale across Austin, Los Angeles, San Francisco, </t>
    </r>
    <r>
      <rPr>
        <sz val="11"/>
        <color theme="1"/>
        <rFont val="Calibre"/>
      </rPr>
      <t xml:space="preserve">as well as </t>
    </r>
    <r>
      <rPr>
        <b/>
        <sz val="11"/>
        <color theme="1"/>
        <rFont val="Calibre"/>
      </rPr>
      <t>Pheonix</t>
    </r>
    <r>
      <rPr>
        <sz val="11"/>
        <color theme="1"/>
        <rFont val="Calibre"/>
      </rPr>
      <t xml:space="preserve">" … </t>
    </r>
  </si>
  <si>
    <t xml:space="preserve">YouTube Video: </t>
  </si>
  <si>
    <t xml:space="preserve">Waymo has established and successfully maintained relationships with regulatory body's including the NHTSA, USDOT, FMCSA as well as state regulators … Waymo has received approval to operate autonomous vehicle services in California and New York … 2 of the most regulated states in the union </t>
  </si>
  <si>
    <t>Analysts also acknowledge that Waymo has substantial trust with regulators, which is what everything boils down to in the U.S. … how much trust firms have with regulators</t>
  </si>
  <si>
    <t>Engineering talent represents the main cost driver … Companies need exceptionally talented engineers who constantly iterate on the technology and conduct test runs …  Beyond Waymo's, smaller companies have already struggled because the need for substantial numbers of highly talented engineers and extensive real-world test run data</t>
  </si>
  <si>
    <t>This is most likely why Cruise, backed by GM, exited the market … Incredible amounts of investment into hardware, human capital, and regulatory approvals … revenue for autonomous vehicles has been at a minimum before 2025 … last man standing wins environment?</t>
  </si>
  <si>
    <t>I still think there could be some discounted value and GOOG loves to through around money to own technologies whether they actually plan on integrating it or not</t>
  </si>
  <si>
    <t>Wiz’s innovative platform offers visibility and real-time risk management across major public clouds (AWS, Azure, Google Cloud, Oracle Cloud), enhancing Google’s reach far beyond its native environment</t>
  </si>
  <si>
    <t>Prior to this acquisition, Google Cloud’s portfolio included Chronicle (threat analytics), Mandiant (incident response), and BeyondCorp (zero trust networking). Wiz adds a developer-friendly, unified risk detection and visibility layer, streamlining multi-cloud security management</t>
  </si>
  <si>
    <t>This acquisition offers a comprehensive security suite to clients … allows The Company to compete with MSFT's azure security offering making MSFT and GOOG relative peer competitors if the deal were to go through</t>
  </si>
  <si>
    <t>Security buyers prefer fewer, integrated platforms versus many point solutions; Google-Wiz synergy meets this demand and increases competitive pressure on AWS/Microsoft</t>
  </si>
  <si>
    <t>The deal is expected to go through in early 2026 … Not only will the deal set a record as GOOGs largest transaction if it is completed, but if the deal fails to go through due to a regulatory hold up, the transaction has one of the largest termination fees ever seen in M&amp;A history</t>
  </si>
  <si>
    <t>If the Google acquisition of Wiz does not go through, Google is contractually obligated to pay Wiz a breakup or termination fee of approximately $3.2 billion, which is around 10% of the deals value … This is a record sum of money for a breakup fee</t>
  </si>
  <si>
    <t>Exceptionally large breakup fee compared to typical M&amp;A deals, which often range from 2-7% of a transaction's value</t>
  </si>
  <si>
    <t xml:space="preserve">The unusually high fee reflects regulatory risks and complexities that delayed the deal and made Wiz demand strong compensation for the possibility of a failed acquisition due to antitrust regulatory blocks … The deal was hashed out well before Google's antitrust ruling making Wiz management's concerns legitimate </t>
  </si>
  <si>
    <t>Wiz initially resisted earlier offers in 2024 partly due to uncertainty over regulatory approval and their management team was gearing up to pursue an IPO ... However, talks with Google resumed in early 2025 under a government climate perceived as more merger-friendly administration (muzzled FTC with Lina Khan out the door)</t>
  </si>
  <si>
    <t>Core products include BigQuery for serverless analytics, Dataproc for scalable data processing, Dataflow for stream/batch data, Pub/Sub for real-time messaging, and Looker Studio (formerly Data Studio) for flexible business intelligence and visualization</t>
  </si>
  <si>
    <t>Supports big data workloads and enables machine learning on structured/unstructured data</t>
  </si>
  <si>
    <t>Workspaces offers secure enterprise-grade communication, shared document editing in real-time, workflow automation (AppSheet), and integration with third-party business applications and APIs</t>
  </si>
  <si>
    <t>Used by leaner firms who have yet to switch to MS office … lol</t>
  </si>
  <si>
    <t>Managment sees tremendous potential for devices to be helpful and make people's lives easier by combining the best of our AI, software, and hardware</t>
  </si>
  <si>
    <t>This potential is reflected in The Company's latest generation of devices, such as the new Pixel 9 series and the Pixel Watch 3</t>
  </si>
  <si>
    <t>Q3'25</t>
  </si>
  <si>
    <t>In April 2025, Google's parent company, Alphabet, issued $5 billion in U.S. dollar-denominated senior notes and its first-ever offering of €6.75 billion in euro-denominated senior notes</t>
  </si>
  <si>
    <t>Killed By GOOGLE</t>
  </si>
  <si>
    <t>https://killedbygoogle.com/</t>
  </si>
  <si>
    <t>Dark Web Reports</t>
  </si>
  <si>
    <t>Tables by A120</t>
  </si>
  <si>
    <t>Google Jamboard</t>
  </si>
  <si>
    <t>Jamboard</t>
  </si>
  <si>
    <t>Chromecast</t>
  </si>
  <si>
    <t>VPN by Google One</t>
  </si>
  <si>
    <t>DropCam</t>
  </si>
  <si>
    <t>Google Podcasts</t>
  </si>
  <si>
    <t>Keen</t>
  </si>
  <si>
    <t>Google Cache</t>
  </si>
  <si>
    <t>Google Domains</t>
  </si>
  <si>
    <t>Google Optimize</t>
  </si>
  <si>
    <t>Pixel Pass</t>
  </si>
  <si>
    <t>Google Cloud IoT Core</t>
  </si>
  <si>
    <t>Google Album Archive</t>
  </si>
  <si>
    <t>YouTube Stories</t>
  </si>
  <si>
    <t>Grasshopper</t>
  </si>
  <si>
    <t>Conversational Actions</t>
  </si>
  <si>
    <t>Google Currents (2019)</t>
  </si>
  <si>
    <t>Google Street View (standalone app)</t>
  </si>
  <si>
    <t>Jacquard</t>
  </si>
  <si>
    <t>Google Code Competitions</t>
  </si>
  <si>
    <t>Google Stadia</t>
  </si>
  <si>
    <t>Google OnHub</t>
  </si>
  <si>
    <t>YouTube Originals</t>
  </si>
  <si>
    <t>Threadit</t>
  </si>
  <si>
    <t>Duplex on the Web</t>
  </si>
  <si>
    <t>Google Hangouts</t>
  </si>
  <si>
    <t>Google Surveys</t>
  </si>
  <si>
    <t>YouTube Go</t>
  </si>
  <si>
    <t>Google My Business (app)</t>
  </si>
  <si>
    <t>Google Chrome Apps</t>
  </si>
  <si>
    <t>Kormo Jobs</t>
  </si>
  <si>
    <t>Android Auto for phone screens</t>
  </si>
  <si>
    <t>Google Duo</t>
  </si>
  <si>
    <t>G Suite (Legacy Free Edition)</t>
  </si>
  <si>
    <t>Google Assistant Snapshot</t>
  </si>
  <si>
    <t>Cameos on Google</t>
  </si>
  <si>
    <t>Android Things</t>
  </si>
  <si>
    <t>AngularJS</t>
  </si>
  <si>
    <t>Streams</t>
  </si>
  <si>
    <t>Material Gallery</t>
  </si>
  <si>
    <t>Google Toolbar</t>
  </si>
  <si>
    <t>Google Sites (Classic)</t>
  </si>
  <si>
    <t>Your News Update</t>
  </si>
  <si>
    <t>Backup and Sync</t>
  </si>
  <si>
    <t>Google Bookmarks</t>
  </si>
  <si>
    <t>Chatbase</t>
  </si>
  <si>
    <t>VR180 Creator</t>
  </si>
  <si>
    <t>Posts on Google</t>
  </si>
  <si>
    <t>Fitbit Coach</t>
  </si>
  <si>
    <t>Fitstar Yoga</t>
  </si>
  <si>
    <t>Tour Builder</t>
  </si>
  <si>
    <t>Expeditions</t>
  </si>
  <si>
    <t>Tour Creator</t>
  </si>
  <si>
    <t>Poly</t>
  </si>
  <si>
    <t>Google Play Movies &amp; TV</t>
  </si>
  <si>
    <t>Measure</t>
  </si>
  <si>
    <t>Polymer</t>
  </si>
  <si>
    <t>Google Shopping Mobile App</t>
  </si>
  <si>
    <t>Google Public Alerts</t>
  </si>
  <si>
    <t>Google Go Links</t>
  </si>
  <si>
    <t>Google Crisis Map</t>
  </si>
  <si>
    <t>Swift for TensorFlow</t>
  </si>
  <si>
    <t>Loon</t>
  </si>
  <si>
    <t>App Maker</t>
  </si>
  <si>
    <t>Google Cloud Print</t>
  </si>
  <si>
    <t>Google Home Max</t>
  </si>
  <si>
    <t>Science Journal</t>
  </si>
  <si>
    <t>YouTube VR (SteamVR)</t>
  </si>
  <si>
    <t>Trusted Contacts</t>
  </si>
  <si>
    <t>Google Play Music</t>
  </si>
  <si>
    <t>Nest Secure</t>
  </si>
  <si>
    <t>YouTube Community Contributions</t>
  </si>
  <si>
    <t>Hire by Google</t>
  </si>
  <si>
    <t>Password Checkup extension</t>
  </si>
  <si>
    <t>Playground AR</t>
  </si>
  <si>
    <t>Focals by North</t>
  </si>
  <si>
    <t>CallJoy</t>
  </si>
  <si>
    <t>Google Photos Print</t>
  </si>
  <si>
    <t>Pigeon Transit</t>
  </si>
  <si>
    <t>Enhanced 404 Pages</t>
  </si>
  <si>
    <t>Shoelace</t>
  </si>
  <si>
    <t>Neighbourly</t>
  </si>
  <si>
    <t>Google Contributor</t>
  </si>
  <si>
    <t>Material Theme Editor</t>
  </si>
  <si>
    <t>Google Station</t>
  </si>
  <si>
    <t>One Today</t>
  </si>
  <si>
    <t>Androidify</t>
  </si>
  <si>
    <t>Google Fiber TV</t>
  </si>
  <si>
    <t>Field Trip</t>
  </si>
  <si>
    <t>AdSense (mobile app)</t>
  </si>
  <si>
    <t>Google Correlate</t>
  </si>
  <si>
    <t>Google Translator Toolkit</t>
  </si>
  <si>
    <t>Google Fusion Tables</t>
  </si>
  <si>
    <t>Google Bulletin</t>
  </si>
  <si>
    <t>Touring Bird</t>
  </si>
  <si>
    <t>Game Builder</t>
  </si>
  <si>
    <t>Datally</t>
  </si>
  <si>
    <t>Google Clips</t>
  </si>
  <si>
    <t>Google Daydream</t>
  </si>
  <si>
    <t>YouTube Leanback</t>
  </si>
  <si>
    <t>Message Center</t>
  </si>
  <si>
    <t>Follow Your World</t>
  </si>
  <si>
    <t>G Suite Training</t>
  </si>
  <si>
    <t>YouTube Messages</t>
  </si>
  <si>
    <t>YouTube for Nintendo 3DS</t>
  </si>
  <si>
    <t>Works with Nest API</t>
  </si>
  <si>
    <t>Google Trips</t>
  </si>
  <si>
    <t>Hangouts on Air</t>
  </si>
  <si>
    <t>Personal Blocklist</t>
  </si>
  <si>
    <t>Dragonfly</t>
  </si>
  <si>
    <t>Google Jump</t>
  </si>
  <si>
    <t>Blog Compass</t>
  </si>
  <si>
    <t>Areo</t>
  </si>
  <si>
    <t>YouTube Gaming</t>
  </si>
  <si>
    <t>Google Cloud Messaging (GCM)</t>
  </si>
  <si>
    <t>Data Saver Extension for Chrome</t>
  </si>
  <si>
    <t>Inbox by Gmail</t>
  </si>
  <si>
    <t>Google URL Shortener</t>
  </si>
  <si>
    <t>Google Spotlight Stories</t>
  </si>
  <si>
    <t>Google Allo</t>
  </si>
  <si>
    <t>Google Notification Widget (Mr. Jingles)</t>
  </si>
  <si>
    <t>YouTube Video Annotations</t>
  </si>
  <si>
    <t>Google Realtime API</t>
  </si>
  <si>
    <t>Chromecast Audio</t>
  </si>
  <si>
    <t>Google Search Appliance</t>
  </si>
  <si>
    <t>Google Nearby Notifications</t>
  </si>
  <si>
    <t>Google Pinyin IME</t>
  </si>
  <si>
    <t>Google News &amp; Weather</t>
  </si>
  <si>
    <t>Reply</t>
  </si>
  <si>
    <t>Tez</t>
  </si>
  <si>
    <t>Save to Google Chrome Extension</t>
  </si>
  <si>
    <t>Google Play Newsstand</t>
  </si>
  <si>
    <t>Encrypted Search</t>
  </si>
  <si>
    <t>Google Cloud Prediction API</t>
  </si>
  <si>
    <t>Google Site Search</t>
  </si>
  <si>
    <t>reCAPTCHA Mailhide</t>
  </si>
  <si>
    <t>SoundStage</t>
  </si>
  <si>
    <t>Project Tango</t>
  </si>
  <si>
    <t>Google Portfolios</t>
  </si>
  <si>
    <t>YouTube Video Editor</t>
  </si>
  <si>
    <t>Glass OS</t>
  </si>
  <si>
    <t>Google Map Maker</t>
  </si>
  <si>
    <t>Chromebook Pixel</t>
  </si>
  <si>
    <t>Google Spaces</t>
  </si>
  <si>
    <t>Google Hands Free</t>
  </si>
  <si>
    <t>Build with Chrome</t>
  </si>
  <si>
    <t>Gesture Search</t>
  </si>
  <si>
    <t>Google Showtimes</t>
  </si>
  <si>
    <t>Google Nexus</t>
  </si>
  <si>
    <t>Together</t>
  </si>
  <si>
    <t>Project Ara</t>
  </si>
  <si>
    <t>Web Hosting in Google Drive</t>
  </si>
  <si>
    <t>Google Swiffy</t>
  </si>
  <si>
    <t>Google Wallet Card</t>
  </si>
  <si>
    <t>Nexus Player</t>
  </si>
  <si>
    <t>Freebase</t>
  </si>
  <si>
    <t>MyTracks</t>
  </si>
  <si>
    <t>uWeave</t>
  </si>
  <si>
    <t>Google Compare</t>
  </si>
  <si>
    <t>Google Maps Coordinate</t>
  </si>
  <si>
    <t>Google Maps Engine</t>
  </si>
  <si>
    <t>Google Code</t>
  </si>
  <si>
    <t>Google Blog Search API</t>
  </si>
  <si>
    <t>Google Earth Browser Plug-in</t>
  </si>
  <si>
    <t>Google Flu Trends</t>
  </si>
  <si>
    <t>Google Catalogs</t>
  </si>
  <si>
    <t>Google Moderator</t>
  </si>
  <si>
    <t>Android @ Home</t>
  </si>
  <si>
    <t>Google Helpouts</t>
  </si>
  <si>
    <t>YouTube for PS Vita</t>
  </si>
  <si>
    <t>BebaPay</t>
  </si>
  <si>
    <t>Google Play Edition</t>
  </si>
  <si>
    <t>Google Glass Explorer Edition</t>
  </si>
  <si>
    <t>Word Lens</t>
  </si>
  <si>
    <t>Orkut</t>
  </si>
  <si>
    <t>Google Questions and Answers</t>
  </si>
  <si>
    <t>Google Schemer</t>
  </si>
  <si>
    <t>Google Chrome Frame</t>
  </si>
  <si>
    <t>Google Notifier</t>
  </si>
  <si>
    <t>Bump!</t>
  </si>
  <si>
    <t>Google Checkout</t>
  </si>
  <si>
    <t>Google Trader</t>
  </si>
  <si>
    <t>Google Reader</t>
  </si>
  <si>
    <t>Nexus Q</t>
  </si>
  <si>
    <t>Building Maker</t>
  </si>
  <si>
    <t>Google Talk</t>
  </si>
  <si>
    <t>Google SMS</t>
  </si>
  <si>
    <t>Google Cloud Connect</t>
  </si>
  <si>
    <t>Google Chart API</t>
  </si>
  <si>
    <t>Google Mini</t>
  </si>
  <si>
    <t>AdSense for Feeds</t>
  </si>
  <si>
    <t>Google Listen</t>
  </si>
  <si>
    <t>Google Refine</t>
  </si>
  <si>
    <t>Google Insights for Search</t>
  </si>
  <si>
    <t>Google Video</t>
  </si>
  <si>
    <t>Google Commerce Search</t>
  </si>
  <si>
    <t>Needlebase</t>
  </si>
  <si>
    <t>Knol</t>
  </si>
  <si>
    <t>Google Wave</t>
  </si>
  <si>
    <t>Google Flu Vaccine Finder</t>
  </si>
  <si>
    <t>Google One Pass</t>
  </si>
  <si>
    <t>Google Related</t>
  </si>
  <si>
    <t>Urchin</t>
  </si>
  <si>
    <t>Slide</t>
  </si>
  <si>
    <t>Google Friend Connect</t>
  </si>
  <si>
    <t>Google Code Search</t>
  </si>
  <si>
    <t>Google Health</t>
  </si>
  <si>
    <t>Noop Programming Language</t>
  </si>
  <si>
    <t>Google Buzz</t>
  </si>
  <si>
    <t>Gears</t>
  </si>
  <si>
    <t>Google Notebook</t>
  </si>
  <si>
    <t>ZygoteBody</t>
  </si>
  <si>
    <t>Google PowerMeter</t>
  </si>
  <si>
    <t>Google Squared</t>
  </si>
  <si>
    <t>Google Sidewiki</t>
  </si>
  <si>
    <t>Google Pack</t>
  </si>
  <si>
    <t>Google Fast Flip</t>
  </si>
  <si>
    <t>Google Dictionary</t>
  </si>
  <si>
    <t>Google Labs</t>
  </si>
  <si>
    <t>Google Rebang</t>
  </si>
  <si>
    <t>Google Directory</t>
  </si>
  <si>
    <t>Google Image Swirl</t>
  </si>
  <si>
    <t>Google Real-Time Search</t>
  </si>
  <si>
    <t>Google Script Converter</t>
  </si>
  <si>
    <t>Google Sets</t>
  </si>
  <si>
    <t>Google Specialized Search</t>
  </si>
  <si>
    <t>Google Hotpot</t>
  </si>
  <si>
    <t>fflick</t>
  </si>
  <si>
    <t>Google Base</t>
  </si>
  <si>
    <t>GOOG-411</t>
  </si>
  <si>
    <t>Google SearchWiki</t>
  </si>
  <si>
    <t>YouTube Streams</t>
  </si>
  <si>
    <t>Marratech e-meetings</t>
  </si>
  <si>
    <t>Google Web APIs</t>
  </si>
  <si>
    <t>Google Ride Finder</t>
  </si>
  <si>
    <t>Google Toolbar for Firefox</t>
  </si>
  <si>
    <t>Google Radio Automation</t>
  </si>
  <si>
    <t>On2 Flix Cloud</t>
  </si>
  <si>
    <t>Google Mashup Editor</t>
  </si>
  <si>
    <t>Google Shared Stuff</t>
  </si>
  <si>
    <t>Grand Central</t>
  </si>
  <si>
    <t>Google Audio Ads</t>
  </si>
  <si>
    <t>Google Lively</t>
  </si>
  <si>
    <t>SearchMash</t>
  </si>
  <si>
    <t>Google Page Creator</t>
  </si>
  <si>
    <t>Send to Phone</t>
  </si>
  <si>
    <t>Google Browser Sync</t>
  </si>
  <si>
    <t>Hello</t>
  </si>
  <si>
    <t>Google Web Accelerator</t>
  </si>
  <si>
    <t>Zeitgeist</t>
  </si>
  <si>
    <t>Google Click-to-Call</t>
  </si>
  <si>
    <t>Google Video Player</t>
  </si>
  <si>
    <t>Google Video Marketplace</t>
  </si>
  <si>
    <t>Google Answers</t>
  </si>
  <si>
    <t>Writely</t>
  </si>
  <si>
    <t>Google Public Service Search</t>
  </si>
  <si>
    <t>Google Deskbar</t>
  </si>
  <si>
    <t>Product / Service / App</t>
  </si>
  <si>
    <t>Years Available</t>
  </si>
  <si>
    <t>Included Description</t>
  </si>
  <si>
    <t>Additional Context</t>
  </si>
  <si>
    <t>2020–2025</t>
  </si>
  <si>
    <t>Dark Web Reports was a dark web scanner that searched for personal info leaks.</t>
  </si>
  <si>
    <r>
      <t xml:space="preserve">Security‑focused </t>
    </r>
    <r>
      <rPr>
        <b/>
        <sz val="11"/>
        <color theme="1"/>
        <rFont val="Arial"/>
        <family val="2"/>
      </rPr>
      <t>service</t>
    </r>
    <r>
      <rPr>
        <sz val="11"/>
        <color theme="1"/>
        <rFont val="Arial"/>
        <family val="2"/>
      </rPr>
      <t xml:space="preserve"> that monitored dark‑web sources for breached credentials and personal data exposure.</t>
    </r>
  </si>
  <si>
    <t>2016–2024</t>
  </si>
  <si>
    <t>Tables was a collaborative database platform and competitor to Airtable, focused on making project tracking more efficient with automation.</t>
  </si>
  <si>
    <r>
      <t xml:space="preserve">Collaborative </t>
    </r>
    <r>
      <rPr>
        <b/>
        <sz val="11"/>
        <color theme="1"/>
        <rFont val="Arial"/>
        <family val="2"/>
      </rPr>
      <t>app</t>
    </r>
    <r>
      <rPr>
        <sz val="11"/>
        <color theme="1"/>
        <rFont val="Arial"/>
        <family val="2"/>
      </rPr>
      <t xml:space="preserve"> for relational data and lightweight workflow automation; aimed at teams needing structured project and task tracking.</t>
    </r>
  </si>
  <si>
    <t>2017–2024</t>
  </si>
  <si>
    <t>Google Jamboard was a web and native whiteboard app that offered a rich collaborative experience.</t>
  </si>
  <si>
    <r>
      <t xml:space="preserve">Cloud‑connected </t>
    </r>
    <r>
      <rPr>
        <b/>
        <sz val="11"/>
        <color theme="1"/>
        <rFont val="Arial"/>
        <family val="2"/>
      </rPr>
      <t>hardware‑linked app</t>
    </r>
    <r>
      <rPr>
        <sz val="11"/>
        <color theme="1"/>
        <rFont val="Arial"/>
        <family val="2"/>
      </rPr>
      <t xml:space="preserve"> within Google Workspace, enabling real‑time co‑editing on digital whiteboards across devices.</t>
    </r>
  </si>
  <si>
    <t>2013–2024</t>
  </si>
  <si>
    <t>Jamboard was a digital 4K touchscreen whiteboard device that allowed to collaborate using Google Workspace services.</t>
  </si>
  <si>
    <r>
      <t xml:space="preserve">4K interactive </t>
    </r>
    <r>
      <rPr>
        <b/>
        <sz val="11"/>
        <color theme="1"/>
        <rFont val="Arial"/>
        <family val="2"/>
      </rPr>
      <t>hardware</t>
    </r>
    <r>
      <rPr>
        <sz val="11"/>
        <color theme="1"/>
        <rFont val="Arial"/>
        <family val="2"/>
      </rPr>
      <t xml:space="preserve"> display that paired with Google Jamboard software for in‑room and remote whiteboarding.</t>
    </r>
  </si>
  <si>
    <t>2020–2024</t>
  </si>
  <si>
    <t>Chromecast was a line of digital media players that allowed users to play online content on a television.</t>
  </si>
  <si>
    <r>
      <t xml:space="preserve">Consumer </t>
    </r>
    <r>
      <rPr>
        <b/>
        <sz val="11"/>
        <color theme="1"/>
        <rFont val="Arial"/>
        <family val="2"/>
      </rPr>
      <t>service/hardware ecosystem</t>
    </r>
    <r>
      <rPr>
        <sz val="11"/>
        <color theme="1"/>
        <rFont val="Arial"/>
        <family val="2"/>
      </rPr>
      <t xml:space="preserve"> enabling casting of streaming media from phones or browsers to TVs via HDMI devices.</t>
    </r>
  </si>
  <si>
    <t>VPN by Google One was a virtual private network service that provided users encrypted transit of their data and network activity and allowed them to mask their IP address.</t>
  </si>
  <si>
    <r>
      <t xml:space="preserve">Subscription </t>
    </r>
    <r>
      <rPr>
        <b/>
        <sz val="11"/>
        <color theme="1"/>
        <rFont val="Arial"/>
        <family val="2"/>
      </rPr>
      <t>service</t>
    </r>
    <r>
      <rPr>
        <sz val="11"/>
        <color theme="1"/>
        <rFont val="Arial"/>
        <family val="2"/>
      </rPr>
      <t xml:space="preserve"> bundled with Google One plans, targeting privacy‑conscious users on mobile and desktop.</t>
    </r>
  </si>
  <si>
    <t>2009–2024</t>
  </si>
  <si>
    <t>Dropcam was a line of Wi‑Fi video streaming cameras acquired by Google in 2014.</t>
  </si>
  <si>
    <r>
      <t xml:space="preserve">Smart‑home </t>
    </r>
    <r>
      <rPr>
        <b/>
        <sz val="11"/>
        <color theme="1"/>
        <rFont val="Arial"/>
        <family val="2"/>
      </rPr>
      <t>hardware</t>
    </r>
    <r>
      <rPr>
        <sz val="11"/>
        <color theme="1"/>
        <rFont val="Arial"/>
        <family val="2"/>
      </rPr>
      <t xml:space="preserve"> cameras with cloud video storage that were later integrated into the Nest ecosystem.</t>
    </r>
  </si>
  <si>
    <t>2018–2024</t>
  </si>
  <si>
    <t>Google Podcasts was a podcast hosting platform and an Android podcast listening app.</t>
  </si>
  <si>
    <r>
      <t xml:space="preserve">Cross‑platform </t>
    </r>
    <r>
      <rPr>
        <b/>
        <sz val="11"/>
        <color theme="1"/>
        <rFont val="Arial"/>
        <family val="2"/>
      </rPr>
      <t>app</t>
    </r>
    <r>
      <rPr>
        <sz val="11"/>
        <color theme="1"/>
        <rFont val="Arial"/>
        <family val="2"/>
      </rPr>
      <t xml:space="preserve"> for subscribing to, discovering, and playing podcasts, with limited creator/hosting tools.</t>
    </r>
  </si>
  <si>
    <t>Keen was a Pinterest‑style platform with ML recommendations.</t>
  </si>
  <si>
    <r>
      <t xml:space="preserve">Experimental </t>
    </r>
    <r>
      <rPr>
        <b/>
        <sz val="11"/>
        <color theme="1"/>
        <rFont val="Arial"/>
        <family val="2"/>
      </rPr>
      <t>service/app</t>
    </r>
    <r>
      <rPr>
        <sz val="11"/>
        <color theme="1"/>
        <rFont val="Arial"/>
        <family val="2"/>
      </rPr>
      <t xml:space="preserve"> from Area 120 for interest‑based boards using machine learning to surface related content.</t>
    </r>
  </si>
  <si>
    <t>2000–2024</t>
  </si>
  <si>
    <t>Google Cache was a tool to view cached/older versions of a website. It was one of the oldest products.</t>
  </si>
  <si>
    <r>
      <t xml:space="preserve">Utility </t>
    </r>
    <r>
      <rPr>
        <b/>
        <sz val="11"/>
        <color theme="1"/>
        <rFont val="Arial"/>
        <family val="2"/>
      </rPr>
      <t>service</t>
    </r>
    <r>
      <rPr>
        <sz val="11"/>
        <color theme="1"/>
        <rFont val="Arial"/>
        <family val="2"/>
      </rPr>
      <t xml:space="preserve"> integrated into Google Search, providing backup snapshots of web pages when originals were unavailable or changed.</t>
    </r>
  </si>
  <si>
    <t>2014–2023</t>
  </si>
  <si>
    <t>Google Domains was a domain name registrar operated by Google.</t>
  </si>
  <si>
    <r>
      <t xml:space="preserve">Consumer and SMB </t>
    </r>
    <r>
      <rPr>
        <b/>
        <sz val="11"/>
        <color theme="1"/>
        <rFont val="Arial"/>
        <family val="2"/>
      </rPr>
      <t>service</t>
    </r>
    <r>
      <rPr>
        <sz val="11"/>
        <color theme="1"/>
        <rFont val="Arial"/>
        <family val="2"/>
      </rPr>
      <t xml:space="preserve"> for domain registration, DNS management, and integration with Google Workspace.</t>
    </r>
  </si>
  <si>
    <t>2012–2023</t>
  </si>
  <si>
    <t>Google Optimize was a web analytics and testing tool that allowed users to run experiments aimed at increasing visitor conversion rates and overall satisfaction.</t>
  </si>
  <si>
    <r>
      <t xml:space="preserve">A/B and multivariate testing </t>
    </r>
    <r>
      <rPr>
        <b/>
        <sz val="11"/>
        <color theme="1"/>
        <rFont val="Arial"/>
        <family val="2"/>
      </rPr>
      <t>service</t>
    </r>
    <r>
      <rPr>
        <sz val="11"/>
        <color theme="1"/>
        <rFont val="Arial"/>
        <family val="2"/>
      </rPr>
      <t xml:space="preserve"> tightly integrated with Google Analytics for website experimentation.</t>
    </r>
  </si>
  <si>
    <t>2021–2023</t>
  </si>
  <si>
    <t>Pixel Pass was a program that allowed users to pay a monthly charge for their Pixel phone and upgrade immediately after two years.</t>
  </si>
  <si>
    <r>
      <t xml:space="preserve">Subscription </t>
    </r>
    <r>
      <rPr>
        <b/>
        <sz val="11"/>
        <color theme="1"/>
        <rFont val="Arial"/>
        <family val="2"/>
      </rPr>
      <t>service bundle</t>
    </r>
    <r>
      <rPr>
        <sz val="11"/>
        <color theme="1"/>
        <rFont val="Arial"/>
        <family val="2"/>
      </rPr>
      <t xml:space="preserve"> combining Pixel hardware payments with Google services (e.g., YouTube Premium, Google One).</t>
    </r>
  </si>
  <si>
    <t>2018–2023</t>
  </si>
  <si>
    <t>Google Cloud IoT Core was a managed service designed to let customers securely connect, manage, and ingest data from globally dispersed devices.</t>
  </si>
  <si>
    <r>
      <t xml:space="preserve">Cloud </t>
    </r>
    <r>
      <rPr>
        <b/>
        <sz val="11"/>
        <color theme="1"/>
        <rFont val="Arial"/>
        <family val="2"/>
      </rPr>
      <t>service</t>
    </r>
    <r>
      <rPr>
        <sz val="11"/>
        <color theme="1"/>
        <rFont val="Arial"/>
        <family val="2"/>
      </rPr>
      <t xml:space="preserve"> in GCP for device registry, telemetry ingestion, and IoT device management at scale.</t>
    </r>
  </si>
  <si>
    <t>2016–2023</t>
  </si>
  <si>
    <t>Google Album Archive was a platform that allowed users to access and manage their archived photos and videos from various Google services, such as Hangouts and Picasa Web Albums.</t>
  </si>
  <si>
    <r>
      <t xml:space="preserve">Backend </t>
    </r>
    <r>
      <rPr>
        <b/>
        <sz val="11"/>
        <color theme="1"/>
        <rFont val="Arial"/>
        <family val="2"/>
      </rPr>
      <t>service</t>
    </r>
    <r>
      <rPr>
        <sz val="11"/>
        <color theme="1"/>
        <rFont val="Arial"/>
        <family val="2"/>
      </rPr>
      <t xml:space="preserve"> exposing legacy media content from older Google products in a single interface.</t>
    </r>
  </si>
  <si>
    <t>2017–2023</t>
  </si>
  <si>
    <t>YouTube Stories (originally YouTube Reels) allowed creators to post temporary videos that would expire after seven days.</t>
  </si>
  <si>
    <r>
      <t xml:space="preserve">Mobile‑first </t>
    </r>
    <r>
      <rPr>
        <b/>
        <sz val="11"/>
        <color theme="1"/>
        <rFont val="Arial"/>
        <family val="2"/>
      </rPr>
      <t>app feature</t>
    </r>
    <r>
      <rPr>
        <sz val="11"/>
        <color theme="1"/>
        <rFont val="Arial"/>
        <family val="2"/>
      </rPr>
      <t xml:space="preserve"> targeting short‑lived, vertical content similar to Instagram Stories and Snapchat.</t>
    </r>
  </si>
  <si>
    <t>Grasshopper was a free mobile and web app for aspiring programmers that taught introductory JavaScript and coding fundamentals using fun, bite-sized puzzles.</t>
  </si>
  <si>
    <r>
      <t xml:space="preserve">Educational </t>
    </r>
    <r>
      <rPr>
        <b/>
        <sz val="11"/>
        <color theme="1"/>
        <rFont val="Arial"/>
        <family val="2"/>
      </rPr>
      <t>app</t>
    </r>
    <r>
      <rPr>
        <sz val="11"/>
        <color theme="1"/>
        <rFont val="Arial"/>
        <family val="2"/>
      </rPr>
      <t xml:space="preserve"> focused on entry‑level coding education via gamified lessons and interactive exercises.</t>
    </r>
  </si>
  <si>
    <t>Conversational Actions extended the functionality of Google Assistant by allowing 3rd party developers to create custom experiences, or conversations, for users of Google Assistant.</t>
  </si>
  <si>
    <r>
      <t xml:space="preserve">Developer </t>
    </r>
    <r>
      <rPr>
        <b/>
        <sz val="11"/>
        <color theme="1"/>
        <rFont val="Arial"/>
        <family val="2"/>
      </rPr>
      <t>service/API</t>
    </r>
    <r>
      <rPr>
        <sz val="11"/>
        <color theme="1"/>
        <rFont val="Arial"/>
        <family val="2"/>
      </rPr>
      <t xml:space="preserve"> enabling third‑party conversational flows on Google Assistant smart speakers and phones.</t>
    </r>
  </si>
  <si>
    <t>2019–2023</t>
  </si>
  <si>
    <t>Google Currents was a service that provided social media features similar to Google+ for Google Workspace customers.</t>
  </si>
  <si>
    <r>
      <t xml:space="preserve">Enterprise social </t>
    </r>
    <r>
      <rPr>
        <b/>
        <sz val="11"/>
        <color theme="1"/>
        <rFont val="Arial"/>
        <family val="2"/>
      </rPr>
      <t>app/service</t>
    </r>
    <r>
      <rPr>
        <sz val="11"/>
        <color theme="1"/>
        <rFont val="Arial"/>
        <family val="2"/>
      </rPr>
      <t xml:space="preserve"> for internal posts, streams, and discussions within Google Workspace domains.</t>
    </r>
  </si>
  <si>
    <t>2010–2023</t>
  </si>
  <si>
    <t>Google Street View app was an Android and iOS app that enabled people to get a 360 degree view of locations around the world.</t>
  </si>
  <si>
    <r>
      <t xml:space="preserve">Companion </t>
    </r>
    <r>
      <rPr>
        <b/>
        <sz val="11"/>
        <color theme="1"/>
        <rFont val="Arial"/>
        <family val="2"/>
      </rPr>
      <t>app</t>
    </r>
    <r>
      <rPr>
        <sz val="11"/>
        <color theme="1"/>
        <rFont val="Arial"/>
        <family val="2"/>
      </rPr>
      <t xml:space="preserve"> to Google Maps for browsing and contributing 360° imagery, including user‑generated photo spheres.</t>
    </r>
  </si>
  <si>
    <t>Jacquard was a small tag to make it easier and more intuitive for people to interact with technology in their everyday lives, without having to constantly pull out their devices or touch screens.</t>
  </si>
  <si>
    <r>
      <t xml:space="preserve">Wearable/IoT </t>
    </r>
    <r>
      <rPr>
        <b/>
        <sz val="11"/>
        <color theme="1"/>
        <rFont val="Arial"/>
        <family val="2"/>
      </rPr>
      <t>hardware</t>
    </r>
    <r>
      <rPr>
        <sz val="11"/>
        <color theme="1"/>
        <rFont val="Arial"/>
        <family val="2"/>
      </rPr>
      <t xml:space="preserve"> platform embedding touch and gesture sensing into clothing and accessories.</t>
    </r>
  </si>
  <si>
    <t>2003–2023</t>
  </si>
  <si>
    <t>Google Code Jam, Kick Start, and Hash Code were competitive programming competitions open to programmers around the world.</t>
  </si>
  <si>
    <r>
      <t xml:space="preserve">Global </t>
    </r>
    <r>
      <rPr>
        <b/>
        <sz val="11"/>
        <color theme="1"/>
        <rFont val="Arial"/>
        <family val="2"/>
      </rPr>
      <t>service/program</t>
    </r>
    <r>
      <rPr>
        <sz val="11"/>
        <color theme="1"/>
        <rFont val="Arial"/>
        <family val="2"/>
      </rPr>
      <t xml:space="preserve"> used for outreach and recruiting, offering algorithmic contests and problem‑solving challenges.</t>
    </r>
  </si>
  <si>
    <t>Google Stadia was a cloud gaming service combining a WiFi gaming controller and allowed users to stream gameplay through web browsers, TV, mobile apps, and Chromecast.</t>
  </si>
  <si>
    <r>
      <t xml:space="preserve">Consumer cloud‑gaming </t>
    </r>
    <r>
      <rPr>
        <b/>
        <sz val="11"/>
        <color theme="1"/>
        <rFont val="Arial"/>
        <family val="2"/>
      </rPr>
      <t>service</t>
    </r>
    <r>
      <rPr>
        <sz val="11"/>
        <color theme="1"/>
        <rFont val="Arial"/>
        <family val="2"/>
      </rPr>
      <t xml:space="preserve"> with optional proprietary controller, streaming games from Google data centers.</t>
    </r>
  </si>
  <si>
    <t>2015–2023</t>
  </si>
  <si>
    <t>Google OnHub was a series of residential wireless routers manufactured by Asus and TP-Link that were powered by Google software, managed by Google apps, and offered enhanced special features like Google Assistant.</t>
  </si>
  <si>
    <r>
      <t xml:space="preserve">Smart‑home </t>
    </r>
    <r>
      <rPr>
        <b/>
        <sz val="11"/>
        <color theme="1"/>
        <rFont val="Arial"/>
        <family val="2"/>
      </rPr>
      <t>hardware</t>
    </r>
    <r>
      <rPr>
        <sz val="11"/>
        <color theme="1"/>
        <rFont val="Arial"/>
        <family val="2"/>
      </rPr>
      <t xml:space="preserve"> Wi‑Fi routers acting as predecessors to Google/Nest Wifi systems.</t>
    </r>
  </si>
  <si>
    <t>2016–2022</t>
  </si>
  <si>
    <t>YouTube Originals was a variety of original content including scripted series, educational videos, and music and celebrity programming.</t>
  </si>
  <si>
    <r>
      <t xml:space="preserve">Premium </t>
    </r>
    <r>
      <rPr>
        <b/>
        <sz val="11"/>
        <color theme="1"/>
        <rFont val="Arial"/>
        <family val="2"/>
      </rPr>
      <t>content service</t>
    </r>
    <r>
      <rPr>
        <sz val="11"/>
        <color theme="1"/>
        <rFont val="Arial"/>
        <family val="2"/>
      </rPr>
      <t xml:space="preserve"> created to support YouTube Premium subscriptions and compete with SVOD originals.</t>
    </r>
  </si>
  <si>
    <t>2021–2022</t>
  </si>
  <si>
    <t>Threadit was a tool for recording and sharing short videos.</t>
  </si>
  <si>
    <r>
      <t xml:space="preserve">Lightweight </t>
    </r>
    <r>
      <rPr>
        <b/>
        <sz val="11"/>
        <color theme="1"/>
        <rFont val="Arial"/>
        <family val="2"/>
      </rPr>
      <t>app</t>
    </r>
    <r>
      <rPr>
        <sz val="11"/>
        <color theme="1"/>
        <rFont val="Arial"/>
        <family val="2"/>
      </rPr>
      <t xml:space="preserve"> for async video messaging aimed at remote teams, integrated with Google Workspace workflows.</t>
    </r>
  </si>
  <si>
    <t>2019–2022</t>
  </si>
  <si>
    <t>Duplex on the Web was a Google Assistant technology that automated tasks on the web on behalf of a user; such as booking movie tickets or making restaurant reservations.</t>
  </si>
  <si>
    <r>
      <t xml:space="preserve">Backend </t>
    </r>
    <r>
      <rPr>
        <b/>
        <sz val="11"/>
        <color theme="1"/>
        <rFont val="Arial"/>
        <family val="2"/>
      </rPr>
      <t>service</t>
    </r>
    <r>
      <rPr>
        <sz val="11"/>
        <color theme="1"/>
        <rFont val="Arial"/>
        <family val="2"/>
      </rPr>
      <t xml:space="preserve"> that used Google Assistant’s Duplex tech to auto‑fill forms and complete transactions on supported sites.</t>
    </r>
  </si>
  <si>
    <t>2013–2022</t>
  </si>
  <si>
    <t>Google Hangouts was a cross-platform instant messaging service.</t>
  </si>
  <si>
    <r>
      <t xml:space="preserve">Unified </t>
    </r>
    <r>
      <rPr>
        <b/>
        <sz val="11"/>
        <color theme="1"/>
        <rFont val="Arial"/>
        <family val="2"/>
      </rPr>
      <t>service/app</t>
    </r>
    <r>
      <rPr>
        <sz val="11"/>
        <color theme="1"/>
        <rFont val="Arial"/>
        <family val="2"/>
      </rPr>
      <t xml:space="preserve"> for chat, voice, and video that was later replaced by Google Chat and Google Meet.</t>
    </r>
  </si>
  <si>
    <t>2012–2022</t>
  </si>
  <si>
    <t>Google Surveys was a business product by Google aimed at facilitating customized market research.</t>
  </si>
  <si>
    <r>
      <t xml:space="preserve">Self‑serve </t>
    </r>
    <r>
      <rPr>
        <b/>
        <sz val="11"/>
        <color theme="1"/>
        <rFont val="Arial"/>
        <family val="2"/>
      </rPr>
      <t>service</t>
    </r>
    <r>
      <rPr>
        <sz val="11"/>
        <color theme="1"/>
        <rFont val="Arial"/>
        <family val="2"/>
      </rPr>
      <t xml:space="preserve"> that let businesses run quick consumer surveys across Google’s network for insights and segmentation.</t>
    </r>
  </si>
  <si>
    <t>2017–2022</t>
  </si>
  <si>
    <t>YouTube Go was an app aimed at making YouTube easier to access on mobile devices in emerging markets through special features like downloading video on wifi for viewing later.</t>
  </si>
  <si>
    <r>
      <t xml:space="preserve">Data‑saving </t>
    </r>
    <r>
      <rPr>
        <b/>
        <sz val="11"/>
        <color theme="1"/>
        <rFont val="Arial"/>
        <family val="2"/>
      </rPr>
      <t>app</t>
    </r>
    <r>
      <rPr>
        <sz val="11"/>
        <color theme="1"/>
        <rFont val="Arial"/>
        <family val="2"/>
      </rPr>
      <t xml:space="preserve"> optimized for low‑bandwidth environments with offline viewing and smaller APK size.</t>
    </r>
  </si>
  <si>
    <t>2018–2022</t>
  </si>
  <si>
    <t>Google My Business was an app that allowed businesses to manage their Google Maps Business profiles.</t>
  </si>
  <si>
    <r>
      <t xml:space="preserve">Companion </t>
    </r>
    <r>
      <rPr>
        <b/>
        <sz val="11"/>
        <color theme="1"/>
        <rFont val="Arial"/>
        <family val="2"/>
      </rPr>
      <t>app</t>
    </r>
    <r>
      <rPr>
        <sz val="11"/>
        <color theme="1"/>
        <rFont val="Arial"/>
        <family val="2"/>
      </rPr>
      <t xml:space="preserve"> for editing listings, responding to reviews, and viewing insights for local business profiles.</t>
    </r>
  </si>
  <si>
    <t>2010–2022</t>
  </si>
  <si>
    <t>Google Chrome Apps were hosted or packaged web applications that ran on the Google Chrome browser.</t>
  </si>
  <si>
    <r>
      <t xml:space="preserve">Platform </t>
    </r>
    <r>
      <rPr>
        <b/>
        <sz val="11"/>
        <color theme="1"/>
        <rFont val="Arial"/>
        <family val="2"/>
      </rPr>
      <t>service</t>
    </r>
    <r>
      <rPr>
        <sz val="11"/>
        <color theme="1"/>
        <rFont val="Arial"/>
        <family val="2"/>
      </rPr>
      <t xml:space="preserve"> allowing installable web apps with deeper integration into Chrome and Chrome OS.</t>
    </r>
  </si>
  <si>
    <t>Kormo Jobs was an app that allowed users in primarily India, Indonesia, and Bangladesh to help them find jobs nearby that match their skills and interests.</t>
  </si>
  <si>
    <r>
      <t xml:space="preserve">Emerging‑markets </t>
    </r>
    <r>
      <rPr>
        <b/>
        <sz val="11"/>
        <color theme="1"/>
        <rFont val="Arial"/>
        <family val="2"/>
      </rPr>
      <t>job‑matching app</t>
    </r>
    <r>
      <rPr>
        <sz val="11"/>
        <color theme="1"/>
        <rFont val="Arial"/>
        <family val="2"/>
      </rPr>
      <t xml:space="preserve"> offering CV creation, skills tagging, and local employer listings.</t>
    </r>
  </si>
  <si>
    <t>Android Auto for phone screens was an app that allowed the screen of the phone to be used as an Android Auto interface while driving, intended for vehicles that did not have a compatible screen built in.</t>
  </si>
  <si>
    <r>
      <t xml:space="preserve">Stopgap </t>
    </r>
    <r>
      <rPr>
        <b/>
        <sz val="11"/>
        <color theme="1"/>
        <rFont val="Arial"/>
        <family val="2"/>
      </rPr>
      <t>app</t>
    </r>
    <r>
      <rPr>
        <sz val="11"/>
        <color theme="1"/>
        <rFont val="Arial"/>
        <family val="2"/>
      </rPr>
      <t xml:space="preserve"> providing driver‑friendly UI on the handset, later replaced by Assistant driving mode and built‑in Android Auto UIs.</t>
    </r>
  </si>
  <si>
    <t>Google Duo was a video calling app that allowed people to call someone from their contact list.</t>
  </si>
  <si>
    <r>
      <t xml:space="preserve">Consumer </t>
    </r>
    <r>
      <rPr>
        <b/>
        <sz val="11"/>
        <color theme="1"/>
        <rFont val="Arial"/>
        <family val="2"/>
      </rPr>
      <t>service/app</t>
    </r>
    <r>
      <rPr>
        <sz val="11"/>
        <color theme="1"/>
        <rFont val="Arial"/>
        <family val="2"/>
      </rPr>
      <t xml:space="preserve"> with end‑to‑end encrypted video calls, ultimately merged into Google Meet branding.</t>
    </r>
  </si>
  <si>
    <t>2006–2022</t>
  </si>
  <si>
    <t>G Suite (Legacy Free Edition) was a free tier offering some of the services included in Google's productivity suite.</t>
  </si>
  <si>
    <r>
      <t xml:space="preserve">Free legacy </t>
    </r>
    <r>
      <rPr>
        <b/>
        <sz val="11"/>
        <color theme="1"/>
        <rFont val="Arial"/>
        <family val="2"/>
      </rPr>
      <t>service</t>
    </r>
    <r>
      <rPr>
        <sz val="11"/>
        <color theme="1"/>
        <rFont val="Arial"/>
        <family val="2"/>
      </rPr>
      <t xml:space="preserve"> providing custom‑domain Gmail and basic apps to early adopters before the Workspace paid tiers.</t>
    </r>
  </si>
  <si>
    <t>Google Assistant Snapshot was the successor to Google Now that provided predictive cards with information and daily updates in the Google app for Android and iOS.</t>
  </si>
  <si>
    <r>
      <t xml:space="preserve">Feed‑style </t>
    </r>
    <r>
      <rPr>
        <b/>
        <sz val="11"/>
        <color theme="1"/>
        <rFont val="Arial"/>
        <family val="2"/>
      </rPr>
      <t>service</t>
    </r>
    <r>
      <rPr>
        <sz val="11"/>
        <color theme="1"/>
        <rFont val="Arial"/>
        <family val="2"/>
      </rPr>
      <t xml:space="preserve"> surfacing contextual reminders, commutes, and personalized info within Assistant/Google apps.</t>
    </r>
  </si>
  <si>
    <t>Cameos on Google allowed celebrities and other public figures to record video responses to the most common questions asked about them which would be shown to users in Google Search results.</t>
  </si>
  <si>
    <r>
      <t xml:space="preserve">Niche creator </t>
    </r>
    <r>
      <rPr>
        <b/>
        <sz val="11"/>
        <color theme="1"/>
        <rFont val="Arial"/>
        <family val="2"/>
      </rPr>
      <t>service</t>
    </r>
    <r>
      <rPr>
        <sz val="11"/>
        <color theme="1"/>
        <rFont val="Arial"/>
        <family val="2"/>
      </rPr>
      <t xml:space="preserve"> that injected verified video Q&amp;A directly into Knowledge Panel search results.</t>
    </r>
  </si>
  <si>
    <t>2015–2022</t>
  </si>
  <si>
    <t>Android Things was an Android-based embedded operating system (originally named Brillo) aimed to run on Internet of Things (IoT) devices.</t>
  </si>
  <si>
    <r>
      <t xml:space="preserve">Developer </t>
    </r>
    <r>
      <rPr>
        <b/>
        <sz val="11"/>
        <color theme="1"/>
        <rFont val="Arial"/>
        <family val="2"/>
      </rPr>
      <t>service/OS</t>
    </r>
    <r>
      <rPr>
        <sz val="11"/>
        <color theme="1"/>
        <rFont val="Arial"/>
        <family val="2"/>
      </rPr>
      <t xml:space="preserve"> for IoT boards enabling secure OTA updates and Google integration, later refocused on OEM smart displays.</t>
    </r>
  </si>
  <si>
    <t>2010–2021</t>
  </si>
  <si>
    <t>AngularJS was a JavaScript open-source front-end web framework based on MVC pattern using a dependency injection technique.</t>
  </si>
  <si>
    <r>
      <t xml:space="preserve">Widely used </t>
    </r>
    <r>
      <rPr>
        <b/>
        <sz val="11"/>
        <color theme="1"/>
        <rFont val="Arial"/>
        <family val="2"/>
      </rPr>
      <t>framework/service</t>
    </r>
    <r>
      <rPr>
        <sz val="11"/>
        <color theme="1"/>
        <rFont val="Arial"/>
        <family val="2"/>
      </rPr>
      <t xml:space="preserve"> for building dynamic web apps; superseded by the modern Angular platform.</t>
    </r>
  </si>
  <si>
    <t>2017–2021</t>
  </si>
  <si>
    <t>Streams was a "clinician support app" which aimed to improve clinical decision-making and patient safety across hospitals in the United Kingdom.</t>
  </si>
  <si>
    <r>
      <t xml:space="preserve">Healthcare </t>
    </r>
    <r>
      <rPr>
        <b/>
        <sz val="11"/>
        <color theme="1"/>
        <rFont val="Arial"/>
        <family val="2"/>
      </rPr>
      <t>app</t>
    </r>
    <r>
      <rPr>
        <sz val="11"/>
        <color theme="1"/>
        <rFont val="Arial"/>
        <family val="2"/>
      </rPr>
      <t xml:space="preserve"> from DeepMind/Google Health for real‑time alerts and test result review by clinicians.</t>
    </r>
  </si>
  <si>
    <t>2018–2021</t>
  </si>
  <si>
    <t>Material Gallery was a collaboration tool for UI designers, optimized for Google's Material Design, with mobile preview apps and a Sketch plugin.</t>
  </si>
  <si>
    <r>
      <t xml:space="preserve">Design </t>
    </r>
    <r>
      <rPr>
        <b/>
        <sz val="11"/>
        <color theme="1"/>
        <rFont val="Arial"/>
        <family val="2"/>
      </rPr>
      <t>service</t>
    </r>
    <r>
      <rPr>
        <sz val="11"/>
        <color theme="1"/>
        <rFont val="Arial"/>
        <family val="2"/>
      </rPr>
      <t xml:space="preserve"> for uploading, commenting, and reviewing UI mocks, integrated with Material Design guidelines.</t>
    </r>
  </si>
  <si>
    <t>2000–2021</t>
  </si>
  <si>
    <t>Google Toolbar was a web browser toolbar that provided a search box in web browsers like Internet Explorer and Firefox.</t>
  </si>
  <si>
    <r>
      <t xml:space="preserve">Early </t>
    </r>
    <r>
      <rPr>
        <b/>
        <sz val="11"/>
        <color theme="1"/>
        <rFont val="Arial"/>
        <family val="2"/>
      </rPr>
      <t>service</t>
    </r>
    <r>
      <rPr>
        <sz val="11"/>
        <color theme="1"/>
        <rFont val="Arial"/>
        <family val="2"/>
      </rPr>
      <t xml:space="preserve"> for bringing Google Search, pop‑up blocking, and PageRank display into legacy desktop browsers.</t>
    </r>
  </si>
  <si>
    <t>2008–2021</t>
  </si>
  <si>
    <t>Google Sites (Classic) allowed users to build and edit websites and wiki portals for private and public use.</t>
  </si>
  <si>
    <r>
      <t xml:space="preserve">Low‑code </t>
    </r>
    <r>
      <rPr>
        <b/>
        <sz val="11"/>
        <color theme="1"/>
        <rFont val="Arial"/>
        <family val="2"/>
      </rPr>
      <t>service</t>
    </r>
    <r>
      <rPr>
        <sz val="11"/>
        <color theme="1"/>
        <rFont val="Arial"/>
        <family val="2"/>
      </rPr>
      <t xml:space="preserve"> for internal wikis and simple web pages, later replaced by the new Google Sites experience.</t>
    </r>
  </si>
  <si>
    <t>2019–2021</t>
  </si>
  <si>
    <t>Your News Update was a service that offered an audio digest of a mix of short news stories chosen at that moment based on a user's interests, location, user history, and preferences, as well as the top news stories out there.</t>
  </si>
  <si>
    <r>
      <t xml:space="preserve">Assistant‑driven audio </t>
    </r>
    <r>
      <rPr>
        <b/>
        <sz val="11"/>
        <color theme="1"/>
        <rFont val="Arial"/>
        <family val="2"/>
      </rPr>
      <t>service</t>
    </r>
    <r>
      <rPr>
        <sz val="11"/>
        <color theme="1"/>
        <rFont val="Arial"/>
        <family val="2"/>
      </rPr>
      <t xml:space="preserve"> providing personalized news briefings via smart speakers and phones.</t>
    </r>
  </si>
  <si>
    <t>Google My Maps (Android app)</t>
  </si>
  <si>
    <t>2014–2021</t>
  </si>
  <si>
    <t>My Maps was an Android application that enabled users to create custom maps for personal use or sharing on their mobile device.</t>
  </si>
  <si>
    <r>
      <t xml:space="preserve">Companion </t>
    </r>
    <r>
      <rPr>
        <b/>
        <sz val="11"/>
        <color theme="1"/>
        <rFont val="Arial"/>
        <family val="2"/>
      </rPr>
      <t>app</t>
    </r>
    <r>
      <rPr>
        <sz val="11"/>
        <color theme="1"/>
        <rFont val="Arial"/>
        <family val="2"/>
      </rPr>
      <t xml:space="preserve"> to the My Maps web tool for editing and viewing custom map layers on mobile.</t>
    </r>
  </si>
  <si>
    <t>Backup and Sync was a desktop software tool for Windows and macOS that allowed users to sync files from Google Drive to their local machine.</t>
  </si>
  <si>
    <r>
      <t xml:space="preserve">Consumer </t>
    </r>
    <r>
      <rPr>
        <b/>
        <sz val="11"/>
        <color theme="1"/>
        <rFont val="Arial"/>
        <family val="2"/>
      </rPr>
      <t>app</t>
    </r>
    <r>
      <rPr>
        <sz val="11"/>
        <color theme="1"/>
        <rFont val="Arial"/>
        <family val="2"/>
      </rPr>
      <t xml:space="preserve"> later unified into “Drive for desktop,” combining Drive File Stream and Backup and Sync clients.</t>
    </r>
  </si>
  <si>
    <t>2005–2021</t>
  </si>
  <si>
    <t>Google Bookmarks was a private web-based bookmarking service not integrated with any other Google services.</t>
  </si>
  <si>
    <r>
      <t xml:space="preserve">Standalone </t>
    </r>
    <r>
      <rPr>
        <b/>
        <sz val="11"/>
        <color theme="1"/>
        <rFont val="Arial"/>
        <family val="2"/>
      </rPr>
      <t>service</t>
    </r>
    <r>
      <rPr>
        <sz val="11"/>
        <color theme="1"/>
        <rFont val="Arial"/>
        <family val="2"/>
      </rPr>
      <t xml:space="preserve"> storing labeled links in the cloud, distinct from Chrome’s browser‑synced bookmarks.</t>
    </r>
  </si>
  <si>
    <t>Analytics platform for Google's Dialogflow chatbot &amp; others, started by the Google-funded Area120 incubator then retired and partially merged into Dialogflow itself.</t>
  </si>
  <si>
    <r>
      <t xml:space="preserve">Bot analytics </t>
    </r>
    <r>
      <rPr>
        <b/>
        <sz val="11"/>
        <color theme="1"/>
        <rFont val="Arial"/>
        <family val="2"/>
      </rPr>
      <t>service</t>
    </r>
    <r>
      <rPr>
        <sz val="11"/>
        <color theme="1"/>
        <rFont val="Arial"/>
        <family val="2"/>
      </rPr>
      <t xml:space="preserve"> providing NLP metrics and optimization insights for conversational agents.</t>
    </r>
  </si>
  <si>
    <t>VR180 Creator allowed users to edit video taken on 180-degree and 360-degree devices on multiple operating systems.</t>
  </si>
  <si>
    <r>
      <t xml:space="preserve">Cross‑platform </t>
    </r>
    <r>
      <rPr>
        <b/>
        <sz val="11"/>
        <color theme="1"/>
        <rFont val="Arial"/>
        <family val="2"/>
      </rPr>
      <t>app</t>
    </r>
    <r>
      <rPr>
        <sz val="11"/>
        <color theme="1"/>
        <rFont val="Arial"/>
        <family val="2"/>
      </rPr>
      <t xml:space="preserve"> for preparing VR180/360 content (stitching, formatting) for YouTube and other VR players.</t>
    </r>
  </si>
  <si>
    <t>2012–2021</t>
  </si>
  <si>
    <t>Posts on Google allowed notable individuals with knowledge graph panels to author specific content that would appear in Google Search results.</t>
  </si>
  <si>
    <r>
      <t xml:space="preserve">Knowledge‑panel </t>
    </r>
    <r>
      <rPr>
        <b/>
        <sz val="11"/>
        <color theme="1"/>
        <rFont val="Arial"/>
        <family val="2"/>
      </rPr>
      <t>service</t>
    </r>
    <r>
      <rPr>
        <sz val="11"/>
        <color theme="1"/>
        <rFont val="Arial"/>
        <family val="2"/>
      </rPr>
      <t xml:space="preserve"> letting verified entities publish short updates directly into search results.</t>
    </r>
  </si>
  <si>
    <t>2013–2021</t>
  </si>
  <si>
    <t>Fitbit Coach (formerly Fitstar) was a video-based bodyweight workout app that used AI to personalize workouts based on user feedback.</t>
  </si>
  <si>
    <r>
      <t xml:space="preserve">Subscription fitness </t>
    </r>
    <r>
      <rPr>
        <b/>
        <sz val="11"/>
        <color theme="1"/>
        <rFont val="Arial"/>
        <family val="2"/>
      </rPr>
      <t>app</t>
    </r>
    <r>
      <rPr>
        <sz val="11"/>
        <color theme="1"/>
        <rFont val="Arial"/>
        <family val="2"/>
      </rPr>
      <t xml:space="preserve"> integrated with Fitbit devices and user activity data for adaptive training plans.</t>
    </r>
  </si>
  <si>
    <t>Fitstar Yoga was a video-based yoga app that created unique yoga sessions based on user preference and skill level.</t>
  </si>
  <si>
    <r>
      <t xml:space="preserve">Specialized yoga </t>
    </r>
    <r>
      <rPr>
        <b/>
        <sz val="11"/>
        <color theme="1"/>
        <rFont val="Arial"/>
        <family val="2"/>
      </rPr>
      <t>app</t>
    </r>
    <r>
      <rPr>
        <sz val="11"/>
        <color theme="1"/>
        <rFont val="Arial"/>
        <family val="2"/>
      </rPr>
      <t xml:space="preserve"> under the Fitstar/Fitbit brand offering guided sessions and progression tracking.</t>
    </r>
  </si>
  <si>
    <t>Tour Builder allowed users to create and share interactive tours inside Google Earth with photos and videos of locations.</t>
  </si>
  <si>
    <r>
      <t xml:space="preserve">Storytelling </t>
    </r>
    <r>
      <rPr>
        <b/>
        <sz val="11"/>
        <color theme="1"/>
        <rFont val="Arial"/>
        <family val="2"/>
      </rPr>
      <t>service</t>
    </r>
    <r>
      <rPr>
        <sz val="11"/>
        <color theme="1"/>
        <rFont val="Arial"/>
        <family val="2"/>
      </rPr>
      <t xml:space="preserve"> on top of Google Earth for education, journalism, and narrative travel logs.</t>
    </r>
  </si>
  <si>
    <t>2015–2021</t>
  </si>
  <si>
    <t>Expeditions was a program for providing virtual reality experiences to school classrooms through Google Cardboard viewers, allowing educators to take their students on virtual field trips.</t>
  </si>
  <si>
    <r>
      <t xml:space="preserve">Classroom VR </t>
    </r>
    <r>
      <rPr>
        <b/>
        <sz val="11"/>
        <color theme="1"/>
        <rFont val="Arial"/>
        <family val="2"/>
      </rPr>
      <t>app/program</t>
    </r>
    <r>
      <rPr>
        <sz val="11"/>
        <color theme="1"/>
        <rFont val="Arial"/>
        <family val="2"/>
      </rPr>
      <t xml:space="preserve"> bundled with curated tours, later migrated into Google Arts &amp; Culture.</t>
    </r>
  </si>
  <si>
    <t>Tour Creator allowed users to build immersive, 360° guided tours that could be viewed with VR devices.</t>
  </si>
  <si>
    <r>
      <t xml:space="preserve">Web </t>
    </r>
    <r>
      <rPr>
        <b/>
        <sz val="11"/>
        <color theme="1"/>
        <rFont val="Arial"/>
        <family val="2"/>
      </rPr>
      <t>app</t>
    </r>
    <r>
      <rPr>
        <sz val="11"/>
        <color theme="1"/>
        <rFont val="Arial"/>
        <family val="2"/>
      </rPr>
      <t xml:space="preserve"> for assembling 360° scenes and points of interest, complementary to Expeditions and Google Earth.</t>
    </r>
  </si>
  <si>
    <t>Poly was a distribution platform for creators to share 3D objects.</t>
  </si>
  <si>
    <r>
      <t xml:space="preserve">Online </t>
    </r>
    <r>
      <rPr>
        <b/>
        <sz val="11"/>
        <color theme="1"/>
        <rFont val="Arial"/>
        <family val="2"/>
      </rPr>
      <t>service</t>
    </r>
    <r>
      <rPr>
        <sz val="11"/>
        <color theme="1"/>
        <rFont val="Arial"/>
        <family val="2"/>
      </rPr>
      <t xml:space="preserve"> hosting 3D models for VR/AR creators, integrated with tools like Tilt Brush and third‑party engines.</t>
    </r>
  </si>
  <si>
    <t>2011–2021</t>
  </si>
  <si>
    <t>Google Play Movies &amp; TV, originally Google TV, was an app used to view purchased and rented media and was ultimately replaced with YouTube.</t>
  </si>
  <si>
    <r>
      <t xml:space="preserve">Transactional video </t>
    </r>
    <r>
      <rPr>
        <b/>
        <sz val="11"/>
        <color theme="1"/>
        <rFont val="Arial"/>
        <family val="2"/>
      </rPr>
      <t>app</t>
    </r>
    <r>
      <rPr>
        <sz val="11"/>
        <color theme="1"/>
        <rFont val="Arial"/>
        <family val="2"/>
      </rPr>
      <t xml:space="preserve"> for buying/renting films and shows; libraries were later folded into YouTube/Google TV.</t>
    </r>
  </si>
  <si>
    <t>2016–2021</t>
  </si>
  <si>
    <t>Measure allowed users to take measurements of everyday objects with their device's camera utilizing ARCore technology.</t>
  </si>
  <si>
    <r>
      <t xml:space="preserve">AR utility </t>
    </r>
    <r>
      <rPr>
        <b/>
        <sz val="11"/>
        <color theme="1"/>
        <rFont val="Arial"/>
        <family val="2"/>
      </rPr>
      <t>app</t>
    </r>
    <r>
      <rPr>
        <sz val="11"/>
        <color theme="1"/>
        <rFont val="Arial"/>
        <family val="2"/>
      </rPr>
      <t xml:space="preserve"> that used phone sensors and ARCore to approximate length and height of real‑world objects.</t>
    </r>
  </si>
  <si>
    <t>Zync Render was a cloud render platform for animation and visual effects.</t>
  </si>
  <si>
    <t>Timely Alarm Clock</t>
  </si>
  <si>
    <t>Timely Alarm Clock was an Android application providing an alarm, stopwatch, and timer functionality with synchronization across devices.</t>
  </si>
  <si>
    <t>Polymer was an open-source JS library for web components.</t>
  </si>
  <si>
    <t>The Google Shopping Mobile App…provided a native shopping experience with a personalized homepage for mobile users.</t>
  </si>
  <si>
    <t>Google Public Alerts was an online notification service…that sends safety alerts to various countries.</t>
  </si>
  <si>
    <t>Google Go Links (also known as Google Short Links) was a URL shortening service…supporting custom domains for Google Workspace customers.</t>
  </si>
  <si>
    <t>Google Crisis Map was a website that allowed to create, publish, and share maps by combining layers from anywhere on the web.</t>
  </si>
  <si>
    <t>Google Cardboard was a low-cost, virtual reality (VR) platform named after its folded cardboard viewer into which a smartphone was inserted.</t>
  </si>
  <si>
    <t>Swift for TensorFlow (S4TF) was a next-generation platform for machine learning with a focus on differentiable programming.</t>
  </si>
  <si>
    <t>Tilt Brush was a room-scale 3D-painting virtual-reality application available from Google.</t>
  </si>
  <si>
    <t>Loon was a service to provide internet access via an array of high-altitude balloons hovering in the Earth's stratosphere.</t>
  </si>
  <si>
    <t>App Maker was a tool that allowed its users to build and deploy custom business apps easily and securely on the web without writing much code.</t>
  </si>
  <si>
    <t>2010–2020</t>
  </si>
  <si>
    <t>Google Cloud Print allowed users to “print from anywhere”…to any Google Cloud Print-connected printer.</t>
  </si>
  <si>
    <t>2017–2020</t>
  </si>
  <si>
    <t>Google Home Max was a large, stereo smart speaker…featuring Smart Sound machine learning technology.</t>
  </si>
  <si>
    <t>2016–2020</t>
  </si>
  <si>
    <t>Science Journal was a mobile app that helped you run science experiments with your smartphone using the device's onboard sensors.</t>
  </si>
  <si>
    <t>YouTube VR allowed you to easily find and watch 360 videos and virtual reality content with SteamVR-compatible headsets.</t>
  </si>
  <si>
    <t>Trusted Contacts was an app that allowed users to share their location and view the location of specific users.</t>
  </si>
  <si>
    <t>2011–2020</t>
  </si>
  <si>
    <t>Google Play Music was a music and podcast streaming service, and online music locker.</t>
  </si>
  <si>
    <t>Nest Secure was a security system with an alarm, keypad, and motion sensor with an embedded microphone.</t>
  </si>
  <si>
    <t>YouTube Community Contributions allowed users to contribute translations…descriptions, closed captions or subtitles on YouTube content.</t>
  </si>
  <si>
    <t>Google Hire was an applicant tracking system to help small to medium businesses…manage the interview process.</t>
  </si>
  <si>
    <t>2019–2020</t>
  </si>
  <si>
    <t>Password Checkup provided a warning to users if they were using a username and password combination…known to be unsafe.</t>
  </si>
  <si>
    <t>Playground AR (aka AR Stickers) allowed users to place virtual characters and objects in augmented reality via the Camera App on Pixel phones.</t>
  </si>
  <si>
    <t>Focals were a custom-built smart glasses product with a transparent, holographic display…with third-party services like Uber and Alexa.</t>
  </si>
  <si>
    <t>CallJoy was an Area 120 project that provided phone automation for small-to-medium businesses allowing them to train the bot agent with responses to common customer questions.</t>
  </si>
  <si>
    <r>
      <t xml:space="preserve">AI‑driven virtual agent </t>
    </r>
    <r>
      <rPr>
        <b/>
        <sz val="11"/>
        <color theme="1"/>
        <rFont val="Arial"/>
        <family val="2"/>
      </rPr>
      <t>app/service</t>
    </r>
    <r>
      <rPr>
        <sz val="11"/>
        <color theme="1"/>
        <rFont val="Arial"/>
        <family val="2"/>
      </rPr>
      <t xml:space="preserve"> for SMB phone lines, handling FAQs, call routing, and analytics.</t>
    </r>
  </si>
  <si>
    <t>2020–2020</t>
  </si>
  <si>
    <t>Google Photos Print was a subscription service that automatically selected the best ten photos from the last thirty days which were mailed to user's homes.</t>
  </si>
  <si>
    <r>
      <t xml:space="preserve">Short‑lived print‑subscription </t>
    </r>
    <r>
      <rPr>
        <b/>
        <sz val="11"/>
        <color theme="1"/>
        <rFont val="Arial"/>
        <family val="2"/>
      </rPr>
      <t>service</t>
    </r>
    <r>
      <rPr>
        <sz val="11"/>
        <color theme="1"/>
        <rFont val="Arial"/>
        <family val="2"/>
      </rPr>
      <t xml:space="preserve"> offering monthly curated photo postcards directly from Google Photos.</t>
    </r>
  </si>
  <si>
    <t>2018–2020</t>
  </si>
  <si>
    <t>Pigeon Transit was a transit app that used crowdsourced information about delays, crowded trains, escalator outages, live entertainment, dirty or unsafe conditions.</t>
  </si>
  <si>
    <r>
      <t xml:space="preserve">NYC‑focused crowdsourced transit </t>
    </r>
    <r>
      <rPr>
        <b/>
        <sz val="11"/>
        <color theme="1"/>
        <rFont val="Arial"/>
        <family val="2"/>
      </rPr>
      <t>app</t>
    </r>
    <r>
      <rPr>
        <sz val="11"/>
        <color theme="1"/>
        <rFont val="Arial"/>
        <family val="2"/>
      </rPr>
      <t xml:space="preserve"> from Area 120, layering rider reports on top of existing transit data.</t>
    </r>
  </si>
  <si>
    <t>2008–2020</t>
  </si>
  <si>
    <t>Enhanced 404 Pages was a JavaScript library that added suggested URLs and a search box to a website's 404 Not Found page.</t>
  </si>
  <si>
    <r>
      <t xml:space="preserve">Webmaster </t>
    </r>
    <r>
      <rPr>
        <b/>
        <sz val="11"/>
        <color theme="1"/>
        <rFont val="Arial"/>
        <family val="2"/>
      </rPr>
      <t>service/library</t>
    </r>
    <r>
      <rPr>
        <sz val="11"/>
        <color theme="1"/>
        <rFont val="Arial"/>
        <family val="2"/>
      </rPr>
      <t xml:space="preserve"> helping sites retain users by surfacing internal search and suggested links on error pages.</t>
    </r>
  </si>
  <si>
    <t>Shoelace was an app used to find group activities with others who share your interests.</t>
  </si>
  <si>
    <r>
      <t xml:space="preserve">Hyperlocal social </t>
    </r>
    <r>
      <rPr>
        <b/>
        <sz val="11"/>
        <color theme="1"/>
        <rFont val="Arial"/>
        <family val="2"/>
      </rPr>
      <t>app</t>
    </r>
    <r>
      <rPr>
        <sz val="11"/>
        <color theme="1"/>
        <rFont val="Arial"/>
        <family val="2"/>
      </rPr>
      <t xml:space="preserve"> from Area 120 that organized IRL events and meetups around shared hobbies.</t>
    </r>
  </si>
  <si>
    <t>Neighbourly was a mobile app designed to help you learn about your neighborhood by asking other residents, and find out about local services and facilities in your area from people who live around you.</t>
  </si>
  <si>
    <r>
      <t xml:space="preserve">Q&amp;A‑style community </t>
    </r>
    <r>
      <rPr>
        <b/>
        <sz val="11"/>
        <color theme="1"/>
        <rFont val="Arial"/>
        <family val="2"/>
      </rPr>
      <t>app</t>
    </r>
    <r>
      <rPr>
        <sz val="11"/>
        <color theme="1"/>
        <rFont val="Arial"/>
        <family val="2"/>
      </rPr>
      <t xml:space="preserve"> aimed at emerging markets, emphasizing local knowledge and recommendations.</t>
    </r>
  </si>
  <si>
    <t>2014–2020</t>
  </si>
  <si>
    <t>Fabric was a platform that helped mobile teams build better apps, understand their users, and grow their business.</t>
  </si>
  <si>
    <r>
      <t xml:space="preserve">Mobile dev </t>
    </r>
    <r>
      <rPr>
        <b/>
        <sz val="11"/>
        <color theme="1"/>
        <rFont val="Arial"/>
        <family val="2"/>
      </rPr>
      <t>service</t>
    </r>
    <r>
      <rPr>
        <sz val="11"/>
        <color theme="1"/>
        <rFont val="Arial"/>
        <family val="2"/>
      </rPr>
      <t xml:space="preserve"> (Crashlytics, analytics, distribution) acquired from Twitter and later folded into Firebase.</t>
    </r>
  </si>
  <si>
    <t>Google Contributor was a program…that allowed users…to view the websites without any advertisements…</t>
  </si>
  <si>
    <r>
      <t xml:space="preserve">Ad‑replacement </t>
    </r>
    <r>
      <rPr>
        <b/>
        <sz val="11"/>
        <color theme="1"/>
        <rFont val="Arial"/>
        <family val="2"/>
      </rPr>
      <t>service</t>
    </r>
    <r>
      <rPr>
        <sz val="11"/>
        <color theme="1"/>
        <rFont val="Arial"/>
        <family val="2"/>
      </rPr>
      <t xml:space="preserve"> where user payments reduced Google‑served ads on participating sites, showing thank‑you messages instead.</t>
    </r>
  </si>
  <si>
    <t>Material Theme Editor was a plugin for Sketch App which allowed you to create a material-based design system for your app.</t>
  </si>
  <si>
    <r>
      <t xml:space="preserve">Design‑system </t>
    </r>
    <r>
      <rPr>
        <b/>
        <sz val="11"/>
        <color theme="1"/>
        <rFont val="Arial"/>
        <family val="2"/>
      </rPr>
      <t>tool/app</t>
    </r>
    <r>
      <rPr>
        <sz val="11"/>
        <color theme="1"/>
        <rFont val="Arial"/>
        <family val="2"/>
      </rPr>
      <t xml:space="preserve"> for generating Material Design themes and exporting assets/components.</t>
    </r>
  </si>
  <si>
    <t>2015–2020</t>
  </si>
  <si>
    <t>Google Station was a service that gave partners an easy set of tools to roll out Wi-Fi hotspots in public places.</t>
  </si>
  <si>
    <r>
      <t xml:space="preserve">Public Wi‑Fi </t>
    </r>
    <r>
      <rPr>
        <b/>
        <sz val="11"/>
        <color theme="1"/>
        <rFont val="Arial"/>
        <family val="2"/>
      </rPr>
      <t>service</t>
    </r>
    <r>
      <rPr>
        <sz val="11"/>
        <color theme="1"/>
        <rFont val="Arial"/>
        <family val="2"/>
      </rPr>
      <t xml:space="preserve"> providing software, guidelines, and branding for high‑speed access in transit hubs and venues.</t>
    </r>
  </si>
  <si>
    <t>2013–2020</t>
  </si>
  <si>
    <t>One Today was an app that allowed users to donate $1 to different organizations and discover how their donation would be used.</t>
  </si>
  <si>
    <r>
      <t xml:space="preserve">Charitable‑giving </t>
    </r>
    <r>
      <rPr>
        <b/>
        <sz val="11"/>
        <color theme="1"/>
        <rFont val="Arial"/>
        <family val="2"/>
      </rPr>
      <t>app</t>
    </r>
    <r>
      <rPr>
        <sz val="11"/>
        <color theme="1"/>
        <rFont val="Arial"/>
        <family val="2"/>
      </rPr>
      <t xml:space="preserve"> from Google.org promoting micro‑donations and social sharing of causes.</t>
    </r>
  </si>
  <si>
    <t>Androidify allowed users to create a custom Android avatar for themselves and others.</t>
  </si>
  <si>
    <r>
      <t xml:space="preserve">Brand‑engagement </t>
    </r>
    <r>
      <rPr>
        <b/>
        <sz val="11"/>
        <color theme="1"/>
        <rFont val="Arial"/>
        <family val="2"/>
      </rPr>
      <t>app</t>
    </r>
    <r>
      <rPr>
        <sz val="11"/>
        <color theme="1"/>
        <rFont val="Arial"/>
        <family val="2"/>
      </rPr>
      <t xml:space="preserve"> turning the Android mascot into customizable avatars for stickers, shareables, and merch.</t>
    </r>
  </si>
  <si>
    <t>2012–2020</t>
  </si>
  <si>
    <t>Google Fiber TV was an IPTV service that was bundled with Google Fiber.</t>
  </si>
  <si>
    <r>
      <t xml:space="preserve">Pay‑TV </t>
    </r>
    <r>
      <rPr>
        <b/>
        <sz val="11"/>
        <color theme="1"/>
        <rFont val="Arial"/>
        <family val="2"/>
      </rPr>
      <t>service</t>
    </r>
    <r>
      <rPr>
        <sz val="11"/>
        <color theme="1"/>
        <rFont val="Arial"/>
        <family val="2"/>
      </rPr>
      <t xml:space="preserve"> with linear channels and DVR delivered over Google Fiber; later dropped in favor of OTT partners.</t>
    </r>
  </si>
  <si>
    <t>2012–2019</t>
  </si>
  <si>
    <t>Field Trip was a mobile app that acted as a virtual tour guide…about points of interest near them.</t>
  </si>
  <si>
    <r>
      <t xml:space="preserve">Location‑aware </t>
    </r>
    <r>
      <rPr>
        <b/>
        <sz val="11"/>
        <color theme="1"/>
        <rFont val="Arial"/>
        <family val="2"/>
      </rPr>
      <t>app</t>
    </r>
    <r>
      <rPr>
        <sz val="11"/>
        <color theme="1"/>
        <rFont val="Arial"/>
        <family val="2"/>
      </rPr>
      <t xml:space="preserve"> surfacing historical, cultural, and commercial POIs in the background while users moved around.</t>
    </r>
  </si>
  <si>
    <t>2013–2019</t>
  </si>
  <si>
    <t>AdSense (mobile app) allowed users to manage their AdSense accounts in a native app for iOS and Android.</t>
  </si>
  <si>
    <r>
      <t xml:space="preserve">Publisher </t>
    </r>
    <r>
      <rPr>
        <b/>
        <sz val="11"/>
        <color theme="1"/>
        <rFont val="Arial"/>
        <family val="2"/>
      </rPr>
      <t>companion app</t>
    </r>
    <r>
      <rPr>
        <sz val="11"/>
        <color theme="1"/>
        <rFont val="Arial"/>
        <family val="2"/>
      </rPr>
      <t xml:space="preserve"> to view AdSense earnings, reports, and alerts on mobile.</t>
    </r>
  </si>
  <si>
    <t>2011–2019</t>
  </si>
  <si>
    <t>Google Correlate was a service that provided users information about how strongly the frequency of multiple search terms correlates…</t>
  </si>
  <si>
    <r>
      <t xml:space="preserve">Data‑analysis </t>
    </r>
    <r>
      <rPr>
        <b/>
        <sz val="11"/>
        <color theme="1"/>
        <rFont val="Arial"/>
        <family val="2"/>
      </rPr>
      <t>service</t>
    </r>
    <r>
      <rPr>
        <sz val="11"/>
        <color theme="1"/>
        <rFont val="Arial"/>
        <family val="2"/>
      </rPr>
      <t xml:space="preserve"> exploring temporal and geographic correlations between search queries and external variables.</t>
    </r>
  </si>
  <si>
    <t>2009–2019</t>
  </si>
  <si>
    <t>Google Translator Toolkit was a web application which allowed translators to edit and manage translations generated by Google Translate.</t>
  </si>
  <si>
    <r>
      <t xml:space="preserve">CAT (computer‑assisted translation) </t>
    </r>
    <r>
      <rPr>
        <b/>
        <sz val="11"/>
        <color theme="1"/>
        <rFont val="Arial"/>
        <family val="2"/>
      </rPr>
      <t>service</t>
    </r>
    <r>
      <rPr>
        <sz val="11"/>
        <color theme="1"/>
        <rFont val="Arial"/>
        <family val="2"/>
      </rPr>
      <t xml:space="preserve"> with translation memories and glossary management on top of MT output.</t>
    </r>
  </si>
  <si>
    <t>Google Fusion Tables was a web service for data management that provided a means for visualizing data in different charts, maps, and graphs.</t>
  </si>
  <si>
    <r>
      <t xml:space="preserve">Lightweight data‑viz </t>
    </r>
    <r>
      <rPr>
        <b/>
        <sz val="11"/>
        <color theme="1"/>
        <rFont val="Arial"/>
        <family val="2"/>
      </rPr>
      <t>service</t>
    </r>
    <r>
      <rPr>
        <sz val="11"/>
        <color theme="1"/>
        <rFont val="Arial"/>
        <family val="2"/>
      </rPr>
      <t xml:space="preserve"> for joining, filtering, and mapping tabular datasets, popular in journalism and research.</t>
    </r>
  </si>
  <si>
    <t>2018–2019</t>
  </si>
  <si>
    <t>Google Bulletin was a hyperlocal news service where users could post news from their neighborhood…</t>
  </si>
  <si>
    <r>
      <t xml:space="preserve">Citizen‑journalism </t>
    </r>
    <r>
      <rPr>
        <b/>
        <sz val="11"/>
        <color theme="1"/>
        <rFont val="Arial"/>
        <family val="2"/>
      </rPr>
      <t>service</t>
    </r>
    <r>
      <rPr>
        <sz val="11"/>
        <color theme="1"/>
        <rFont val="Arial"/>
        <family val="2"/>
      </rPr>
      <t xml:space="preserve"> focused on neighborhood‑level stories, photos, and short updates.</t>
    </r>
  </si>
  <si>
    <t>Touring Bird…helped users compare prices, book tours, tickets, and experiences, and learn about top destinations.</t>
  </si>
  <si>
    <r>
      <t xml:space="preserve">Travel‑activities </t>
    </r>
    <r>
      <rPr>
        <b/>
        <sz val="11"/>
        <color theme="1"/>
        <rFont val="Arial"/>
        <family val="2"/>
      </rPr>
      <t>service</t>
    </r>
    <r>
      <rPr>
        <sz val="11"/>
        <color theme="1"/>
        <rFont val="Arial"/>
        <family val="2"/>
      </rPr>
      <t xml:space="preserve"> listing tours and experiences with price comparison and curation for major cities.</t>
    </r>
  </si>
  <si>
    <t>2019–2019</t>
  </si>
  <si>
    <t>Game Builder was a multiplayer 3D game environment for creating new games without coding experience.</t>
  </si>
  <si>
    <r>
      <t xml:space="preserve">Sandbox </t>
    </r>
    <r>
      <rPr>
        <b/>
        <sz val="11"/>
        <color theme="1"/>
        <rFont val="Arial"/>
        <family val="2"/>
      </rPr>
      <t>app</t>
    </r>
    <r>
      <rPr>
        <sz val="11"/>
        <color theme="1"/>
        <rFont val="Arial"/>
        <family val="2"/>
      </rPr>
      <t xml:space="preserve"> from Area 120 for drag‑and‑drop game creation with multiplayer editing and simple scripting.</t>
    </r>
  </si>
  <si>
    <t>2017–2019</t>
  </si>
  <si>
    <t>Datally (formerly Triangle) was a smart app…that helped you save, manage, and share your mobile data.</t>
  </si>
  <si>
    <r>
      <t xml:space="preserve">Data‑saving </t>
    </r>
    <r>
      <rPr>
        <b/>
        <sz val="11"/>
        <color theme="1"/>
        <rFont val="Arial"/>
        <family val="2"/>
      </rPr>
      <t>utility app</t>
    </r>
    <r>
      <rPr>
        <sz val="11"/>
        <color theme="1"/>
        <rFont val="Arial"/>
        <family val="2"/>
      </rPr>
      <t xml:space="preserve"> for monitoring usage, restricting background data, and finding nearby Wi‑Fi.</t>
    </r>
  </si>
  <si>
    <t>Google Clips was a miniature clip-on camera that could automatically capture interesting or relevant video clips determined by machine learning algorithms.</t>
  </si>
  <si>
    <r>
      <t xml:space="preserve">AI‑powered </t>
    </r>
    <r>
      <rPr>
        <b/>
        <sz val="11"/>
        <color theme="1"/>
        <rFont val="Arial"/>
        <family val="2"/>
      </rPr>
      <t>hardware</t>
    </r>
    <r>
      <rPr>
        <sz val="11"/>
        <color theme="1"/>
        <rFont val="Arial"/>
        <family val="2"/>
      </rPr>
      <t xml:space="preserve"> camera aimed at candid family moments, selecting shots autonomously.</t>
    </r>
  </si>
  <si>
    <t>2016–2019</t>
  </si>
  <si>
    <t>Google Daydream was a virtual reality platform and set of hardware devices that worked with certain Android phones.</t>
  </si>
  <si>
    <r>
      <t xml:space="preserve">Mobile VR </t>
    </r>
    <r>
      <rPr>
        <b/>
        <sz val="11"/>
        <color theme="1"/>
        <rFont val="Arial"/>
        <family val="2"/>
      </rPr>
      <t>platform/hardware</t>
    </r>
    <r>
      <rPr>
        <sz val="11"/>
        <color theme="1"/>
        <rFont val="Arial"/>
        <family val="2"/>
      </rPr>
      <t xml:space="preserve"> including headsets and controllers, successor to Google Cardboard.</t>
    </r>
  </si>
  <si>
    <t>2010–2019</t>
  </si>
  <si>
    <t>YouTube Leanback was an optimized version of YouTube used for television web browsers and WebView application wrappers.</t>
  </si>
  <si>
    <r>
      <t xml:space="preserve">TV‑style </t>
    </r>
    <r>
      <rPr>
        <b/>
        <sz val="11"/>
        <color theme="1"/>
        <rFont val="Arial"/>
        <family val="2"/>
      </rPr>
      <t>service UI</t>
    </r>
    <r>
      <rPr>
        <sz val="11"/>
        <color theme="1"/>
        <rFont val="Arial"/>
        <family val="2"/>
      </rPr>
      <t xml:space="preserve"> designed for remote‑control navigation on smart TVs and embedded browsers.</t>
    </r>
  </si>
  <si>
    <t>Message Center was a web console where Gmail users could view and manage spam email messages.</t>
  </si>
  <si>
    <r>
      <t xml:space="preserve">Admin/user </t>
    </r>
    <r>
      <rPr>
        <b/>
        <sz val="11"/>
        <color theme="1"/>
        <rFont val="Arial"/>
        <family val="2"/>
      </rPr>
      <t>service</t>
    </r>
    <r>
      <rPr>
        <sz val="11"/>
        <color theme="1"/>
        <rFont val="Arial"/>
        <family val="2"/>
      </rPr>
      <t xml:space="preserve"> in the Gmail/Apps ecosystem for reviewing quarantined or filtered messages.</t>
    </r>
  </si>
  <si>
    <t>Follow Your World allowed users to register points of interest on Google Maps and receive email updates whenever the imagery was updated.</t>
  </si>
  <si>
    <r>
      <t xml:space="preserve">Niche Maps </t>
    </r>
    <r>
      <rPr>
        <b/>
        <sz val="11"/>
        <color theme="1"/>
        <rFont val="Arial"/>
        <family val="2"/>
      </rPr>
      <t>service</t>
    </r>
    <r>
      <rPr>
        <sz val="11"/>
        <color theme="1"/>
        <rFont val="Arial"/>
        <family val="2"/>
      </rPr>
      <t xml:space="preserve"> notifying users when satellite or aerial imagery for selected locations was refreshed.</t>
    </r>
  </si>
  <si>
    <t>G Suite Training…provided interactive and video-based training for 20 Google G Suite products…</t>
  </si>
  <si>
    <r>
      <t xml:space="preserve">In‑product training </t>
    </r>
    <r>
      <rPr>
        <b/>
        <sz val="11"/>
        <color theme="1"/>
        <rFont val="Arial"/>
        <family val="2"/>
      </rPr>
      <t>service/extension</t>
    </r>
    <r>
      <rPr>
        <sz val="11"/>
        <color theme="1"/>
        <rFont val="Arial"/>
        <family val="2"/>
      </rPr>
      <t xml:space="preserve"> overlaying guided tours and lessons inside G Suite/Workspace apps.</t>
    </r>
  </si>
  <si>
    <t>YouTube Messages was a direct messaging feature that allowed users to share and discuss videos one-on-one and in groups on YouTube.</t>
  </si>
  <si>
    <r>
      <t xml:space="preserve">Social </t>
    </r>
    <r>
      <rPr>
        <b/>
        <sz val="11"/>
        <color theme="1"/>
        <rFont val="Arial"/>
        <family val="2"/>
      </rPr>
      <t>service</t>
    </r>
    <r>
      <rPr>
        <sz val="11"/>
        <color theme="1"/>
        <rFont val="Arial"/>
        <family val="2"/>
      </rPr>
      <t xml:space="preserve"> embedded in YouTube, centered on link sharing and chat threads.</t>
    </r>
  </si>
  <si>
    <t>YouTube for Nintendo 3DS allowed users to stream YouTube videos on the portable gaming console.</t>
  </si>
  <si>
    <r>
      <t xml:space="preserve">Platform‑specific </t>
    </r>
    <r>
      <rPr>
        <b/>
        <sz val="11"/>
        <color theme="1"/>
        <rFont val="Arial"/>
        <family val="2"/>
      </rPr>
      <t>app</t>
    </r>
    <r>
      <rPr>
        <sz val="11"/>
        <color theme="1"/>
        <rFont val="Arial"/>
        <family val="2"/>
      </rPr>
      <t xml:space="preserve"> optimized for dual‑screen 3DS hardware with limited controls and resolution.</t>
    </r>
  </si>
  <si>
    <t>2014–2019</t>
  </si>
  <si>
    <t>Works with Nest was an API that allowed external services to access and control Nest devices.</t>
  </si>
  <si>
    <r>
      <t xml:space="preserve">Smart‑home </t>
    </r>
    <r>
      <rPr>
        <b/>
        <sz val="11"/>
        <color theme="1"/>
        <rFont val="Arial"/>
        <family val="2"/>
      </rPr>
      <t>integration service</t>
    </r>
    <r>
      <rPr>
        <sz val="11"/>
        <color theme="1"/>
        <rFont val="Arial"/>
        <family val="2"/>
      </rPr>
      <t xml:space="preserve"> enabling third‑party automation and ecosystem interoperability for Nest products.</t>
    </r>
  </si>
  <si>
    <t>Google Trips was a mobile app that allowed users to plan for upcoming travel…with summarized info about the user's destination.</t>
  </si>
  <si>
    <r>
      <t xml:space="preserve">Travel‑planning </t>
    </r>
    <r>
      <rPr>
        <b/>
        <sz val="11"/>
        <color theme="1"/>
        <rFont val="Arial"/>
        <family val="2"/>
      </rPr>
      <t>app</t>
    </r>
    <r>
      <rPr>
        <sz val="11"/>
        <color theme="1"/>
        <rFont val="Arial"/>
        <family val="2"/>
      </rPr>
      <t xml:space="preserve"> aggregating reservations from Gmail and surfacing offline city guides and day plans.</t>
    </r>
  </si>
  <si>
    <t>Hangouts on Air allowed users to host a multi-user video call while recording and streaming the call on YouTube.</t>
  </si>
  <si>
    <r>
      <t xml:space="preserve">Live‑broadcast </t>
    </r>
    <r>
      <rPr>
        <b/>
        <sz val="11"/>
        <color theme="1"/>
        <rFont val="Arial"/>
        <family val="2"/>
      </rPr>
      <t>service</t>
    </r>
    <r>
      <rPr>
        <sz val="11"/>
        <color theme="1"/>
        <rFont val="Arial"/>
        <family val="2"/>
      </rPr>
      <t xml:space="preserve"> combining Google+ Hangouts multi‑party video with public YouTube streaming.</t>
    </r>
  </si>
  <si>
    <t>Personal Blocklist was a Chrome Web Extension…that allowed users to block certain websites from appearing in Google search results.</t>
  </si>
  <si>
    <r>
      <t xml:space="preserve">Search‑control </t>
    </r>
    <r>
      <rPr>
        <b/>
        <sz val="11"/>
        <color theme="1"/>
        <rFont val="Arial"/>
        <family val="2"/>
      </rPr>
      <t>extension/service</t>
    </r>
    <r>
      <rPr>
        <sz val="11"/>
        <color theme="1"/>
        <rFont val="Arial"/>
        <family val="2"/>
      </rPr>
      <t xml:space="preserve"> giving users per‑site filtering directly influencing their own SERPs.</t>
    </r>
  </si>
  <si>
    <t>Dragonfly was a search engine designed to be compatible with China's state censorship provisions.</t>
  </si>
  <si>
    <r>
      <t xml:space="preserve">Controversial censored‑search </t>
    </r>
    <r>
      <rPr>
        <b/>
        <sz val="11"/>
        <color theme="1"/>
        <rFont val="Arial"/>
        <family val="2"/>
      </rPr>
      <t>service project</t>
    </r>
    <r>
      <rPr>
        <sz val="11"/>
        <color theme="1"/>
        <rFont val="Arial"/>
        <family val="2"/>
      </rPr>
      <t xml:space="preserve"> aimed at the Chinese market; never fully launched publicly.</t>
    </r>
  </si>
  <si>
    <t>2015–2019</t>
  </si>
  <si>
    <t>Google Jump was a cloud-based VR media solution that enabled 3D-360 media production by integrating customized capture solutions with best-in-class automated stitching.</t>
  </si>
  <si>
    <r>
      <t xml:space="preserve">End‑to‑end VR </t>
    </r>
    <r>
      <rPr>
        <b/>
        <sz val="11"/>
        <color theme="1"/>
        <rFont val="Arial"/>
        <family val="2"/>
      </rPr>
      <t>service/platform</t>
    </r>
    <r>
      <rPr>
        <sz val="11"/>
        <color theme="1"/>
        <rFont val="Arial"/>
        <family val="2"/>
      </rPr>
      <t xml:space="preserve"> combining camera rigs (e.g., GoPro Odyssey) with cloud stitching and processing.</t>
    </r>
  </si>
  <si>
    <t>Blog Compass was a blog management tool that integrated with WordPress and Blogger available only in India.</t>
  </si>
  <si>
    <t>Areo was a mobile app that allowed users…to order meals…or schedule appointments with local service professionals.</t>
  </si>
  <si>
    <t>YouTube Gaming was a video gaming-oriented service and app for videos and live streaming.</t>
  </si>
  <si>
    <t>Google Cloud Messaging (GCM) was a notification service that enabled developers to send messages between servers and client apps running on Android or Chrome.</t>
  </si>
  <si>
    <t>Data Saver was an extension for Chrome that routed web pages through Google servers to compress and reduce the user's bandwidth.</t>
  </si>
  <si>
    <t>Inbox by Gmail aimed to improve email through several key features.</t>
  </si>
  <si>
    <t>Google+ was an Internet-based social network.</t>
  </si>
  <si>
    <t>Google URL Shortener, also known as goo.gl, was a URL shortening service.</t>
  </si>
  <si>
    <t>Google Spotlight Stories was an app and content studio project which created immersive stories for mobile and VR.</t>
  </si>
  <si>
    <t>Google Allo was an instant messaging mobile app…with special features like a virtual assistant and encrypted mode.</t>
  </si>
  <si>
    <t>Mr. Jingles…displayed alerts and notifications from across multiple Google services.</t>
  </si>
  <si>
    <t>2008–2019</t>
  </si>
  <si>
    <t>YouTube Video Annotations allowed video creators to add interactive commentary…or links…</t>
  </si>
  <si>
    <t>Google Realtime API provided ways to synchronize resources between devices…on files stored on Google Drive.</t>
  </si>
  <si>
    <t>Chromecast Audio was a device that allowed users to stream audio from any device to any speaker with an audio input.</t>
  </si>
  <si>
    <t>2002–2018</t>
  </si>
  <si>
    <t>Google Search Appliance was a rack-mounted device that provided document indexing functionality.</t>
  </si>
  <si>
    <t>2015–2018</t>
  </si>
  <si>
    <t>Google Nearby Notifications were a proximity marketing tool using Bluetooth beacons and location-based data to serve content relevant to an Android user's real-world location.</t>
  </si>
  <si>
    <t>2007–2018</t>
  </si>
  <si>
    <t>Google Pinyin IME was an input method…to input characters from pinyin.</t>
  </si>
  <si>
    <t>2016–2018</t>
  </si>
  <si>
    <t>Google News &amp; Weather was a news aggregator application available on the Android and iOS operating systems.</t>
  </si>
  <si>
    <t>2018–2018</t>
  </si>
  <si>
    <t>Reply was a mobile app that let users insert Smart Replies…into conversations on messaging apps.</t>
  </si>
  <si>
    <t>2017–2018</t>
  </si>
  <si>
    <t>Tez was a mobile payments service by Google, targeted at users in India. It was rebranded to Google Pay.</t>
  </si>
  <si>
    <t>2010–2018</t>
  </si>
  <si>
    <t>Google Goggles was used for searches based on pictures taken by handheld devices.</t>
  </si>
  <si>
    <t>Save to Google Chrome Extension enabled you to quickly save a page link with image and tags to a Pocket-like app.</t>
  </si>
  <si>
    <t>2013–2018</t>
  </si>
  <si>
    <t>Google Play Newsstand was a news aggregator and digital newsstand service.</t>
  </si>
  <si>
    <t>Encrypted Search provided users with anonymous internet searching.</t>
  </si>
  <si>
    <t>Google Cloud Prediction API was a PaaS for machine learning (ML) functionality…</t>
  </si>
  <si>
    <t>QPX Express API</t>
  </si>
  <si>
    <t>A service…for long-tail travel clients…to find better flight information online.</t>
  </si>
  <si>
    <t>2008–2018</t>
  </si>
  <si>
    <t>Google's Site Search was a service that enabled any website to add a custom search field powered by Google.</t>
  </si>
  <si>
    <t>reCAPTCHA Mailhide allowed users to mask their email address behind a captcha…</t>
  </si>
  <si>
    <t>SoundStage was a virtual reality music sandbox built specifically for room-scale VR.</t>
  </si>
  <si>
    <t>2014–2017</t>
  </si>
  <si>
    <t>Project Tango was an API for augmented reality apps that was killed and replaced by ARCore.</t>
  </si>
  <si>
    <t>2006–2017</t>
  </si>
  <si>
    <t>Portfolios was a feature available in Google Finance to track personal financial securities.</t>
  </si>
  <si>
    <t>2010–2017</t>
  </si>
  <si>
    <t>YouTube Video Editor was a web-based tool for editing, merging, and adding special effects to video content.</t>
  </si>
  <si>
    <t>2007–2017</t>
  </si>
  <si>
    <t>Trendalyzer was a data trend viewing platform.</t>
  </si>
  <si>
    <t>2013–2017</t>
  </si>
  <si>
    <t>Glass OS (Google XE) was a version of Google's Android operating system designed for Google Glass.</t>
  </si>
  <si>
    <t>2008–2017</t>
  </si>
  <si>
    <t>Google Map Maker was a mapping and map editing service where users were able to draw features directly onto a map.</t>
  </si>
  <si>
    <t>Chromebook Pixel was a first-of-its-kind laptop built by Google that ran Chrome OS…</t>
  </si>
  <si>
    <t>2016–2017</t>
  </si>
  <si>
    <t>Google Spaces was an app for group discussions and messaging.</t>
  </si>
  <si>
    <t>Google Hands Free was a mobile payment system that allowed users to pay…by saying “I'll pay with Google.”</t>
  </si>
  <si>
    <t>Build with Chrome…allowed users to build and publish LEGO creations…through Google Maps.</t>
  </si>
  <si>
    <t>Google Gesture Search allowed users to search…by drawing letters or numbers onto the screen.</t>
  </si>
  <si>
    <t>2005–2016</t>
  </si>
  <si>
    <t>Panoramio was a geo-location tagging and photo sharing product.</t>
  </si>
  <si>
    <t>Google Showtimes was a standalone movie search result page.</t>
  </si>
  <si>
    <t>2012–2016</t>
  </si>
  <si>
    <t>Pixate was a platform for creating sophisticated animations and interactions…through 100% native prototypes.</t>
  </si>
  <si>
    <t>2010–2016</t>
  </si>
  <si>
    <t>Google Nexus was Google's line of flagship Android phones, tablets, and accessories.</t>
  </si>
  <si>
    <t>2015–2016</t>
  </si>
  <si>
    <t>Together was a watch face for Android Wear that let two users link their watches together to share small visual messages.</t>
  </si>
  <si>
    <r>
      <t xml:space="preserve">Android Wear </t>
    </r>
    <r>
      <rPr>
        <b/>
        <sz val="11"/>
        <color theme="1"/>
        <rFont val="Arial"/>
        <family val="2"/>
      </rPr>
      <t>app/watch face</t>
    </r>
    <r>
      <rPr>
        <sz val="11"/>
        <color theme="1"/>
        <rFont val="Arial"/>
        <family val="2"/>
      </rPr>
      <t xml:space="preserve"> focused on lightweight, paired social sharing (stickers, doodles, emojis) between two people.</t>
    </r>
  </si>
  <si>
    <t>2013–2016</t>
  </si>
  <si>
    <t>Project Ara was a modular smartphone project under development by Google.</t>
  </si>
  <si>
    <r>
      <t xml:space="preserve">Experimental </t>
    </r>
    <r>
      <rPr>
        <b/>
        <sz val="11"/>
        <color theme="1"/>
        <rFont val="Arial"/>
        <family val="2"/>
      </rPr>
      <t>hardware</t>
    </r>
    <r>
      <rPr>
        <sz val="11"/>
        <color theme="1"/>
        <rFont val="Arial"/>
        <family val="2"/>
      </rPr>
      <t xml:space="preserve"> platform for swappable phone modules (camera, battery, etc.), canceled before consumer launch.</t>
    </r>
  </si>
  <si>
    <t>Web hosting in Google Drive allowed users to publish live websites by uploading HTML, CSS, and other files.</t>
  </si>
  <si>
    <r>
      <t xml:space="preserve">Simple static‑site </t>
    </r>
    <r>
      <rPr>
        <b/>
        <sz val="11"/>
        <color theme="1"/>
        <rFont val="Arial"/>
        <family val="2"/>
      </rPr>
      <t>service</t>
    </r>
    <r>
      <rPr>
        <sz val="11"/>
        <color theme="1"/>
        <rFont val="Arial"/>
        <family val="2"/>
      </rPr>
      <t xml:space="preserve"> using Drive as a file host with public URLs for HTML content.</t>
    </r>
  </si>
  <si>
    <t>2011–2016</t>
  </si>
  <si>
    <t>Google Swiffy was a web-based tool that converted SWF files to HTML5.</t>
  </si>
  <si>
    <r>
      <t xml:space="preserve">Migration </t>
    </r>
    <r>
      <rPr>
        <b/>
        <sz val="11"/>
        <color theme="1"/>
        <rFont val="Arial"/>
        <family val="2"/>
      </rPr>
      <t>service</t>
    </r>
    <r>
      <rPr>
        <sz val="11"/>
        <color theme="1"/>
        <rFont val="Arial"/>
        <family val="2"/>
      </rPr>
      <t xml:space="preserve"> helping publishers move Flash content to HTML5 for modern browsers.</t>
    </r>
  </si>
  <si>
    <t>Google Wallet Card was a prepaid debit card that let users pay…using their Wallet balance at any retailer that accepted MasterCard.</t>
  </si>
  <si>
    <r>
      <t xml:space="preserve">Companion </t>
    </r>
    <r>
      <rPr>
        <b/>
        <sz val="11"/>
        <color theme="1"/>
        <rFont val="Arial"/>
        <family val="2"/>
      </rPr>
      <t>hardware/card</t>
    </r>
    <r>
      <rPr>
        <sz val="11"/>
        <color theme="1"/>
        <rFont val="Arial"/>
        <family val="2"/>
      </rPr>
      <t xml:space="preserve"> for Google Wallet, bridging digital balances to physical point‑of‑sale.</t>
    </r>
  </si>
  <si>
    <t>2014–2016</t>
  </si>
  <si>
    <t>Nexus Player was a digital media player that allowed users to play music, watch video… and play games.</t>
  </si>
  <si>
    <t>Android TV hardware reference device with remote and optional gamepad, co‑developed with Asus.wikipedia​</t>
  </si>
  <si>
    <t>Revolv was a monitoring and control system that allowed users to control their connected devices from a single hub.</t>
  </si>
  <si>
    <r>
      <t xml:space="preserve">Early smart‑home hub </t>
    </r>
    <r>
      <rPr>
        <b/>
        <sz val="11"/>
        <color theme="1"/>
        <rFont val="Arial"/>
        <family val="2"/>
      </rPr>
      <t>hardware/service</t>
    </r>
    <r>
      <rPr>
        <sz val="11"/>
        <color theme="1"/>
        <rFont val="Arial"/>
        <family val="2"/>
      </rPr>
      <t xml:space="preserve"> integrating multiple protocols, acquired then shut down after Nest integration.</t>
    </r>
  </si>
  <si>
    <t>2007–2016</t>
  </si>
  <si>
    <t>Freebase was a large collaborative knowledge base consisting of structured data…</t>
  </si>
  <si>
    <r>
      <t xml:space="preserve">Community‑driven graph </t>
    </r>
    <r>
      <rPr>
        <b/>
        <sz val="11"/>
        <color theme="1"/>
        <rFont val="Arial"/>
        <family val="2"/>
      </rPr>
      <t>service</t>
    </r>
    <r>
      <rPr>
        <sz val="11"/>
        <color theme="1"/>
        <rFont val="Arial"/>
        <family val="2"/>
      </rPr>
      <t xml:space="preserve"> whose data seeded and influenced Google’s Knowledge Graph.</t>
    </r>
  </si>
  <si>
    <t>Google Now was a feature of Google Search that offered predictive cards with information and daily updates…</t>
  </si>
  <si>
    <r>
      <t xml:space="preserve">Contextual assistant </t>
    </r>
    <r>
      <rPr>
        <b/>
        <sz val="11"/>
        <color theme="1"/>
        <rFont val="Arial"/>
        <family val="2"/>
      </rPr>
      <t>service</t>
    </r>
    <r>
      <rPr>
        <sz val="11"/>
        <color theme="1"/>
        <rFont val="Arial"/>
        <family val="2"/>
      </rPr>
      <t xml:space="preserve"> providing proactive cards for weather, commutes, reminders; precursor to Assistant feed.</t>
    </r>
  </si>
  <si>
    <t>2009–2016</t>
  </si>
  <si>
    <t>MyTracks was a GPS tracking application for Android…</t>
  </si>
  <si>
    <r>
      <t xml:space="preserve">Fitness/mapping </t>
    </r>
    <r>
      <rPr>
        <b/>
        <sz val="11"/>
        <color theme="1"/>
        <rFont val="Arial"/>
        <family val="2"/>
      </rPr>
      <t>app</t>
    </r>
    <r>
      <rPr>
        <sz val="11"/>
        <color theme="1"/>
        <rFont val="Arial"/>
        <family val="2"/>
      </rPr>
      <t xml:space="preserve"> logging routes and exporting tracks to services like Google Maps and Google Drive.</t>
    </r>
  </si>
  <si>
    <t>uWeave was an implementation of the Weave protocol intended for use on microcontroller-based devices.</t>
  </si>
  <si>
    <r>
      <t xml:space="preserve">Embedded </t>
    </r>
    <r>
      <rPr>
        <b/>
        <sz val="11"/>
        <color theme="1"/>
        <rFont val="Arial"/>
        <family val="2"/>
      </rPr>
      <t>protocol/app</t>
    </r>
    <r>
      <rPr>
        <sz val="11"/>
        <color theme="1"/>
        <rFont val="Arial"/>
        <family val="2"/>
      </rPr>
      <t xml:space="preserve"> implementation enabling small IoT devices to speak Google’s Weave standard.</t>
    </r>
  </si>
  <si>
    <t>Google Compare allowed consumers to compare several offers ranging from insurance, mortgage, and credit cards.</t>
  </si>
  <si>
    <r>
      <t xml:space="preserve">Financial comparison </t>
    </r>
    <r>
      <rPr>
        <b/>
        <sz val="11"/>
        <color theme="1"/>
        <rFont val="Arial"/>
        <family val="2"/>
      </rPr>
      <t>service</t>
    </r>
    <r>
      <rPr>
        <sz val="11"/>
        <color theme="1"/>
        <rFont val="Arial"/>
        <family val="2"/>
      </rPr>
      <t xml:space="preserve"> surfacing quotes and product terms from multiple providers in search‑like UIs.</t>
    </r>
  </si>
  <si>
    <t>Google Maps Coordinate was a service for managing mobile workforces with the help of mobile apps and a web-based dashboard.</t>
  </si>
  <si>
    <r>
      <t xml:space="preserve">Workforce‑management </t>
    </r>
    <r>
      <rPr>
        <b/>
        <sz val="11"/>
        <color theme="1"/>
        <rFont val="Arial"/>
        <family val="2"/>
      </rPr>
      <t>service</t>
    </r>
    <r>
      <rPr>
        <sz val="11"/>
        <color theme="1"/>
        <rFont val="Arial"/>
        <family val="2"/>
      </rPr>
      <t xml:space="preserve"> combining location tracking and dispatch for field employees.</t>
    </r>
  </si>
  <si>
    <t>Pie was a work-centric group chat website and app comparable to Slack.</t>
  </si>
  <si>
    <r>
      <t xml:space="preserve">Team chat </t>
    </r>
    <r>
      <rPr>
        <b/>
        <sz val="11"/>
        <color theme="1"/>
        <rFont val="Arial"/>
        <family val="2"/>
      </rPr>
      <t>service/app</t>
    </r>
    <r>
      <rPr>
        <sz val="11"/>
        <color theme="1"/>
        <rFont val="Arial"/>
        <family val="2"/>
      </rPr>
      <t xml:space="preserve"> acquired by Google and later discontinued as messaging strategy shifted.</t>
    </r>
  </si>
  <si>
    <t>Google Maps Engine was an online tool for map creation…</t>
  </si>
  <si>
    <r>
      <t xml:space="preserve">Enterprise mapping </t>
    </r>
    <r>
      <rPr>
        <b/>
        <sz val="11"/>
        <color theme="1"/>
        <rFont val="Arial"/>
        <family val="2"/>
      </rPr>
      <t>service</t>
    </r>
    <r>
      <rPr>
        <sz val="11"/>
        <color theme="1"/>
        <rFont val="Arial"/>
        <family val="2"/>
      </rPr>
      <t xml:space="preserve"> for hosting and styling large geospatial datasets on top of Google Maps.</t>
    </r>
  </si>
  <si>
    <t>Songza was a free music streaming service that would recommend…playlists based on time of day and mood or activity.</t>
  </si>
  <si>
    <r>
      <t xml:space="preserve">Curated‑playlist </t>
    </r>
    <r>
      <rPr>
        <b/>
        <sz val="11"/>
        <color theme="1"/>
        <rFont val="Arial"/>
        <family val="2"/>
      </rPr>
      <t>service</t>
    </r>
    <r>
      <rPr>
        <sz val="11"/>
        <color theme="1"/>
        <rFont val="Arial"/>
        <family val="2"/>
      </rPr>
      <t xml:space="preserve"> whose concierge concept was folded into Google Play Music and later YouTube Music.</t>
    </r>
  </si>
  <si>
    <t>Google Code was a service that provided revision control, an issue tracker, and a wiki for code documentation.</t>
  </si>
  <si>
    <r>
      <t xml:space="preserve">Developer‑hosting </t>
    </r>
    <r>
      <rPr>
        <b/>
        <sz val="11"/>
        <color theme="1"/>
        <rFont val="Arial"/>
        <family val="2"/>
      </rPr>
      <t>service</t>
    </r>
    <r>
      <rPr>
        <sz val="11"/>
        <color theme="1"/>
        <rFont val="Arial"/>
        <family val="2"/>
      </rPr>
      <t xml:space="preserve"> similar to SourceForge, later replaced by GitHub/Bitbucket and Google’s own Git offerings.</t>
    </r>
  </si>
  <si>
    <t>2005–2015</t>
  </si>
  <si>
    <t>Google Blog Search API was a way to search blogs utilizing Google.</t>
  </si>
  <si>
    <r>
      <t xml:space="preserve">Vertically focused search </t>
    </r>
    <r>
      <rPr>
        <b/>
        <sz val="11"/>
        <color theme="1"/>
        <rFont val="Arial"/>
        <family val="2"/>
      </rPr>
      <t>service/API</t>
    </r>
    <r>
      <rPr>
        <sz val="11"/>
        <color theme="1"/>
        <rFont val="Arial"/>
        <family val="2"/>
      </rPr>
      <t xml:space="preserve"> indexing blog content across the web.</t>
    </r>
  </si>
  <si>
    <t>2008–2015</t>
  </si>
  <si>
    <t>Google Earth Browser Plug-in allowed developers to embed Google Earth into web pages…</t>
  </si>
  <si>
    <r>
      <t xml:space="preserve">3D mapping </t>
    </r>
    <r>
      <rPr>
        <b/>
        <sz val="11"/>
        <color theme="1"/>
        <rFont val="Arial"/>
        <family val="2"/>
      </rPr>
      <t>plugin/service</t>
    </r>
    <r>
      <rPr>
        <sz val="11"/>
        <color theme="1"/>
        <rFont val="Arial"/>
        <family val="2"/>
      </rPr>
      <t xml:space="preserve"> with JavaScript API for interactive Earth views in legacy browsers.</t>
    </r>
  </si>
  <si>
    <t>2012–2015</t>
  </si>
  <si>
    <t>Timeful was an iOS to-do list and calendar application…</t>
  </si>
  <si>
    <r>
      <t xml:space="preserve">Intelligent scheduling </t>
    </r>
    <r>
      <rPr>
        <b/>
        <sz val="11"/>
        <color theme="1"/>
        <rFont val="Arial"/>
        <family val="2"/>
      </rPr>
      <t>app</t>
    </r>
    <r>
      <rPr>
        <sz val="11"/>
        <color theme="1"/>
        <rFont val="Arial"/>
        <family val="2"/>
      </rPr>
      <t xml:space="preserve"> whose technology influenced smart suggestions in Google Calendar and Inbox.</t>
    </r>
  </si>
  <si>
    <t>2002–2015</t>
  </si>
  <si>
    <t>Picasa was an image organizer and image viewer for organizing and editing digital photos.</t>
  </si>
  <si>
    <r>
      <t xml:space="preserve">Desktop photo‑management </t>
    </r>
    <r>
      <rPr>
        <b/>
        <sz val="11"/>
        <color theme="1"/>
        <rFont val="Arial"/>
        <family val="2"/>
      </rPr>
      <t>service/app</t>
    </r>
    <r>
      <rPr>
        <sz val="11"/>
        <color theme="1"/>
        <rFont val="Arial"/>
        <family val="2"/>
      </rPr>
      <t xml:space="preserve"> ultimately superseded by Google Photos.</t>
    </r>
  </si>
  <si>
    <t>Google Flu Trends was a service attempting to make accurate predictions about flu activity.</t>
  </si>
  <si>
    <r>
      <t xml:space="preserve">Epidemiological </t>
    </r>
    <r>
      <rPr>
        <b/>
        <sz val="11"/>
        <color theme="1"/>
        <rFont val="Arial"/>
        <family val="2"/>
      </rPr>
      <t>service</t>
    </r>
    <r>
      <rPr>
        <sz val="11"/>
        <color theme="1"/>
        <rFont val="Arial"/>
        <family val="2"/>
      </rPr>
      <t xml:space="preserve"> using aggregated search query data to estimate flu prevalence.</t>
    </r>
  </si>
  <si>
    <t>2011–2015</t>
  </si>
  <si>
    <t>Google Catalogs was a shopping application that delivered the virtual catalogs of large retailers to users.</t>
  </si>
  <si>
    <r>
      <t xml:space="preserve">Tablet‑oriented catalog </t>
    </r>
    <r>
      <rPr>
        <b/>
        <sz val="11"/>
        <color theme="1"/>
        <rFont val="Arial"/>
        <family val="2"/>
      </rPr>
      <t>service/app</t>
    </r>
    <r>
      <rPr>
        <sz val="11"/>
        <color theme="1"/>
        <rFont val="Arial"/>
        <family val="2"/>
      </rPr>
      <t xml:space="preserve"> for browsing interactive retailer catalogs.</t>
    </r>
  </si>
  <si>
    <t>Google Moderator was a service that used crowdsourcing to rank user-submitted questions, suggestions, and ideas.</t>
  </si>
  <si>
    <r>
      <t xml:space="preserve">Q&amp;A and idea‑ranking </t>
    </r>
    <r>
      <rPr>
        <b/>
        <sz val="11"/>
        <color theme="1"/>
        <rFont val="Arial"/>
        <family val="2"/>
      </rPr>
      <t>service</t>
    </r>
    <r>
      <rPr>
        <sz val="11"/>
        <color theme="1"/>
        <rFont val="Arial"/>
        <family val="2"/>
      </rPr>
      <t xml:space="preserve"> used in events, town halls, and product feedback.</t>
    </r>
  </si>
  <si>
    <t>Android @ Home allowed a user’s device to discover, connect, and communicate with devices and appliances in the home.</t>
  </si>
  <si>
    <r>
      <t xml:space="preserve">Early smart‑home </t>
    </r>
    <r>
      <rPr>
        <b/>
        <sz val="11"/>
        <color theme="1"/>
        <rFont val="Arial"/>
        <family val="2"/>
      </rPr>
      <t>service/platform</t>
    </r>
    <r>
      <rPr>
        <sz val="11"/>
        <color theme="1"/>
        <rFont val="Arial"/>
        <family val="2"/>
      </rPr>
      <t xml:space="preserve"> concept that informed later Google Home/Nest strategies.</t>
    </r>
  </si>
  <si>
    <t>2013–2015</t>
  </si>
  <si>
    <t>Google Helpouts was an online collaboration service where users could share their expertise through live video.</t>
  </si>
  <si>
    <r>
      <t xml:space="preserve">Expert‑marketplace </t>
    </r>
    <r>
      <rPr>
        <b/>
        <sz val="11"/>
        <color theme="1"/>
        <rFont val="Arial"/>
        <family val="2"/>
      </rPr>
      <t>service</t>
    </r>
    <r>
      <rPr>
        <sz val="11"/>
        <color theme="1"/>
        <rFont val="Arial"/>
        <family val="2"/>
      </rPr>
      <t xml:space="preserve"> connecting teachers/pros with users over scheduled Hangouts.</t>
    </r>
  </si>
  <si>
    <t>YouTube for PlayStation Vita was a native YouTube browsing and viewing application for the PS Vita and PSTV game consoles.</t>
  </si>
  <si>
    <r>
      <t xml:space="preserve">Console‑targeted </t>
    </r>
    <r>
      <rPr>
        <b/>
        <sz val="11"/>
        <color theme="1"/>
        <rFont val="Arial"/>
        <family val="2"/>
      </rPr>
      <t>app</t>
    </r>
    <r>
      <rPr>
        <sz val="11"/>
        <color theme="1"/>
        <rFont val="Arial"/>
        <family val="2"/>
      </rPr>
      <t xml:space="preserve"> optimized for Vita hardware and controls.</t>
    </r>
  </si>
  <si>
    <t>BebaPay was a form of electronic ticketing platform in Nairobi, Kenya…</t>
  </si>
  <si>
    <r>
      <t xml:space="preserve">Transit payments </t>
    </r>
    <r>
      <rPr>
        <b/>
        <sz val="11"/>
        <color theme="1"/>
        <rFont val="Arial"/>
        <family val="2"/>
      </rPr>
      <t>service/card</t>
    </r>
    <r>
      <rPr>
        <sz val="11"/>
        <color theme="1"/>
        <rFont val="Arial"/>
        <family val="2"/>
      </rPr>
      <t xml:space="preserve"> using NFC smartcards tied to bank accounts for bus fares.</t>
    </r>
  </si>
  <si>
    <t>Google Play Edition devices were a series of Android smartphones and tablets sold by Google.</t>
  </si>
  <si>
    <r>
      <t xml:space="preserve">Stock‑Android </t>
    </r>
    <r>
      <rPr>
        <b/>
        <sz val="11"/>
        <color theme="1"/>
        <rFont val="Arial"/>
        <family val="2"/>
      </rPr>
      <t>hardware</t>
    </r>
    <r>
      <rPr>
        <sz val="11"/>
        <color theme="1"/>
        <rFont val="Arial"/>
        <family val="2"/>
      </rPr>
      <t xml:space="preserve"> line using OEM flagships (e.g., HTC, Samsung) with Google Play‑sold, bloat‑free builds.</t>
    </r>
  </si>
  <si>
    <t>Google Glass Explorer Edition was a wearable computer with an optical head-mounted display and camera…</t>
  </si>
  <si>
    <r>
      <t xml:space="preserve">Early AR </t>
    </r>
    <r>
      <rPr>
        <b/>
        <sz val="11"/>
        <color theme="1"/>
        <rFont val="Arial"/>
        <family val="2"/>
      </rPr>
      <t>hardware</t>
    </r>
    <r>
      <rPr>
        <sz val="11"/>
        <color theme="1"/>
        <rFont val="Arial"/>
        <family val="2"/>
      </rPr>
      <t xml:space="preserve"> for developers/early adopters, later followed by enterprise‑focused Glass revisions.</t>
    </r>
  </si>
  <si>
    <t>2010–2015</t>
  </si>
  <si>
    <t>Word Lens translated text in real time on images by using the viewfinder of a device's camera…</t>
  </si>
  <si>
    <r>
      <t xml:space="preserve">Pioneering visual‑translation </t>
    </r>
    <r>
      <rPr>
        <b/>
        <sz val="11"/>
        <color theme="1"/>
        <rFont val="Arial"/>
        <family val="2"/>
      </rPr>
      <t>app</t>
    </r>
    <r>
      <rPr>
        <sz val="11"/>
        <color theme="1"/>
        <rFont val="Arial"/>
        <family val="2"/>
      </rPr>
      <t>, whose core tech became part of Google Translate’s camera mode.</t>
    </r>
  </si>
  <si>
    <t>2004–2014</t>
  </si>
  <si>
    <t>Orkut was a social network designed to help users meet new and old friends…</t>
  </si>
  <si>
    <r>
      <t xml:space="preserve">Early global </t>
    </r>
    <r>
      <rPr>
        <b/>
        <sz val="11"/>
        <color theme="1"/>
        <rFont val="Arial"/>
        <family val="2"/>
      </rPr>
      <t>social network</t>
    </r>
    <r>
      <rPr>
        <sz val="11"/>
        <color theme="1"/>
        <rFont val="Arial"/>
        <family val="2"/>
      </rPr>
      <t xml:space="preserve"> particularly strong in Brazil and India before being eclipsed by Facebook.</t>
    </r>
  </si>
  <si>
    <t>Google TV (platform)</t>
  </si>
  <si>
    <t>2010–2014</t>
  </si>
  <si>
    <t>Google TV was a smart TV platform that integrated Android and Chrome to create an interactive television overlay.</t>
  </si>
  <si>
    <r>
      <t xml:space="preserve">Pre‑Android TV </t>
    </r>
    <r>
      <rPr>
        <b/>
        <sz val="11"/>
        <color theme="1"/>
        <rFont val="Arial"/>
        <family val="2"/>
      </rPr>
      <t>hardware/platform</t>
    </r>
    <r>
      <rPr>
        <sz val="11"/>
        <color theme="1"/>
        <rFont val="Arial"/>
        <family val="2"/>
      </rPr>
      <t xml:space="preserve"> combining set‑top boxes/TVs with search and app overlays.</t>
    </r>
  </si>
  <si>
    <t>2013–2014</t>
  </si>
  <si>
    <t>Quickoffice was a productivity suite for mobile devices…</t>
  </si>
  <si>
    <r>
      <t xml:space="preserve">Mobile office </t>
    </r>
    <r>
      <rPr>
        <b/>
        <sz val="11"/>
        <color theme="1"/>
        <rFont val="Arial"/>
        <family val="2"/>
      </rPr>
      <t>app</t>
    </r>
    <r>
      <rPr>
        <sz val="11"/>
        <color theme="1"/>
        <rFont val="Arial"/>
        <family val="2"/>
      </rPr>
      <t xml:space="preserve"> whose features were integrated into Google Docs, Sheets, and Slides.</t>
    </r>
  </si>
  <si>
    <t>2007–2014</t>
  </si>
  <si>
    <t>Google Questions and Answers was a free knowledge market…</t>
  </si>
  <si>
    <r>
      <t xml:space="preserve">Community Q&amp;A </t>
    </r>
    <r>
      <rPr>
        <b/>
        <sz val="11"/>
        <color theme="1"/>
        <rFont val="Arial"/>
        <family val="2"/>
      </rPr>
      <t>service</t>
    </r>
    <r>
      <rPr>
        <sz val="11"/>
        <color theme="1"/>
        <rFont val="Arial"/>
        <family val="2"/>
      </rPr>
      <t xml:space="preserve"> similar to Yahoo Answers, region‑specific (notably Russia, some others).</t>
    </r>
  </si>
  <si>
    <t>2012–2014</t>
  </si>
  <si>
    <t>Wildfire by Google was a social marketing application…</t>
  </si>
  <si>
    <r>
      <t xml:space="preserve">Social‑marketing </t>
    </r>
    <r>
      <rPr>
        <b/>
        <sz val="11"/>
        <color theme="1"/>
        <rFont val="Arial"/>
        <family val="2"/>
      </rPr>
      <t>service</t>
    </r>
    <r>
      <rPr>
        <sz val="11"/>
        <color theme="1"/>
        <rFont val="Arial"/>
        <family val="2"/>
      </rPr>
      <t xml:space="preserve"> for campaign management on Facebook, Twitter and other networks, later wound down.</t>
    </r>
  </si>
  <si>
    <t>BufferBox was a Canadian startup that provided consumers 24/7 convenience of picking up their online purchases.</t>
  </si>
  <si>
    <r>
      <t xml:space="preserve">Parcel‑locker </t>
    </r>
    <r>
      <rPr>
        <b/>
        <sz val="11"/>
        <color theme="1"/>
        <rFont val="Arial"/>
        <family val="2"/>
      </rPr>
      <t>service/hardware</t>
    </r>
    <r>
      <rPr>
        <sz val="11"/>
        <color theme="1"/>
        <rFont val="Arial"/>
        <family val="2"/>
      </rPr>
      <t xml:space="preserve"> network for last‑mile delivery, precursor to other locker initiatives.</t>
    </r>
  </si>
  <si>
    <t>SlickLogin…developed sound-based password alternatives…</t>
  </si>
  <si>
    <r>
      <t xml:space="preserve">Security </t>
    </r>
    <r>
      <rPr>
        <b/>
        <sz val="11"/>
        <color theme="1"/>
        <rFont val="Arial"/>
        <family val="2"/>
      </rPr>
      <t>service/tech</t>
    </r>
    <r>
      <rPr>
        <sz val="11"/>
        <color theme="1"/>
        <rFont val="Arial"/>
        <family val="2"/>
      </rPr>
      <t xml:space="preserve"> using ultrasonic audio for proximity‑based authentication; never productized post‑acquisition.</t>
    </r>
  </si>
  <si>
    <t>2011–2014</t>
  </si>
  <si>
    <t>Google Schemer was a Google service for sharing and discovering things to do.</t>
  </si>
  <si>
    <r>
      <t xml:space="preserve">Activity‑discovery </t>
    </r>
    <r>
      <rPr>
        <b/>
        <sz val="11"/>
        <color theme="1"/>
        <rFont val="Arial"/>
        <family val="2"/>
      </rPr>
      <t>service</t>
    </r>
    <r>
      <rPr>
        <sz val="11"/>
        <color theme="1"/>
        <rFont val="Arial"/>
        <family val="2"/>
      </rPr>
      <t xml:space="preserve"> for bucket lists and local recommendations.</t>
    </r>
  </si>
  <si>
    <t>Google Chrome Frame was a plugin for Internet Explorer that allowed web pages to be displayed using WebKit and the V8 JavaScript engine.</t>
  </si>
  <si>
    <r>
      <t xml:space="preserve">Compatibility </t>
    </r>
    <r>
      <rPr>
        <b/>
        <sz val="11"/>
        <color theme="1"/>
        <rFont val="Arial"/>
        <family val="2"/>
      </rPr>
      <t>service/plugin</t>
    </r>
    <r>
      <rPr>
        <sz val="11"/>
        <color theme="1"/>
        <rFont val="Arial"/>
        <family val="2"/>
      </rPr>
      <t xml:space="preserve"> bringing modern Chrome rendering into legacy IE environments.</t>
    </r>
  </si>
  <si>
    <t>2005–2014</t>
  </si>
  <si>
    <t>Google Notifier alerted users to new emails on their Gmail account.</t>
  </si>
  <si>
    <r>
      <t xml:space="preserve">Desktop tray‑icon </t>
    </r>
    <r>
      <rPr>
        <b/>
        <sz val="11"/>
        <color theme="1"/>
        <rFont val="Arial"/>
        <family val="2"/>
      </rPr>
      <t>service/app</t>
    </r>
    <r>
      <rPr>
        <sz val="11"/>
        <color theme="1"/>
        <rFont val="Arial"/>
        <family val="2"/>
      </rPr>
      <t xml:space="preserve"> for Gmail (and later Calendar) alerts on Windows and macOS.</t>
    </r>
  </si>
  <si>
    <t>2009–2014</t>
  </si>
  <si>
    <t>Bump! was an iOS and Android mobile app that enabled smartphone users to transfer contact information, photos, and files between devices.</t>
  </si>
  <si>
    <r>
      <t xml:space="preserve">Peer‑to‑peer sharing </t>
    </r>
    <r>
      <rPr>
        <b/>
        <sz val="11"/>
        <color theme="1"/>
        <rFont val="Arial"/>
        <family val="2"/>
      </rPr>
      <t>app</t>
    </r>
    <r>
      <rPr>
        <sz val="11"/>
        <color theme="1"/>
        <rFont val="Arial"/>
        <family val="2"/>
      </rPr>
      <t xml:space="preserve"> that used device “bump” gestures and proximity to exchange data between phones.</t>
    </r>
  </si>
  <si>
    <t>Google Offers was a service offering discounts and coupons…similar to Groupon.</t>
  </si>
  <si>
    <r>
      <t xml:space="preserve">Deal‑of‑the‑day and local offers </t>
    </r>
    <r>
      <rPr>
        <b/>
        <sz val="11"/>
        <color theme="1"/>
        <rFont val="Arial"/>
        <family val="2"/>
      </rPr>
      <t>service</t>
    </r>
    <r>
      <rPr>
        <sz val="11"/>
        <color theme="1"/>
        <rFont val="Arial"/>
        <family val="2"/>
      </rPr>
      <t xml:space="preserve"> integrated with Maps and Wallet for local commerce.</t>
    </r>
  </si>
  <si>
    <t>2011–2013</t>
  </si>
  <si>
    <t>Google Currents was a social magazine app by Google, which was replaced by Google Play Newsstand.</t>
  </si>
  <si>
    <r>
      <t xml:space="preserve">Flipboard‑style news </t>
    </r>
    <r>
      <rPr>
        <b/>
        <sz val="11"/>
        <color theme="1"/>
        <rFont val="Arial"/>
        <family val="2"/>
      </rPr>
      <t>app</t>
    </r>
    <r>
      <rPr>
        <sz val="11"/>
        <color theme="1"/>
        <rFont val="Arial"/>
        <family val="2"/>
      </rPr>
      <t xml:space="preserve"> aggregating RSS and publisher content into a magazine layout.</t>
    </r>
  </si>
  <si>
    <t>2006–2013</t>
  </si>
  <si>
    <t>Google Checkout was an online payment processing service that aimed to simplify the process of paying for online purchases.</t>
  </si>
  <si>
    <r>
      <t xml:space="preserve">Early online payments </t>
    </r>
    <r>
      <rPr>
        <b/>
        <sz val="11"/>
        <color theme="1"/>
        <rFont val="Arial"/>
        <family val="2"/>
      </rPr>
      <t>service</t>
    </r>
    <r>
      <rPr>
        <sz val="11"/>
        <color theme="1"/>
        <rFont val="Arial"/>
        <family val="2"/>
      </rPr>
      <t>, later folded into Google Wallet/Pay.</t>
    </r>
  </si>
  <si>
    <t>2010–2013</t>
  </si>
  <si>
    <t>Google Trader was a classifieds service…in Ghana, Uganda, Kenya, and Nigeria…</t>
  </si>
  <si>
    <r>
      <t xml:space="preserve">Regional classifieds </t>
    </r>
    <r>
      <rPr>
        <b/>
        <sz val="11"/>
        <color theme="1"/>
        <rFont val="Arial"/>
        <family val="2"/>
      </rPr>
      <t>service</t>
    </r>
    <r>
      <rPr>
        <sz val="11"/>
        <color theme="1"/>
        <rFont val="Arial"/>
        <family val="2"/>
      </rPr>
      <t xml:space="preserve"> for buying and selling goods and services in select African markets.</t>
    </r>
  </si>
  <si>
    <t>2005–2013</t>
  </si>
  <si>
    <t>iGoogle was a customizable Ajax-based start page or personal web portal.</t>
  </si>
  <si>
    <r>
      <t xml:space="preserve">Personalized homepage </t>
    </r>
    <r>
      <rPr>
        <b/>
        <sz val="11"/>
        <color theme="1"/>
        <rFont val="Arial"/>
        <family val="2"/>
      </rPr>
      <t>service</t>
    </r>
    <r>
      <rPr>
        <sz val="11"/>
        <color theme="1"/>
        <rFont val="Arial"/>
        <family val="2"/>
      </rPr>
      <t xml:space="preserve"> with widgets for news, mail, weather, and feeds.</t>
    </r>
  </si>
  <si>
    <t>2009–2013</t>
  </si>
  <si>
    <t>Google Latitude was a location-aware feature of Google Maps…</t>
  </si>
  <si>
    <r>
      <t xml:space="preserve">Location‑sharing </t>
    </r>
    <r>
      <rPr>
        <b/>
        <sz val="11"/>
        <color theme="1"/>
        <rFont val="Arial"/>
        <family val="2"/>
      </rPr>
      <t>service</t>
    </r>
    <r>
      <rPr>
        <sz val="11"/>
        <color theme="1"/>
        <rFont val="Arial"/>
        <family val="2"/>
      </rPr>
      <t xml:space="preserve"> letting users see friends’ positions on Maps; functionality moved into Maps/Location Sharing.</t>
    </r>
  </si>
  <si>
    <t>Google Reader was an RSS/Atom feed aggregator.</t>
  </si>
  <si>
    <r>
      <t xml:space="preserve">Popular feed‑reading </t>
    </r>
    <r>
      <rPr>
        <b/>
        <sz val="11"/>
        <color theme="1"/>
        <rFont val="Arial"/>
        <family val="2"/>
      </rPr>
      <t>service</t>
    </r>
    <r>
      <rPr>
        <sz val="11"/>
        <color theme="1"/>
        <rFont val="Arial"/>
        <family val="2"/>
      </rPr>
      <t xml:space="preserve"> for following blogs and news via RSS.</t>
    </r>
  </si>
  <si>
    <t>2012–2013</t>
  </si>
  <si>
    <t>Nexus Q was a digital media player…to stream content…to a connected television or speakers via an integrated amplifier.</t>
  </si>
  <si>
    <r>
      <t xml:space="preserve">High‑priced social streaming </t>
    </r>
    <r>
      <rPr>
        <b/>
        <sz val="11"/>
        <color theme="1"/>
        <rFont val="Arial"/>
        <family val="2"/>
      </rPr>
      <t>hardware</t>
    </r>
    <r>
      <rPr>
        <sz val="11"/>
        <color theme="1"/>
        <rFont val="Arial"/>
        <family val="2"/>
      </rPr>
      <t xml:space="preserve"> that was never widely released; functionality later replaced by Chromecast.</t>
    </r>
  </si>
  <si>
    <t>Punchd was a digital loyalty card app and service targeted towards small businesses…</t>
  </si>
  <si>
    <r>
      <t xml:space="preserve">Mobile loyalty‑card </t>
    </r>
    <r>
      <rPr>
        <b/>
        <sz val="11"/>
        <color theme="1"/>
        <rFont val="Arial"/>
        <family val="2"/>
      </rPr>
      <t>service/app</t>
    </r>
    <r>
      <rPr>
        <sz val="11"/>
        <color theme="1"/>
        <rFont val="Arial"/>
        <family val="2"/>
      </rPr>
      <t xml:space="preserve"> using QR codes to track visits and rewards.</t>
    </r>
  </si>
  <si>
    <t>Building Maker enabled users to create 3D models of buildings for Google Earth on the browser.</t>
  </si>
  <si>
    <r>
      <t xml:space="preserve">Crowd‑modeling </t>
    </r>
    <r>
      <rPr>
        <b/>
        <sz val="11"/>
        <color theme="1"/>
        <rFont val="Arial"/>
        <family val="2"/>
      </rPr>
      <t>service</t>
    </r>
    <r>
      <rPr>
        <sz val="11"/>
        <color theme="1"/>
        <rFont val="Arial"/>
        <family val="2"/>
      </rPr>
      <t xml:space="preserve"> for adding 3D structures to Google Earth using simple tools.</t>
    </r>
  </si>
  <si>
    <t>Often remembered as “Gchat”, Google Talk was a messaging service for both text and voice using XMPP.</t>
  </si>
  <si>
    <r>
      <t xml:space="preserve">XMPP‑based chat and VoIP </t>
    </r>
    <r>
      <rPr>
        <b/>
        <sz val="11"/>
        <color theme="1"/>
        <rFont val="Arial"/>
        <family val="2"/>
      </rPr>
      <t>service</t>
    </r>
    <r>
      <rPr>
        <sz val="11"/>
        <color theme="1"/>
        <rFont val="Arial"/>
        <family val="2"/>
      </rPr>
      <t>, integrated with Gmail and later superseded by Hangouts.</t>
    </r>
  </si>
  <si>
    <t>2004–2013</t>
  </si>
  <si>
    <t>Google SMS let you text questions…to 466453 and get an answer back.</t>
  </si>
  <si>
    <r>
      <t xml:space="preserve">SMS‑query </t>
    </r>
    <r>
      <rPr>
        <b/>
        <sz val="11"/>
        <color theme="1"/>
        <rFont val="Arial"/>
        <family val="2"/>
      </rPr>
      <t>service</t>
    </r>
    <r>
      <rPr>
        <sz val="11"/>
        <color theme="1"/>
        <rFont val="Arial"/>
        <family val="2"/>
      </rPr>
      <t xml:space="preserve"> providing search, definitions, and local info without a data connection.</t>
    </r>
  </si>
  <si>
    <t>2008–2013</t>
  </si>
  <si>
    <t>Google Cloud Connect was a…plugin for…Microsoft Office that automatically stored and synchronized files to Google Docs.</t>
  </si>
  <si>
    <r>
      <t xml:space="preserve">Bridge </t>
    </r>
    <r>
      <rPr>
        <b/>
        <sz val="11"/>
        <color theme="1"/>
        <rFont val="Arial"/>
        <family val="2"/>
      </rPr>
      <t>service</t>
    </r>
    <r>
      <rPr>
        <sz val="11"/>
        <color theme="1"/>
        <rFont val="Arial"/>
        <family val="2"/>
      </rPr>
      <t xml:space="preserve"> between Office and Google Docs/Drive for versioning and collaboration.</t>
    </r>
  </si>
  <si>
    <t>2007–2013</t>
  </si>
  <si>
    <t>Picnik was an online photo editing service that allowed users to edit, style, crop, and resize images.</t>
  </si>
  <si>
    <r>
      <t xml:space="preserve">Browser‑based image‑editing </t>
    </r>
    <r>
      <rPr>
        <b/>
        <sz val="11"/>
        <color theme="1"/>
        <rFont val="Arial"/>
        <family val="2"/>
      </rPr>
      <t>service</t>
    </r>
    <r>
      <rPr>
        <sz val="11"/>
        <color theme="1"/>
        <rFont val="Arial"/>
        <family val="2"/>
      </rPr>
      <t xml:space="preserve"> later integrated into Google+ Photos and Picasa.</t>
    </r>
  </si>
  <si>
    <t>2007–2012</t>
  </si>
  <si>
    <t>Google Chart API was an interactive Web service that created graphical charts from user-supplied data.</t>
  </si>
  <si>
    <r>
      <t xml:space="preserve">HTTP‑based chart‑generation </t>
    </r>
    <r>
      <rPr>
        <b/>
        <sz val="11"/>
        <color theme="1"/>
        <rFont val="Arial"/>
        <family val="2"/>
      </rPr>
      <t>service</t>
    </r>
    <r>
      <rPr>
        <sz val="11"/>
        <color theme="1"/>
        <rFont val="Arial"/>
        <family val="2"/>
      </rPr>
      <t>, precursor to newer visualization libraries.</t>
    </r>
  </si>
  <si>
    <t>Google Mini was a smaller version of the Google Search Appliance.</t>
  </si>
  <si>
    <r>
      <t xml:space="preserve">Entry‑level enterprise search </t>
    </r>
    <r>
      <rPr>
        <b/>
        <sz val="11"/>
        <color theme="1"/>
        <rFont val="Arial"/>
        <family val="2"/>
      </rPr>
      <t>hardware</t>
    </r>
    <r>
      <rPr>
        <sz val="11"/>
        <color theme="1"/>
        <rFont val="Arial"/>
        <family val="2"/>
      </rPr>
      <t xml:space="preserve"> for small/mid‑size businesses.</t>
    </r>
  </si>
  <si>
    <t>2008–2012</t>
  </si>
  <si>
    <t>AdSense for Feeds was an RSS-based service…that allowed publishers to advertise on their RSS Feeds.</t>
  </si>
  <si>
    <r>
      <t xml:space="preserve">Monetization </t>
    </r>
    <r>
      <rPr>
        <b/>
        <sz val="11"/>
        <color theme="1"/>
        <rFont val="Arial"/>
        <family val="2"/>
      </rPr>
      <t>service</t>
    </r>
    <r>
      <rPr>
        <sz val="11"/>
        <color theme="1"/>
        <rFont val="Arial"/>
        <family val="2"/>
      </rPr>
      <t xml:space="preserve"> inserting targeted ads into RSS feed content.</t>
    </r>
  </si>
  <si>
    <t>2009–2012</t>
  </si>
  <si>
    <t>Google Listen was an Android application that let you search, subscribe, download, and stream podcasts and web audio.</t>
  </si>
  <si>
    <r>
      <t xml:space="preserve">Early podcast </t>
    </r>
    <r>
      <rPr>
        <b/>
        <sz val="11"/>
        <color theme="1"/>
        <rFont val="Arial"/>
        <family val="2"/>
      </rPr>
      <t>app</t>
    </r>
    <r>
      <rPr>
        <sz val="11"/>
        <color theme="1"/>
        <rFont val="Arial"/>
        <family val="2"/>
      </rPr>
      <t xml:space="preserve"> tied to Google Reader subscriptions.</t>
    </r>
  </si>
  <si>
    <t>2010–2012</t>
  </si>
  <si>
    <t>Google Refine was a standalone desktop application for data cleanup and transformation.</t>
  </si>
  <si>
    <r>
      <t xml:space="preserve">Data‑wrangling </t>
    </r>
    <r>
      <rPr>
        <b/>
        <sz val="11"/>
        <color theme="1"/>
        <rFont val="Arial"/>
        <family val="2"/>
      </rPr>
      <t>service/app</t>
    </r>
    <r>
      <rPr>
        <sz val="11"/>
        <color theme="1"/>
        <rFont val="Arial"/>
        <family val="2"/>
      </rPr>
      <t>, later open‑sourced as OpenRefine.</t>
    </r>
  </si>
  <si>
    <t>2011–2012</t>
  </si>
  <si>
    <t>Sparrow was an email client for OS X and iOS. Google acquired and then killed it.</t>
  </si>
  <si>
    <r>
      <t xml:space="preserve">Minimalist mail </t>
    </r>
    <r>
      <rPr>
        <b/>
        <sz val="11"/>
        <color theme="1"/>
        <rFont val="Arial"/>
        <family val="2"/>
      </rPr>
      <t>app</t>
    </r>
    <r>
      <rPr>
        <sz val="11"/>
        <color theme="1"/>
        <rFont val="Arial"/>
        <family val="2"/>
      </rPr>
      <t xml:space="preserve"> whose design ideas influenced Gmail and Inbox clients.</t>
    </r>
  </si>
  <si>
    <t>Google Insights for Search…provided data about terms people searched…merged into Google Trends.</t>
  </si>
  <si>
    <r>
      <t xml:space="preserve">Search‑analytics </t>
    </r>
    <r>
      <rPr>
        <b/>
        <sz val="11"/>
        <color theme="1"/>
        <rFont val="Arial"/>
        <family val="2"/>
      </rPr>
      <t>service</t>
    </r>
    <r>
      <rPr>
        <sz val="11"/>
        <color theme="1"/>
        <rFont val="Arial"/>
        <family val="2"/>
      </rPr>
      <t xml:space="preserve"> focused on query interest over time and geography.</t>
    </r>
  </si>
  <si>
    <t>1999–2012</t>
  </si>
  <si>
    <t>Postini was an e-mail, Web security, and archiving service…</t>
  </si>
  <si>
    <r>
      <t xml:space="preserve">Enterprise email security and archiving </t>
    </r>
    <r>
      <rPr>
        <b/>
        <sz val="11"/>
        <color theme="1"/>
        <rFont val="Arial"/>
        <family val="2"/>
      </rPr>
      <t>service</t>
    </r>
    <r>
      <rPr>
        <sz val="11"/>
        <color theme="1"/>
        <rFont val="Arial"/>
        <family val="2"/>
      </rPr>
      <t xml:space="preserve"> later integrated into Google Apps/Workspace.</t>
    </r>
  </si>
  <si>
    <t>2005–2012</t>
  </si>
  <si>
    <t>Google Video was a free video hosting service…similar to YouTube…</t>
  </si>
  <si>
    <r>
      <t xml:space="preserve">Pre‑YouTube‑acquisition video‑hosting </t>
    </r>
    <r>
      <rPr>
        <b/>
        <sz val="11"/>
        <color theme="1"/>
        <rFont val="Arial"/>
        <family val="2"/>
      </rPr>
      <t>service</t>
    </r>
    <r>
      <rPr>
        <sz val="11"/>
        <color theme="1"/>
        <rFont val="Arial"/>
        <family val="2"/>
      </rPr>
      <t>; later repurposed as a search vertical.</t>
    </r>
  </si>
  <si>
    <t>Meebo was a browser-based instant messaging application which supported multiple IM services.</t>
  </si>
  <si>
    <r>
      <t xml:space="preserve">Multi‑network web chat </t>
    </r>
    <r>
      <rPr>
        <b/>
        <sz val="11"/>
        <color theme="1"/>
        <rFont val="Arial"/>
        <family val="2"/>
      </rPr>
      <t>service</t>
    </r>
    <r>
      <rPr>
        <sz val="11"/>
        <color theme="1"/>
        <rFont val="Arial"/>
        <family val="2"/>
      </rPr>
      <t>; tech used for the Meebo Bar and later Google+ plugins.</t>
    </r>
  </si>
  <si>
    <t>Google Commerce Search was an enterprise search service that powered online retail stores…</t>
  </si>
  <si>
    <r>
      <t xml:space="preserve">Hosted product‑search </t>
    </r>
    <r>
      <rPr>
        <b/>
        <sz val="11"/>
        <color theme="1"/>
        <rFont val="Arial"/>
        <family val="2"/>
      </rPr>
      <t>service</t>
    </r>
    <r>
      <rPr>
        <sz val="11"/>
        <color theme="1"/>
        <rFont val="Arial"/>
        <family val="2"/>
      </rPr>
      <t xml:space="preserve"> for e‑commerce sites, leveraging Google search tech.</t>
    </r>
  </si>
  <si>
    <t>Needlebase was a point-and-click tool for extracting, sorting and visualizing data from across pages around the web.</t>
  </si>
  <si>
    <r>
      <t xml:space="preserve">Web‑scraping and data‑modeling </t>
    </r>
    <r>
      <rPr>
        <b/>
        <sz val="11"/>
        <color theme="1"/>
        <rFont val="Arial"/>
        <family val="2"/>
      </rPr>
      <t>service</t>
    </r>
    <r>
      <rPr>
        <sz val="11"/>
        <color theme="1"/>
        <rFont val="Arial"/>
        <family val="2"/>
      </rPr>
      <t xml:space="preserve"> aimed at non‑programmers.</t>
    </r>
  </si>
  <si>
    <t>Knol was a Google project that aimed to include user-written articles on a range of topics.</t>
  </si>
  <si>
    <r>
      <t xml:space="preserve">Expert‑authored article </t>
    </r>
    <r>
      <rPr>
        <b/>
        <sz val="11"/>
        <color theme="1"/>
        <rFont val="Arial"/>
        <family val="2"/>
      </rPr>
      <t>service</t>
    </r>
    <r>
      <rPr>
        <sz val="11"/>
        <color theme="1"/>
        <rFont val="Arial"/>
        <family val="2"/>
      </rPr>
      <t>, positioned as more byline‑centric than Wikipedia.</t>
    </r>
  </si>
  <si>
    <t>Google Wave was an online communication and collaborative real-time editor tool.</t>
  </si>
  <si>
    <r>
      <t xml:space="preserve">Real‑time collaborative editing and messaging </t>
    </r>
    <r>
      <rPr>
        <b/>
        <sz val="11"/>
        <color theme="1"/>
        <rFont val="Arial"/>
        <family val="2"/>
      </rPr>
      <t>service</t>
    </r>
    <r>
      <rPr>
        <sz val="11"/>
        <color theme="1"/>
        <rFont val="Arial"/>
        <family val="2"/>
      </rPr>
      <t xml:space="preserve"> blending docs and chat.</t>
    </r>
  </si>
  <si>
    <t>Google Flu Vaccine Finder was a maps mash-up that showed nearby vaccination places…</t>
  </si>
  <si>
    <r>
      <t xml:space="preserve">Health‑mapping </t>
    </r>
    <r>
      <rPr>
        <b/>
        <sz val="11"/>
        <color theme="1"/>
        <rFont val="Arial"/>
        <family val="2"/>
      </rPr>
      <t>service</t>
    </r>
    <r>
      <rPr>
        <sz val="11"/>
        <color theme="1"/>
        <rFont val="Arial"/>
        <family val="2"/>
      </rPr>
      <t xml:space="preserve"> overlaying vaccine locations on Google Maps.</t>
    </r>
  </si>
  <si>
    <t>Google One Pass was an online store…for media publishers looking to sell subscriptions to their content.</t>
  </si>
  <si>
    <r>
      <t xml:space="preserve">Paywall and subscription </t>
    </r>
    <r>
      <rPr>
        <b/>
        <sz val="11"/>
        <color theme="1"/>
        <rFont val="Arial"/>
        <family val="2"/>
      </rPr>
      <t>service</t>
    </r>
    <r>
      <rPr>
        <sz val="11"/>
        <color theme="1"/>
        <rFont val="Arial"/>
        <family val="2"/>
      </rPr>
      <t xml:space="preserve"> for publishers, integrated with Google accounts.</t>
    </r>
  </si>
  <si>
    <t>Google Related…was an experimental navigation assistant…to help people find useful and interesting information while surfing the web.</t>
  </si>
  <si>
    <r>
      <t xml:space="preserve">Browser‑assist </t>
    </r>
    <r>
      <rPr>
        <b/>
        <sz val="11"/>
        <color theme="1"/>
        <rFont val="Arial"/>
        <family val="2"/>
      </rPr>
      <t>service</t>
    </r>
    <r>
      <rPr>
        <sz val="11"/>
        <color theme="1"/>
        <rFont val="Arial"/>
        <family val="2"/>
      </rPr>
      <t xml:space="preserve"> showing contextual related content while browsing.</t>
    </r>
  </si>
  <si>
    <t>Urchin was a web statistics analysis program…</t>
  </si>
  <si>
    <r>
      <t xml:space="preserve">Log‑analysis </t>
    </r>
    <r>
      <rPr>
        <b/>
        <sz val="11"/>
        <color theme="1"/>
        <rFont val="Arial"/>
        <family val="2"/>
      </rPr>
      <t>service/app</t>
    </r>
    <r>
      <rPr>
        <sz val="11"/>
        <color theme="1"/>
        <rFont val="Arial"/>
        <family val="2"/>
      </rPr>
      <t xml:space="preserve"> that became the foundation of Google Analytics.</t>
    </r>
  </si>
  <si>
    <t>Slide was a photo sharing software for social networking services…later a major third-party app developer for Facebook.</t>
  </si>
  <si>
    <r>
      <t xml:space="preserve">Social‑apps </t>
    </r>
    <r>
      <rPr>
        <b/>
        <sz val="11"/>
        <color theme="1"/>
        <rFont val="Arial"/>
        <family val="2"/>
      </rPr>
      <t>service</t>
    </r>
    <r>
      <rPr>
        <sz val="11"/>
        <color theme="1"/>
        <rFont val="Arial"/>
        <family val="2"/>
      </rPr>
      <t xml:space="preserve"> and photo widgets; Google used it briefly for social products before shutting it down.</t>
    </r>
  </si>
  <si>
    <t>Google Friend Connect was a free social networking site…</t>
  </si>
  <si>
    <r>
      <t xml:space="preserve">Social‑widget </t>
    </r>
    <r>
      <rPr>
        <b/>
        <sz val="11"/>
        <color theme="1"/>
        <rFont val="Arial"/>
        <family val="2"/>
      </rPr>
      <t>service</t>
    </r>
    <r>
      <rPr>
        <sz val="11"/>
        <color theme="1"/>
        <rFont val="Arial"/>
        <family val="2"/>
      </rPr>
      <t xml:space="preserve"> adding sign‑in, comments, and friend features to third‑party sites.</t>
    </r>
  </si>
  <si>
    <t>2006–2012</t>
  </si>
  <si>
    <t>Jaiku was a social networking, micro-blogging and lifestreaming service comparable to Twitter.</t>
  </si>
  <si>
    <r>
      <t xml:space="preserve">Early microblogging </t>
    </r>
    <r>
      <rPr>
        <b/>
        <sz val="11"/>
        <color theme="1"/>
        <rFont val="Arial"/>
        <family val="2"/>
      </rPr>
      <t>service</t>
    </r>
    <r>
      <rPr>
        <sz val="11"/>
        <color theme="1"/>
        <rFont val="Arial"/>
        <family val="2"/>
      </rPr>
      <t xml:space="preserve"> acquired by Google, later open‑sourced and discontinued.</t>
    </r>
  </si>
  <si>
    <t>Google Code Search was a free beta product which allowed users to search for open-source code on the Internet.</t>
  </si>
  <si>
    <r>
      <t xml:space="preserve">Source‑code search </t>
    </r>
    <r>
      <rPr>
        <b/>
        <sz val="11"/>
        <color theme="1"/>
        <rFont val="Arial"/>
        <family val="2"/>
      </rPr>
      <t>service</t>
    </r>
    <r>
      <rPr>
        <sz val="11"/>
        <color theme="1"/>
        <rFont val="Arial"/>
        <family val="2"/>
      </rPr>
      <t xml:space="preserve"> indexing public repositories.</t>
    </r>
  </si>
  <si>
    <t>Google Health was a personal health information centralization service…</t>
  </si>
  <si>
    <r>
      <t xml:space="preserve">PHR (personal health record) </t>
    </r>
    <r>
      <rPr>
        <b/>
        <sz val="11"/>
        <color theme="1"/>
        <rFont val="Arial"/>
        <family val="2"/>
      </rPr>
      <t>service</t>
    </r>
    <r>
      <rPr>
        <sz val="11"/>
        <color theme="1"/>
        <rFont val="Arial"/>
        <family val="2"/>
      </rPr>
      <t xml:space="preserve"> aggregating medical data from providers and user input.</t>
    </r>
  </si>
  <si>
    <t>2009–2011</t>
  </si>
  <si>
    <t>Noop was a project…aiming to develop a new programming language…</t>
  </si>
  <si>
    <r>
      <t xml:space="preserve">Experimental JVM‑language </t>
    </r>
    <r>
      <rPr>
        <b/>
        <sz val="11"/>
        <color theme="1"/>
        <rFont val="Arial"/>
        <family val="2"/>
      </rPr>
      <t>service/project</t>
    </r>
    <r>
      <rPr>
        <sz val="11"/>
        <color theme="1"/>
        <rFont val="Arial"/>
        <family val="2"/>
      </rPr>
      <t xml:space="preserve"> that never reached broad adoption.</t>
    </r>
  </si>
  <si>
    <t>2007–2011</t>
  </si>
  <si>
    <t>Apture was a service that allowed publishers and bloggers to link and incorporate multimedia into a dynamic layer above their pages.</t>
  </si>
  <si>
    <r>
      <t xml:space="preserve">In‑page contextual‑links </t>
    </r>
    <r>
      <rPr>
        <b/>
        <sz val="11"/>
        <color theme="1"/>
        <rFont val="Arial"/>
        <family val="2"/>
      </rPr>
      <t>service</t>
    </r>
    <r>
      <rPr>
        <sz val="11"/>
        <color theme="1"/>
        <rFont val="Arial"/>
        <family val="2"/>
      </rPr>
      <t>, later used in some Google products before shutdown.</t>
    </r>
  </si>
  <si>
    <t>2010–2011</t>
  </si>
  <si>
    <t>Google Buzz was a social networking, microblogging and messaging tool that integrated with Gmail.</t>
  </si>
  <si>
    <r>
      <t xml:space="preserve">Social‑feed </t>
    </r>
    <r>
      <rPr>
        <b/>
        <sz val="11"/>
        <color theme="1"/>
        <rFont val="Arial"/>
        <family val="2"/>
      </rPr>
      <t>service</t>
    </r>
    <r>
      <rPr>
        <sz val="11"/>
        <color theme="1"/>
        <rFont val="Arial"/>
        <family val="2"/>
      </rPr>
      <t xml:space="preserve"> embedded in Gmail; user data later migrated to Google+.</t>
    </r>
  </si>
  <si>
    <t>Gears (aka Google Gears) was utility software that aimed to create more powerful web apps by adding offline storage…</t>
  </si>
  <si>
    <r>
      <t xml:space="preserve">Offline‑capability </t>
    </r>
    <r>
      <rPr>
        <b/>
        <sz val="11"/>
        <color theme="1"/>
        <rFont val="Arial"/>
        <family val="2"/>
      </rPr>
      <t>service/plugin</t>
    </r>
    <r>
      <rPr>
        <sz val="11"/>
        <color theme="1"/>
        <rFont val="Arial"/>
        <family val="2"/>
      </rPr>
      <t xml:space="preserve"> paving the way for HTML5 features.</t>
    </r>
  </si>
  <si>
    <t>2008–2011</t>
  </si>
  <si>
    <t>Google Notebook allowed users to save and organize clips of information while conducting research online.</t>
  </si>
  <si>
    <r>
      <t xml:space="preserve">Web‑clipping </t>
    </r>
    <r>
      <rPr>
        <b/>
        <sz val="11"/>
        <color theme="1"/>
        <rFont val="Arial"/>
        <family val="2"/>
      </rPr>
      <t>service</t>
    </r>
    <r>
      <rPr>
        <sz val="11"/>
        <color theme="1"/>
        <rFont val="Arial"/>
        <family val="2"/>
      </rPr>
      <t xml:space="preserve"> for notes and snippets, predecessor to Keep and Collections.</t>
    </r>
  </si>
  <si>
    <t>ZygoteBody, formerly Google Body, was a web application…that rendered manipulable 3D anatomical models of the human body.</t>
  </si>
  <si>
    <r>
      <t xml:space="preserve">3D anatomy </t>
    </r>
    <r>
      <rPr>
        <b/>
        <sz val="11"/>
        <color theme="1"/>
        <rFont val="Arial"/>
        <family val="2"/>
      </rPr>
      <t>service</t>
    </r>
    <r>
      <rPr>
        <sz val="11"/>
        <color theme="1"/>
        <rFont val="Arial"/>
        <family val="2"/>
      </rPr>
      <t xml:space="preserve"> for education and reference, later maintained by Zygote.</t>
    </r>
  </si>
  <si>
    <t>Google PowerMeter was a software project…that helped consumers track their home electricity usage.</t>
  </si>
  <si>
    <r>
      <t xml:space="preserve">Energy‑monitoring </t>
    </r>
    <r>
      <rPr>
        <b/>
        <sz val="11"/>
        <color theme="1"/>
        <rFont val="Arial"/>
        <family val="2"/>
      </rPr>
      <t>service</t>
    </r>
    <r>
      <rPr>
        <sz val="11"/>
        <color theme="1"/>
        <rFont val="Arial"/>
        <family val="2"/>
      </rPr>
      <t xml:space="preserve"> integrating with smart meters and devices.</t>
    </r>
  </si>
  <si>
    <t>Google Squared was an information extraction…product that compiled structured data into a spreadsheet-like format.</t>
  </si>
  <si>
    <r>
      <t xml:space="preserve">Experimental structured‑data </t>
    </r>
    <r>
      <rPr>
        <b/>
        <sz val="11"/>
        <color theme="1"/>
        <rFont val="Arial"/>
        <family val="2"/>
      </rPr>
      <t>service</t>
    </r>
    <r>
      <rPr>
        <sz val="11"/>
        <color theme="1"/>
        <rFont val="Arial"/>
        <family val="2"/>
      </rPr>
      <t xml:space="preserve"> from Labs, showing “squares” of entities and attributes.</t>
    </r>
  </si>
  <si>
    <t>Google Sidewiki was a browser sidebar tool that allowed users to contribute information to any web page.</t>
  </si>
  <si>
    <r>
      <t xml:space="preserve">Annotation </t>
    </r>
    <r>
      <rPr>
        <b/>
        <sz val="11"/>
        <color theme="1"/>
        <rFont val="Arial"/>
        <family val="2"/>
      </rPr>
      <t>service</t>
    </r>
    <r>
      <rPr>
        <sz val="11"/>
        <color theme="1"/>
        <rFont val="Arial"/>
        <family val="2"/>
      </rPr>
      <t xml:space="preserve"> attaching user comments to arbitrary URLs via a browser extension.</t>
    </r>
  </si>
  <si>
    <t>Aardvark was a social search service that connected users live with friends or friends-of-friends who were able to answer their questions.</t>
  </si>
  <si>
    <r>
      <t xml:space="preserve">Social Q&amp;A </t>
    </r>
    <r>
      <rPr>
        <b/>
        <sz val="11"/>
        <color theme="1"/>
        <rFont val="Arial"/>
        <family val="2"/>
      </rPr>
      <t>service</t>
    </r>
    <r>
      <rPr>
        <sz val="11"/>
        <color theme="1"/>
        <rFont val="Arial"/>
        <family val="2"/>
      </rPr>
      <t xml:space="preserve"> acquired by Google, operating via IM and email.</t>
    </r>
  </si>
  <si>
    <t>2006–2011</t>
  </si>
  <si>
    <t>Google Pack was a collection of software tools offered by Google to download in a single archive.</t>
  </si>
  <si>
    <r>
      <t xml:space="preserve">Curated software‑bundle </t>
    </r>
    <r>
      <rPr>
        <b/>
        <sz val="11"/>
        <color theme="1"/>
        <rFont val="Arial"/>
        <family val="2"/>
      </rPr>
      <t>service</t>
    </r>
    <r>
      <rPr>
        <sz val="11"/>
        <color theme="1"/>
        <rFont val="Arial"/>
        <family val="2"/>
      </rPr>
      <t xml:space="preserve"> including Google and third‑party Windows utilities.</t>
    </r>
  </si>
  <si>
    <t>Google Desktop allowed local searches of a user's emails, computer files, music, photos, chats and Web pages viewed.</t>
  </si>
  <si>
    <r>
      <t xml:space="preserve">Desktop search </t>
    </r>
    <r>
      <rPr>
        <b/>
        <sz val="11"/>
        <color theme="1"/>
        <rFont val="Arial"/>
        <family val="2"/>
      </rPr>
      <t>service/app</t>
    </r>
    <r>
      <rPr>
        <sz val="11"/>
        <color theme="1"/>
        <rFont val="Arial"/>
        <family val="2"/>
      </rPr>
      <t xml:space="preserve"> indexing local content with a sidebar and gadgets.</t>
    </r>
  </si>
  <si>
    <t>Google Fast Flip was an online news aggregator, something of a high tech microfiche.</t>
  </si>
  <si>
    <r>
      <t xml:space="preserve">Visual news‑browsing </t>
    </r>
    <r>
      <rPr>
        <b/>
        <sz val="11"/>
        <color theme="1"/>
        <rFont val="Arial"/>
        <family val="2"/>
      </rPr>
      <t>service</t>
    </r>
    <r>
      <rPr>
        <sz val="11"/>
        <color theme="1"/>
        <rFont val="Arial"/>
        <family val="2"/>
      </rPr>
      <t xml:space="preserve"> showing fast‑loading page snapshots for headlines.</t>
    </r>
  </si>
  <si>
    <t>Google Dictionary was a standalone online dictionary service.</t>
  </si>
  <si>
    <r>
      <t xml:space="preserve">Dedicated dictionary </t>
    </r>
    <r>
      <rPr>
        <b/>
        <sz val="11"/>
        <color theme="1"/>
        <rFont val="Arial"/>
        <family val="2"/>
      </rPr>
      <t>service</t>
    </r>
    <r>
      <rPr>
        <sz val="11"/>
        <color theme="1"/>
        <rFont val="Arial"/>
        <family val="2"/>
      </rPr>
      <t xml:space="preserve"> later folded into inline definitions in Search.</t>
    </r>
  </si>
  <si>
    <t>2002–2011</t>
  </si>
  <si>
    <t>Google Labs was a technology playground…to demonstrate and test new projects.</t>
  </si>
  <si>
    <r>
      <t xml:space="preserve">Experimental </t>
    </r>
    <r>
      <rPr>
        <b/>
        <sz val="11"/>
        <color theme="1"/>
        <rFont val="Arial"/>
        <family val="2"/>
      </rPr>
      <t>service hub</t>
    </r>
    <r>
      <rPr>
        <sz val="11"/>
        <color theme="1"/>
        <rFont val="Arial"/>
        <family val="2"/>
      </rPr>
      <t xml:space="preserve"> showcasing prototypes like Wave, Fast Flip, and others.</t>
    </r>
  </si>
  <si>
    <t>Rebang was a Zeitgeist-like service centered on…a Chinese audience…</t>
  </si>
  <si>
    <r>
      <t xml:space="preserve">China‑focused search‑trends </t>
    </r>
    <r>
      <rPr>
        <b/>
        <sz val="11"/>
        <color theme="1"/>
        <rFont val="Arial"/>
        <family val="2"/>
      </rPr>
      <t>service</t>
    </r>
    <r>
      <rPr>
        <sz val="11"/>
        <color theme="1"/>
        <rFont val="Arial"/>
        <family val="2"/>
      </rPr>
      <t xml:space="preserve"> similar to Zeitgeist/Trends.</t>
    </r>
  </si>
  <si>
    <t>2000–2011</t>
  </si>
  <si>
    <t>Google Directory was an Internet website directory organized into 14 main categories…</t>
  </si>
  <si>
    <r>
      <t xml:space="preserve">Human‑edited directory </t>
    </r>
    <r>
      <rPr>
        <b/>
        <sz val="11"/>
        <color theme="1"/>
        <rFont val="Arial"/>
        <family val="2"/>
      </rPr>
      <t>service</t>
    </r>
    <r>
      <rPr>
        <sz val="11"/>
        <color theme="1"/>
        <rFont val="Arial"/>
        <family val="2"/>
      </rPr>
      <t xml:space="preserve"> based on the Open Directory Project (DMOZ).</t>
    </r>
  </si>
  <si>
    <t>Google Image Swirl was an enhancement to the image search tool…grouping images with similar visual and semantic qualities.</t>
  </si>
  <si>
    <r>
      <t xml:space="preserve">Experimental visual‑grouping </t>
    </r>
    <r>
      <rPr>
        <b/>
        <sz val="11"/>
        <color theme="1"/>
        <rFont val="Arial"/>
        <family val="2"/>
      </rPr>
      <t>service</t>
    </r>
    <r>
      <rPr>
        <sz val="11"/>
        <color theme="1"/>
        <rFont val="Arial"/>
        <family val="2"/>
      </rPr>
      <t xml:space="preserve"> for image search results from Labs.</t>
    </r>
  </si>
  <si>
    <t>Google Real-Time Search provided live search results from Twitter, Facebook, and news websites.</t>
  </si>
  <si>
    <r>
      <t xml:space="preserve">Streaming‑updates </t>
    </r>
    <r>
      <rPr>
        <b/>
        <sz val="11"/>
        <color theme="1"/>
        <rFont val="Arial"/>
        <family val="2"/>
      </rPr>
      <t>service</t>
    </r>
    <r>
      <rPr>
        <sz val="11"/>
        <color theme="1"/>
        <rFont val="Arial"/>
        <family val="2"/>
      </rPr>
      <t xml:space="preserve"> embedding social and news posts into SERPs.</t>
    </r>
  </si>
  <si>
    <t>Google Script Converter was an online transliteration tool…between Hindi, Romanagari, and various other scripts.</t>
  </si>
  <si>
    <r>
      <t xml:space="preserve">Transliteration </t>
    </r>
    <r>
      <rPr>
        <b/>
        <sz val="11"/>
        <color theme="1"/>
        <rFont val="Arial"/>
        <family val="2"/>
      </rPr>
      <t>service</t>
    </r>
    <r>
      <rPr>
        <sz val="11"/>
        <color theme="1"/>
        <rFont val="Arial"/>
        <family val="2"/>
      </rPr>
      <t xml:space="preserve"> targeting Indian scripts and romanization.</t>
    </r>
  </si>
  <si>
    <t>Google Sets generates a list of items when users enter a few examples.</t>
  </si>
  <si>
    <r>
      <t xml:space="preserve">Labs </t>
    </r>
    <r>
      <rPr>
        <b/>
        <sz val="11"/>
        <color theme="1"/>
        <rFont val="Arial"/>
        <family val="2"/>
      </rPr>
      <t>service</t>
    </r>
    <r>
      <rPr>
        <sz val="11"/>
        <color theme="1"/>
        <rFont val="Arial"/>
        <family val="2"/>
      </rPr>
      <t xml:space="preserve"> for set expansion; influenced later semantic suggestion features.</t>
    </r>
  </si>
  <si>
    <t>1997–2011</t>
  </si>
  <si>
    <t>Google Specialized Search allowed users to search across a limited index…for specialized topics like Linux, Microsoft, and ‘Uncle Sam.’</t>
  </si>
  <si>
    <r>
      <t xml:space="preserve">Themed vertical‑search </t>
    </r>
    <r>
      <rPr>
        <b/>
        <sz val="11"/>
        <color theme="1"/>
        <rFont val="Arial"/>
        <family val="2"/>
      </rPr>
      <t>services</t>
    </r>
    <r>
      <rPr>
        <sz val="11"/>
        <color theme="1"/>
        <rFont val="Arial"/>
        <family val="2"/>
      </rPr>
      <t xml:space="preserve"> over subsets of the web.</t>
    </r>
  </si>
  <si>
    <t>Google Hotpot was a local recommendation engine…</t>
  </si>
  <si>
    <r>
      <t xml:space="preserve">Ratings and recommendations </t>
    </r>
    <r>
      <rPr>
        <b/>
        <sz val="11"/>
        <color theme="1"/>
        <rFont val="Arial"/>
        <family val="2"/>
      </rPr>
      <t>service</t>
    </r>
    <r>
      <rPr>
        <sz val="11"/>
        <color theme="1"/>
        <rFont val="Arial"/>
        <family val="2"/>
      </rPr>
      <t xml:space="preserve"> intertwined with Places/Maps listings.</t>
    </r>
  </si>
  <si>
    <t>Gizmo5 was a VOIP communications network…</t>
  </si>
  <si>
    <r>
      <t xml:space="preserve">SIP‑based VoIP </t>
    </r>
    <r>
      <rPr>
        <b/>
        <sz val="11"/>
        <color theme="1"/>
        <rFont val="Arial"/>
        <family val="2"/>
      </rPr>
      <t>service</t>
    </r>
    <r>
      <rPr>
        <sz val="11"/>
        <color theme="1"/>
        <rFont val="Arial"/>
        <family val="2"/>
      </rPr>
      <t xml:space="preserve"> whose tech fed into Google Voice/Hangouts.</t>
    </r>
  </si>
  <si>
    <t>Real Estate on Google Maps</t>
  </si>
  <si>
    <t>Real Estate on Google Maps enabled users to find places for sale or rent…</t>
  </si>
  <si>
    <r>
      <t xml:space="preserve">Housing‑search </t>
    </r>
    <r>
      <rPr>
        <b/>
        <sz val="11"/>
        <color theme="1"/>
        <rFont val="Arial"/>
        <family val="2"/>
      </rPr>
      <t>service</t>
    </r>
    <r>
      <rPr>
        <sz val="11"/>
        <color theme="1"/>
        <rFont val="Arial"/>
        <family val="2"/>
      </rPr>
      <t xml:space="preserve"> overlaying listings on Google Maps.</t>
    </r>
  </si>
  <si>
    <t>fflick was a review, information, and news website that used…Tweets to rate movies…</t>
  </si>
  <si>
    <r>
      <t xml:space="preserve">Social‑signal‑driven movie‑review </t>
    </r>
    <r>
      <rPr>
        <b/>
        <sz val="11"/>
        <color theme="1"/>
        <rFont val="Arial"/>
        <family val="2"/>
      </rPr>
      <t>service</t>
    </r>
    <r>
      <rPr>
        <sz val="11"/>
        <color theme="1"/>
        <rFont val="Arial"/>
        <family val="2"/>
      </rPr>
      <t xml:space="preserve"> acquired and shut down.</t>
    </r>
  </si>
  <si>
    <t>2005–2010</t>
  </si>
  <si>
    <t>Google Base was a database…into which any user can add almost any type of content…</t>
  </si>
  <si>
    <r>
      <t xml:space="preserve">Structured‑listing </t>
    </r>
    <r>
      <rPr>
        <b/>
        <sz val="11"/>
        <color theme="1"/>
        <rFont val="Arial"/>
        <family val="2"/>
      </rPr>
      <t>service</t>
    </r>
    <r>
      <rPr>
        <sz val="11"/>
        <color theme="1"/>
        <rFont val="Arial"/>
        <family val="2"/>
      </rPr>
      <t xml:space="preserve"> that fed results into Shopping and other verticals.</t>
    </r>
  </si>
  <si>
    <t>2007–2010</t>
  </si>
  <si>
    <t>GOOG-411…was a telephone service that provided…business directory search.</t>
  </si>
  <si>
    <r>
      <t xml:space="preserve">Voice‑driven local‑search </t>
    </r>
    <r>
      <rPr>
        <b/>
        <sz val="11"/>
        <color theme="1"/>
        <rFont val="Arial"/>
        <family val="2"/>
      </rPr>
      <t>service</t>
    </r>
    <r>
      <rPr>
        <sz val="11"/>
        <color theme="1"/>
        <rFont val="Arial"/>
        <family val="2"/>
      </rPr>
      <t xml:space="preserve"> used to train speech recognition models.</t>
    </r>
  </si>
  <si>
    <t>2008–2010</t>
  </si>
  <si>
    <t>BumpTop was a skeuomorphic desktop environment app…simulates…a real-world desk…</t>
  </si>
  <si>
    <r>
      <t xml:space="preserve">3D desktop‑UI </t>
    </r>
    <r>
      <rPr>
        <b/>
        <sz val="11"/>
        <color theme="1"/>
        <rFont val="Arial"/>
        <family val="2"/>
      </rPr>
      <t>service/app</t>
    </r>
    <r>
      <rPr>
        <sz val="11"/>
        <color theme="1"/>
        <rFont val="Arial"/>
        <family val="2"/>
      </rPr>
      <t xml:space="preserve"> acquired by Google, influencing touch interactions.</t>
    </r>
  </si>
  <si>
    <t>SearchWiki was a Google Search feature which allowed logged-in users to annotate and re-order search results.</t>
  </si>
  <si>
    <r>
      <t xml:space="preserve">Personal‑ranking </t>
    </r>
    <r>
      <rPr>
        <b/>
        <sz val="11"/>
        <color theme="1"/>
        <rFont val="Arial"/>
        <family val="2"/>
      </rPr>
      <t>service</t>
    </r>
    <r>
      <rPr>
        <sz val="11"/>
        <color theme="1"/>
        <rFont val="Arial"/>
        <family val="2"/>
      </rPr>
      <t xml:space="preserve"> in SERPs, replaced by Stars and +1 features.</t>
    </r>
  </si>
  <si>
    <t>2006–2010</t>
  </si>
  <si>
    <t>YouTube Streams allowed users to watch a YouTube video together while chatting…</t>
  </si>
  <si>
    <r>
      <t xml:space="preserve">Synchronous group‑watch </t>
    </r>
    <r>
      <rPr>
        <b/>
        <sz val="11"/>
        <color theme="1"/>
        <rFont val="Arial"/>
        <family val="2"/>
      </rPr>
      <t>service</t>
    </r>
    <r>
      <rPr>
        <sz val="11"/>
        <color theme="1"/>
        <rFont val="Arial"/>
        <family val="2"/>
      </rPr>
      <t xml:space="preserve"> from YouTube TestTube.</t>
    </r>
  </si>
  <si>
    <t>1998–2010</t>
  </si>
  <si>
    <t>Marratech…made software for e-meetings…</t>
  </si>
  <si>
    <r>
      <t xml:space="preserve">Acquired web‑conferencing </t>
    </r>
    <r>
      <rPr>
        <b/>
        <sz val="11"/>
        <color theme="1"/>
        <rFont val="Arial"/>
        <family val="2"/>
      </rPr>
      <t>service</t>
    </r>
    <r>
      <rPr>
        <sz val="11"/>
        <color theme="1"/>
        <rFont val="Arial"/>
        <family val="2"/>
      </rPr>
      <t xml:space="preserve"> whose tech influenced early Google Talk/Hangouts video.</t>
    </r>
  </si>
  <si>
    <t>2002–2009</t>
  </si>
  <si>
    <t>The Google Web APIs were a free SOAP service for doing Google searches…</t>
  </si>
  <si>
    <r>
      <t xml:space="preserve">First official search‑API </t>
    </r>
    <r>
      <rPr>
        <b/>
        <sz val="11"/>
        <color theme="1"/>
        <rFont val="Arial"/>
        <family val="2"/>
      </rPr>
      <t>service</t>
    </r>
    <r>
      <rPr>
        <sz val="11"/>
        <color theme="1"/>
        <rFont val="Arial"/>
        <family val="2"/>
      </rPr>
      <t xml:space="preserve"> for developers, preceding Custom Search JSON API.</t>
    </r>
  </si>
  <si>
    <t>2005–2009</t>
  </si>
  <si>
    <t>Google Ride Finder…mapped the location of taxis, limos, and shuttle vehicles…</t>
  </si>
  <si>
    <r>
      <t xml:space="preserve">Real‑time vehicle‑location </t>
    </r>
    <r>
      <rPr>
        <b/>
        <sz val="11"/>
        <color theme="1"/>
        <rFont val="Arial"/>
        <family val="2"/>
      </rPr>
      <t>service</t>
    </r>
    <r>
      <rPr>
        <sz val="11"/>
        <color theme="1"/>
        <rFont val="Arial"/>
        <family val="2"/>
      </rPr>
      <t xml:space="preserve"> in select US cities.</t>
    </r>
  </si>
  <si>
    <t>Google Toolbar for Firefox…</t>
  </si>
  <si>
    <r>
      <t xml:space="preserve">Browser‑toolbar </t>
    </r>
    <r>
      <rPr>
        <b/>
        <sz val="11"/>
        <color theme="1"/>
        <rFont val="Arial"/>
        <family val="2"/>
      </rPr>
      <t>service</t>
    </r>
    <r>
      <rPr>
        <sz val="11"/>
        <color theme="1"/>
        <rFont val="Arial"/>
        <family val="2"/>
      </rPr>
      <t xml:space="preserve"> bringing Google search box and features to Firefox.</t>
    </r>
  </si>
  <si>
    <t>2007–2009</t>
  </si>
  <si>
    <t>Google Radio Automation was a hardware and software service used by radio operators…</t>
  </si>
  <si>
    <r>
      <t xml:space="preserve">Broadcast‑automation </t>
    </r>
    <r>
      <rPr>
        <b/>
        <sz val="11"/>
        <color theme="1"/>
        <rFont val="Arial"/>
        <family val="2"/>
      </rPr>
      <t>hardware/service</t>
    </r>
    <r>
      <rPr>
        <sz val="11"/>
        <color theme="1"/>
        <rFont val="Arial"/>
        <family val="2"/>
      </rPr>
      <t xml:space="preserve"> from the dMarc acquisition.</t>
    </r>
  </si>
  <si>
    <t>2008–2009</t>
  </si>
  <si>
    <t>Flix Cloud was a high-capacity online video encoding service.</t>
  </si>
  <si>
    <r>
      <t xml:space="preserve">Cloud transcoding </t>
    </r>
    <r>
      <rPr>
        <b/>
        <sz val="11"/>
        <color theme="1"/>
        <rFont val="Arial"/>
        <family val="2"/>
      </rPr>
      <t>service</t>
    </r>
    <r>
      <rPr>
        <sz val="11"/>
        <color theme="1"/>
        <rFont val="Arial"/>
        <family val="2"/>
      </rPr>
      <t xml:space="preserve"> from On2, feeding into Google’s video infrastructure.</t>
    </r>
  </si>
  <si>
    <t>Google Mashup Editor was an online web mashup creation service…</t>
  </si>
  <si>
    <r>
      <t xml:space="preserve">Developer </t>
    </r>
    <r>
      <rPr>
        <b/>
        <sz val="11"/>
        <color theme="1"/>
        <rFont val="Arial"/>
        <family val="2"/>
      </rPr>
      <t>service</t>
    </r>
    <r>
      <rPr>
        <sz val="11"/>
        <color theme="1"/>
        <rFont val="Arial"/>
        <family val="2"/>
      </rPr>
      <t xml:space="preserve"> for building mashups using Maps and other APIs, superseded by Apps Script.</t>
    </r>
  </si>
  <si>
    <t>Google Shared Stuff was a web page sharing system that allowed users to bookmark pages and share them.</t>
  </si>
  <si>
    <r>
      <t xml:space="preserve">Early social‑sharing </t>
    </r>
    <r>
      <rPr>
        <b/>
        <sz val="11"/>
        <color theme="1"/>
        <rFont val="Arial"/>
        <family val="2"/>
      </rPr>
      <t>service</t>
    </r>
    <r>
      <rPr>
        <sz val="11"/>
        <color theme="1"/>
        <rFont val="Arial"/>
        <family val="2"/>
      </rPr>
      <t xml:space="preserve"> with a browser bookmarklet.</t>
    </r>
  </si>
  <si>
    <t>Grand Central was a Voice over IP service…turned into Google Voice.</t>
  </si>
  <si>
    <r>
      <t xml:space="preserve">Single‑number telephony </t>
    </r>
    <r>
      <rPr>
        <b/>
        <sz val="11"/>
        <color theme="1"/>
        <rFont val="Arial"/>
        <family val="2"/>
      </rPr>
      <t>service</t>
    </r>
    <r>
      <rPr>
        <sz val="11"/>
        <color theme="1"/>
        <rFont val="Arial"/>
        <family val="2"/>
      </rPr>
      <t>; users migrated to Google Voice.</t>
    </r>
  </si>
  <si>
    <t>2003–2009</t>
  </si>
  <si>
    <t>Dodgeball was a location-based social network…</t>
  </si>
  <si>
    <r>
      <t xml:space="preserve">SMS‑based check‑in </t>
    </r>
    <r>
      <rPr>
        <b/>
        <sz val="11"/>
        <color theme="1"/>
        <rFont val="Arial"/>
        <family val="2"/>
      </rPr>
      <t>service</t>
    </r>
    <r>
      <rPr>
        <sz val="11"/>
        <color theme="1"/>
        <rFont val="Arial"/>
        <family val="2"/>
      </rPr>
      <t>, precursor to Latitude and Foursquare.</t>
    </r>
  </si>
  <si>
    <t>Google Audio Ads…allowed advertisers to run campaigns on AM/FM radio…</t>
  </si>
  <si>
    <r>
      <t xml:space="preserve">Radio‑ad buying </t>
    </r>
    <r>
      <rPr>
        <b/>
        <sz val="11"/>
        <color theme="1"/>
        <rFont val="Arial"/>
        <family val="2"/>
      </rPr>
      <t>service</t>
    </r>
    <r>
      <rPr>
        <sz val="11"/>
        <color theme="1"/>
        <rFont val="Arial"/>
        <family val="2"/>
      </rPr>
      <t xml:space="preserve"> integrated with AdWords.</t>
    </r>
  </si>
  <si>
    <t>2008–2008</t>
  </si>
  <si>
    <t>Google Lively was a web-based virtual environment…</t>
  </si>
  <si>
    <r>
      <t xml:space="preserve">Short‑lived 3D virtual‑world </t>
    </r>
    <r>
      <rPr>
        <b/>
        <sz val="11"/>
        <color theme="1"/>
        <rFont val="Arial"/>
        <family val="2"/>
      </rPr>
      <t>service</t>
    </r>
    <r>
      <rPr>
        <sz val="11"/>
        <color theme="1"/>
        <rFont val="Arial"/>
        <family val="2"/>
      </rPr>
      <t xml:space="preserve"> embedded in web pages.</t>
    </r>
  </si>
  <si>
    <t>2006–2008</t>
  </si>
  <si>
    <t>SearchMash was an experimental, non-branded search engine…</t>
  </si>
  <si>
    <r>
      <t xml:space="preserve">Test‑bed </t>
    </r>
    <r>
      <rPr>
        <b/>
        <sz val="11"/>
        <color theme="1"/>
        <rFont val="Arial"/>
        <family val="2"/>
      </rPr>
      <t>service</t>
    </r>
    <r>
      <rPr>
        <sz val="11"/>
        <color theme="1"/>
        <rFont val="Arial"/>
        <family val="2"/>
      </rPr>
      <t xml:space="preserve"> for alternative search UIs and ranking experiments.</t>
    </r>
  </si>
  <si>
    <t>Google Page Creator was a website creation and hosting service…</t>
  </si>
  <si>
    <r>
      <t xml:space="preserve">Simple site‑builder </t>
    </r>
    <r>
      <rPr>
        <b/>
        <sz val="11"/>
        <color theme="1"/>
        <rFont val="Arial"/>
        <family val="2"/>
      </rPr>
      <t>service</t>
    </r>
    <r>
      <rPr>
        <sz val="11"/>
        <color theme="1"/>
        <rFont val="Arial"/>
        <family val="2"/>
      </rPr>
      <t>, replaced by Google Sites.</t>
    </r>
  </si>
  <si>
    <t>Google Send to Phone was an add-on to send links…from Firefox to their phone by text message.</t>
  </si>
  <si>
    <r>
      <t xml:space="preserve">SMS‑link </t>
    </r>
    <r>
      <rPr>
        <b/>
        <sz val="11"/>
        <color theme="1"/>
        <rFont val="Arial"/>
        <family val="2"/>
      </rPr>
      <t>service</t>
    </r>
    <r>
      <rPr>
        <sz val="11"/>
        <color theme="1"/>
        <rFont val="Arial"/>
        <family val="2"/>
      </rPr>
      <t xml:space="preserve"> bridging desktop browser and mobile.</t>
    </r>
  </si>
  <si>
    <t>Google Browser Sync was a Firefox extension that synced information like passwords and browsing history.</t>
  </si>
  <si>
    <r>
      <t xml:space="preserve">Early sync </t>
    </r>
    <r>
      <rPr>
        <b/>
        <sz val="11"/>
        <color theme="1"/>
        <rFont val="Arial"/>
        <family val="2"/>
      </rPr>
      <t>service</t>
    </r>
    <r>
      <rPr>
        <sz val="11"/>
        <color theme="1"/>
        <rFont val="Arial"/>
        <family val="2"/>
      </rPr>
      <t xml:space="preserve"> for bookmarks, history, and sessions across Firefox installations.</t>
    </r>
  </si>
  <si>
    <t>2002–2008</t>
  </si>
  <si>
    <t>Hello was a service by Picasa that let users share pictures “like you're sitting side-by-side.”</t>
  </si>
  <si>
    <r>
      <t xml:space="preserve">Peer‑to‑peer photo‑sharing </t>
    </r>
    <r>
      <rPr>
        <b/>
        <sz val="11"/>
        <color theme="1"/>
        <rFont val="Arial"/>
        <family val="2"/>
      </rPr>
      <t>service</t>
    </r>
    <r>
      <rPr>
        <sz val="11"/>
        <color theme="1"/>
        <rFont val="Arial"/>
        <family val="2"/>
      </rPr>
      <t xml:space="preserve"> tightly integrated with Picasa.</t>
    </r>
  </si>
  <si>
    <t>2005–2008</t>
  </si>
  <si>
    <t>Google Web Accelerator was a client-side software that increased the load speed of web pages.</t>
  </si>
  <si>
    <r>
      <t xml:space="preserve">Proxy‑based acceleration </t>
    </r>
    <r>
      <rPr>
        <b/>
        <sz val="11"/>
        <color theme="1"/>
        <rFont val="Arial"/>
        <family val="2"/>
      </rPr>
      <t>service/app</t>
    </r>
    <r>
      <rPr>
        <sz val="11"/>
        <color theme="1"/>
        <rFont val="Arial"/>
        <family val="2"/>
      </rPr>
      <t xml:space="preserve"> caching and prefetching web content.</t>
    </r>
  </si>
  <si>
    <t>2001–2007</t>
  </si>
  <si>
    <t>Google Zeitgeist was a…snapshot…of what people were searching for on Google…</t>
  </si>
  <si>
    <r>
      <t xml:space="preserve">Aggregate search‑trends </t>
    </r>
    <r>
      <rPr>
        <b/>
        <sz val="11"/>
        <color theme="1"/>
        <rFont val="Arial"/>
        <family val="2"/>
      </rPr>
      <t>service</t>
    </r>
    <r>
      <rPr>
        <sz val="11"/>
        <color theme="1"/>
        <rFont val="Arial"/>
        <family val="2"/>
      </rPr>
      <t>, predecessor of Google Trends’ “Year in Search.”</t>
    </r>
  </si>
  <si>
    <t>2004–2007</t>
  </si>
  <si>
    <t>Google Click-to-Call allowed a user to speak directly over the phone to businesses found in search results.</t>
  </si>
  <si>
    <r>
      <t xml:space="preserve">Call‑connection </t>
    </r>
    <r>
      <rPr>
        <b/>
        <sz val="11"/>
        <color theme="1"/>
        <rFont val="Arial"/>
        <family val="2"/>
      </rPr>
      <t>service</t>
    </r>
    <r>
      <rPr>
        <sz val="11"/>
        <color theme="1"/>
        <rFont val="Arial"/>
        <family val="2"/>
      </rPr>
      <t xml:space="preserve"> that dialed both user and business from SERP listings.</t>
    </r>
  </si>
  <si>
    <t>2006–2007</t>
  </si>
  <si>
    <t>The Google Video Player plays back files in Google's… .gvi format…</t>
  </si>
  <si>
    <r>
      <t xml:space="preserve">Desktop video‑playback </t>
    </r>
    <r>
      <rPr>
        <b/>
        <sz val="11"/>
        <color theme="1"/>
        <rFont val="Arial"/>
        <family val="2"/>
      </rPr>
      <t>app/service</t>
    </r>
    <r>
      <rPr>
        <sz val="11"/>
        <color theme="1"/>
        <rFont val="Arial"/>
        <family val="2"/>
      </rPr>
      <t xml:space="preserve"> for Google Video downloads.</t>
    </r>
  </si>
  <si>
    <t>Google Video Marketplace was a service that included a store where videos could be bought and rented.</t>
  </si>
  <si>
    <r>
      <t xml:space="preserve">Early transactional video </t>
    </r>
    <r>
      <rPr>
        <b/>
        <sz val="11"/>
        <color theme="1"/>
        <rFont val="Arial"/>
        <family val="2"/>
      </rPr>
      <t>service</t>
    </r>
    <r>
      <rPr>
        <sz val="11"/>
        <color theme="1"/>
        <rFont val="Arial"/>
        <family val="2"/>
      </rPr>
      <t>, predating Google Play Movies.</t>
    </r>
  </si>
  <si>
    <t>2002–2006</t>
  </si>
  <si>
    <t>Google Answers was an online knowledge market.</t>
  </si>
  <si>
    <r>
      <t xml:space="preserve">Paid Q&amp;A </t>
    </r>
    <r>
      <rPr>
        <b/>
        <sz val="11"/>
        <color theme="1"/>
        <rFont val="Arial"/>
        <family val="2"/>
      </rPr>
      <t>service</t>
    </r>
    <r>
      <rPr>
        <sz val="11"/>
        <color theme="1"/>
        <rFont val="Arial"/>
        <family val="2"/>
      </rPr>
      <t xml:space="preserve"> where vetted researchers answered user questions for a fee.</t>
    </r>
  </si>
  <si>
    <t>2005–2006</t>
  </si>
  <si>
    <t>Writely was a Web-based word processor.</t>
  </si>
  <si>
    <r>
      <t xml:space="preserve">Browser‑based word‑processing </t>
    </r>
    <r>
      <rPr>
        <b/>
        <sz val="11"/>
        <color theme="1"/>
        <rFont val="Arial"/>
        <family val="2"/>
      </rPr>
      <t>service</t>
    </r>
    <r>
      <rPr>
        <sz val="11"/>
        <color theme="1"/>
        <rFont val="Arial"/>
        <family val="2"/>
      </rPr>
      <t xml:space="preserve"> acquired to form the basis of Google Docs.</t>
    </r>
  </si>
  <si>
    <t>Google Public Service Search provided…search results without ads.</t>
  </si>
  <si>
    <r>
      <t xml:space="preserve">Ad‑free custom‑search </t>
    </r>
    <r>
      <rPr>
        <b/>
        <sz val="11"/>
        <color theme="1"/>
        <rFont val="Arial"/>
        <family val="2"/>
      </rPr>
      <t>service</t>
    </r>
    <r>
      <rPr>
        <sz val="11"/>
        <color theme="1"/>
        <rFont val="Arial"/>
        <family val="2"/>
      </rPr>
      <t xml:space="preserve"> for non‑profits, governments, and schools.</t>
    </r>
  </si>
  <si>
    <t>2003–2006</t>
  </si>
  <si>
    <t>Google Deskbar was a small inset window on the Windows toolbar…</t>
  </si>
  <si>
    <r>
      <t xml:space="preserve">Windows desk‑search </t>
    </r>
    <r>
      <rPr>
        <b/>
        <sz val="11"/>
        <color theme="1"/>
        <rFont val="Arial"/>
        <family val="2"/>
      </rPr>
      <t>service/app</t>
    </r>
    <r>
      <rPr>
        <sz val="11"/>
        <color theme="1"/>
        <rFont val="Arial"/>
        <family val="2"/>
      </rPr>
      <t xml:space="preserve"> offering quick web queries from the taskbar.</t>
    </r>
  </si>
  <si>
    <t xml:space="preserve">Google Currents </t>
  </si>
  <si>
    <t>Chinese‑language IME service for Windows, Android, and other platforms, popular before local competitors dominated</t>
  </si>
  <si>
    <t>Pre‑Google News app aggregator combining headlines and basic weather cards</t>
  </si>
  <si>
    <t>Experimental app from Area 120 extending Gmail‑style Smart Reply to third‑party messaging apps</t>
  </si>
  <si>
    <t>UPI‑based payments service that became the foundation for Google Pay India</t>
  </si>
  <si>
    <t>Early visual‑search service recognizing objects, text, and landmarks, later succeeded by Google Lens</t>
  </si>
  <si>
    <t>Bookmarking service/extension tied to a “Saved” destination in Google, later removed</t>
  </si>
  <si>
    <t>Subscription/news service later merged into Google News and Google News app</t>
  </si>
  <si>
    <t>HTTPS‑only search service endpoint; functionality folded into default encrypted Google Search</t>
  </si>
  <si>
    <t>Early managed ML service for generic classification/regression, deprecated in favor of Cloud ML Engine/Vertex AI</t>
  </si>
  <si>
    <t>Flight‑search service/API from ITA Software exposing airfare pricing and routing data to travel apps</t>
  </si>
  <si>
    <t>Paid site‑internal search service embedding Google Search results with custom branding and indexing</t>
  </si>
  <si>
    <t>Anti‑scraping service that revealed email addresses only after solving a CAPTCHA</t>
  </si>
  <si>
    <t>Creative VR service/app for arranging virtual instruments and recording in immersive environments</t>
  </si>
  <si>
    <t>Depth‑sensing AR service/platform relying on specialized hardware; predecessor to ARCore’s phone‑only approach</t>
  </si>
  <si>
    <t>Portfolio‑tracking service with watchlists and performance charts for retail investors</t>
  </si>
  <si>
    <t>In‑browser editing service enabling basic cuts, transitions, and music on uploaded videos</t>
  </si>
  <si>
    <t>Animated data‑viz service acquired from Gapminder; ideas later influenced Public Data Explorer</t>
  </si>
  <si>
    <t>Wearables OS service tailored for head‑mounted display interactions and voice control</t>
  </si>
  <si>
    <t>Crowdsourced cartography service used heavily in developing regions; contributions migrated into main Maps editing</t>
  </si>
  <si>
    <t>Flagship Chrome OS hardware showcasing high‑DPI displays, premium build, and touchscreens</t>
  </si>
  <si>
    <t>Topic‑centric service/app for sharing links, media, and chat in small groups</t>
  </si>
  <si>
    <t>Experimental proximity payments service using Bluetooth, Wi‑Fi, and face verification at the point of sale</t>
  </si>
  <si>
    <t>Browser‑based LEGO service combining WebGL and Maps for block‑building on a global grid</t>
  </si>
  <si>
    <t>Input‑gesture app for rapid on‑device search using handwritten strokes</t>
  </si>
  <si>
    <t>Photo‑mapping service whose geotagged images were featured in Google Earth and Maps</t>
  </si>
  <si>
    <t>Early movies‑and‑showtimes service later subsumed into standard Google Search results</t>
  </si>
  <si>
    <t>Mobile UI prototyping app/service acquired by Google to bolster design tooling; ideas influenced Material design workflows</t>
  </si>
  <si>
    <t>Stock‑Android hardware program built with OEM partners (HTC, Samsung, LG, Motorola, Huawei, Asus) to showcase “pure” Android and receive fast updates</t>
  </si>
  <si>
    <r>
      <t xml:space="preserve">Cloud </t>
    </r>
    <r>
      <rPr>
        <b/>
        <sz val="11"/>
        <color theme="1"/>
        <rFont val="Calibri"/>
        <family val="2"/>
        <scheme val="minor"/>
      </rPr>
      <t>service</t>
    </r>
    <r>
      <rPr>
        <sz val="11"/>
        <color theme="1"/>
        <rFont val="Calibri"/>
        <family val="2"/>
        <scheme val="minor"/>
      </rPr>
      <t xml:space="preserve"> acquired by Google to provide on‑demand rendering for VFX and animation studios, tightly integrated with major DCC tools</t>
    </r>
  </si>
  <si>
    <r>
      <t xml:space="preserve">Design‑driven clock </t>
    </r>
    <r>
      <rPr>
        <b/>
        <sz val="11"/>
        <color theme="1"/>
        <rFont val="Calibri"/>
        <family val="2"/>
        <scheme val="minor"/>
      </rPr>
      <t xml:space="preserve">app </t>
    </r>
    <r>
      <rPr>
        <sz val="11"/>
        <color theme="1"/>
        <rFont val="Calibri"/>
        <family val="2"/>
        <scheme val="minor"/>
      </rPr>
      <t>known for its UI, cloud sync, and later integration into Google’s broader Clock experience</t>
    </r>
  </si>
  <si>
    <r>
      <t xml:space="preserve">Web‑components </t>
    </r>
    <r>
      <rPr>
        <b/>
        <sz val="11"/>
        <color theme="1"/>
        <rFont val="Calibri"/>
        <family val="2"/>
        <scheme val="minor"/>
      </rPr>
      <t>service</t>
    </r>
    <r>
      <rPr>
        <sz val="11"/>
        <color theme="1"/>
        <rFont val="Calibri"/>
        <family val="2"/>
        <scheme val="minor"/>
      </rPr>
      <t>/library that pioneered reusable UI elements and influenced modern web standards and the Lit project</t>
    </r>
  </si>
  <si>
    <r>
      <t xml:space="preserve">Native </t>
    </r>
    <r>
      <rPr>
        <b/>
        <sz val="11"/>
        <color theme="1"/>
        <rFont val="Calibri"/>
        <family val="2"/>
        <scheme val="minor"/>
      </rPr>
      <t>app</t>
    </r>
    <r>
      <rPr>
        <sz val="11"/>
        <color theme="1"/>
        <rFont val="Calibri"/>
        <family val="2"/>
        <scheme val="minor"/>
      </rPr>
      <t xml:space="preserve"> front‑end for Google Shopping and Express; functionality consolidated into the Shopping tab and Google app</t>
    </r>
  </si>
  <si>
    <r>
      <t xml:space="preserve">Crisis‑response </t>
    </r>
    <r>
      <rPr>
        <b/>
        <sz val="11"/>
        <color theme="1"/>
        <rFont val="Calibri"/>
        <family val="2"/>
        <scheme val="minor"/>
      </rPr>
      <t>service</t>
    </r>
    <r>
      <rPr>
        <sz val="11"/>
        <color theme="1"/>
        <rFont val="Calibri"/>
        <family val="2"/>
        <scheme val="minor"/>
      </rPr>
      <t xml:space="preserve"> surfacing weather, earthquake, and civil emergency alerts in Search, Maps, and Android</t>
    </r>
  </si>
  <si>
    <r>
      <t xml:space="preserve">Internal and Workspace </t>
    </r>
    <r>
      <rPr>
        <b/>
        <sz val="11"/>
        <color theme="1"/>
        <rFont val="Calibri"/>
        <family val="2"/>
        <scheme val="minor"/>
      </rPr>
      <t>service</t>
    </r>
    <r>
      <rPr>
        <sz val="11"/>
        <color theme="1"/>
        <rFont val="Calibri"/>
        <family val="2"/>
        <scheme val="minor"/>
      </rPr>
      <t xml:space="preserve"> for short, memorable redirect links within organizations</t>
    </r>
  </si>
  <si>
    <r>
      <t xml:space="preserve">Disaster‑mapping </t>
    </r>
    <r>
      <rPr>
        <b/>
        <sz val="11"/>
        <color theme="1"/>
        <rFont val="Calibri"/>
        <family val="2"/>
        <scheme val="minor"/>
      </rPr>
      <t>service</t>
    </r>
    <r>
      <rPr>
        <sz val="11"/>
        <color theme="1"/>
        <rFont val="Calibri"/>
        <family val="2"/>
        <scheme val="minor"/>
      </rPr>
      <t xml:space="preserve"> built on Google Maps to overlay shelters, hazards, and infrastructure data during crises</t>
    </r>
  </si>
  <si>
    <r>
      <t xml:space="preserve">Entry‑level VR </t>
    </r>
    <r>
      <rPr>
        <b/>
        <sz val="11"/>
        <color theme="1"/>
        <rFont val="Calibri"/>
        <family val="2"/>
        <scheme val="minor"/>
      </rPr>
      <t>hardware</t>
    </r>
    <r>
      <rPr>
        <sz val="11"/>
        <color theme="1"/>
        <rFont val="Calibri"/>
        <family val="2"/>
        <scheme val="minor"/>
      </rPr>
      <t>/platform enabling stereoscopic viewing and simple VR apps via compatible smartphones</t>
    </r>
  </si>
  <si>
    <r>
      <t xml:space="preserve">Experimental ML </t>
    </r>
    <r>
      <rPr>
        <b/>
        <sz val="11"/>
        <color theme="1"/>
        <rFont val="Calibri"/>
        <family val="2"/>
        <scheme val="minor"/>
      </rPr>
      <t>service</t>
    </r>
    <r>
      <rPr>
        <sz val="11"/>
        <color theme="1"/>
        <rFont val="Calibri"/>
        <family val="2"/>
        <scheme val="minor"/>
      </rPr>
      <t>/toolchain embedding differentiable programming into the Swift language for research workloads</t>
    </r>
  </si>
  <si>
    <r>
      <t xml:space="preserve">Creative VR </t>
    </r>
    <r>
      <rPr>
        <b/>
        <sz val="11"/>
        <color theme="1"/>
        <rFont val="Calibri"/>
        <family val="2"/>
        <scheme val="minor"/>
      </rPr>
      <t>app</t>
    </r>
    <r>
      <rPr>
        <sz val="11"/>
        <color theme="1"/>
        <rFont val="Calibri"/>
        <family val="2"/>
        <scheme val="minor"/>
      </rPr>
      <t xml:space="preserve"> letting users paint in 3D space; later open‑sourced after discontinuation</t>
    </r>
  </si>
  <si>
    <r>
      <t xml:space="preserve">Moonshot connectivity </t>
    </r>
    <r>
      <rPr>
        <b/>
        <sz val="11"/>
        <color theme="1"/>
        <rFont val="Calibri"/>
        <family val="2"/>
        <scheme val="minor"/>
      </rPr>
      <t>service</t>
    </r>
    <r>
      <rPr>
        <sz val="11"/>
        <color theme="1"/>
        <rFont val="Calibri"/>
        <family val="2"/>
        <scheme val="minor"/>
      </rPr>
      <t xml:space="preserve"> under X (Alphabet) to deliver LTE internet to remote regions via stratospheric balloons</t>
    </r>
  </si>
  <si>
    <r>
      <t xml:space="preserve">Low‑code </t>
    </r>
    <r>
      <rPr>
        <b/>
        <sz val="11"/>
        <color theme="1"/>
        <rFont val="Calibri"/>
        <family val="2"/>
        <scheme val="minor"/>
      </rPr>
      <t>service</t>
    </r>
    <r>
      <rPr>
        <sz val="11"/>
        <color theme="1"/>
        <rFont val="Calibri"/>
        <family val="2"/>
        <scheme val="minor"/>
      </rPr>
      <t xml:space="preserve"> within Google Workspace for building internal business apps on top of Sheets, Cloud SQL, etc</t>
    </r>
  </si>
  <si>
    <r>
      <t xml:space="preserve">Cloud printing </t>
    </r>
    <r>
      <rPr>
        <b/>
        <sz val="11"/>
        <color theme="1"/>
        <rFont val="Calibri"/>
        <family val="2"/>
        <scheme val="minor"/>
      </rPr>
      <t>service</t>
    </r>
    <r>
      <rPr>
        <sz val="11"/>
        <color theme="1"/>
        <rFont val="Calibri"/>
        <family val="2"/>
        <scheme val="minor"/>
      </rPr>
      <t xml:space="preserve"> bridging Chrome, Android, and legacy printers, deprecated as native OS print stacks matured</t>
    </r>
  </si>
  <si>
    <r>
      <t xml:space="preserve">Premium audio </t>
    </r>
    <r>
      <rPr>
        <b/>
        <sz val="11"/>
        <color theme="1"/>
        <rFont val="Calibri"/>
        <family val="2"/>
        <scheme val="minor"/>
      </rPr>
      <t>hardware</t>
    </r>
    <r>
      <rPr>
        <sz val="11"/>
        <color theme="1"/>
        <rFont val="Calibri"/>
        <family val="2"/>
        <scheme val="minor"/>
      </rPr>
      <t xml:space="preserve"> in the Google Home line, optimized for music playback and Assistant voice control</t>
    </r>
  </si>
  <si>
    <r>
      <t xml:space="preserve">STEM‑education </t>
    </r>
    <r>
      <rPr>
        <b/>
        <sz val="11"/>
        <color theme="1"/>
        <rFont val="Calibri"/>
        <family val="2"/>
        <scheme val="minor"/>
      </rPr>
      <t>app</t>
    </r>
    <r>
      <rPr>
        <sz val="11"/>
        <color theme="1"/>
        <rFont val="Calibri"/>
        <family val="2"/>
        <scheme val="minor"/>
      </rPr>
      <t xml:space="preserve"> that logged sensor data (accelerometer, light, sound) for classroom and hobby experiments</t>
    </r>
  </si>
  <si>
    <r>
      <t xml:space="preserve">Desktop VR </t>
    </r>
    <r>
      <rPr>
        <b/>
        <sz val="11"/>
        <color theme="1"/>
        <rFont val="Calibri"/>
        <family val="2"/>
        <scheme val="minor"/>
      </rPr>
      <t>app</t>
    </r>
    <r>
      <rPr>
        <sz val="11"/>
        <color theme="1"/>
        <rFont val="Calibri"/>
        <family val="2"/>
        <scheme val="minor"/>
      </rPr>
      <t xml:space="preserve"> for accessing YouTube’s 360° and VR catalog via PC‑tethered headsets on SteamVR</t>
    </r>
  </si>
  <si>
    <r>
      <t xml:space="preserve">Safety‑focused </t>
    </r>
    <r>
      <rPr>
        <b/>
        <sz val="11"/>
        <color theme="1"/>
        <rFont val="Calibri"/>
        <family val="2"/>
        <scheme val="minor"/>
      </rPr>
      <t>app</t>
    </r>
    <r>
      <rPr>
        <sz val="11"/>
        <color theme="1"/>
        <rFont val="Calibri"/>
        <family val="2"/>
        <scheme val="minor"/>
      </rPr>
      <t xml:space="preserve"> for trusted real‑time location sharing, later folded into Google Maps location sharing. ciocoverage​</t>
    </r>
  </si>
  <si>
    <r>
      <t xml:space="preserve">Pre‑YouTube Music streaming </t>
    </r>
    <r>
      <rPr>
        <b/>
        <sz val="11"/>
        <color theme="1"/>
        <rFont val="Calibri"/>
        <family val="2"/>
        <scheme val="minor"/>
      </rPr>
      <t>service</t>
    </r>
    <r>
      <rPr>
        <sz val="11"/>
        <color theme="1"/>
        <rFont val="Calibri"/>
        <family val="2"/>
        <scheme val="minor"/>
      </rPr>
      <t xml:space="preserve"> offering uploads, purchases, and radio; libraries migrated to YouTube Music</t>
    </r>
  </si>
  <si>
    <r>
      <t xml:space="preserve">DIY home‑security </t>
    </r>
    <r>
      <rPr>
        <b/>
        <sz val="11"/>
        <color theme="1"/>
        <rFont val="Calibri"/>
        <family val="2"/>
        <scheme val="minor"/>
      </rPr>
      <t>hardware</t>
    </r>
    <r>
      <rPr>
        <sz val="11"/>
        <color theme="1"/>
        <rFont val="Calibri"/>
        <family val="2"/>
        <scheme val="minor"/>
      </rPr>
      <t xml:space="preserve"> kit integrating with the Nest ecosystem and Google Assistant</t>
    </r>
  </si>
  <si>
    <r>
      <t xml:space="preserve">Blogging </t>
    </r>
    <r>
      <rPr>
        <b/>
        <sz val="11"/>
        <color theme="1"/>
        <rFont val="Calibri"/>
        <family val="2"/>
        <scheme val="minor"/>
      </rPr>
      <t>app</t>
    </r>
    <r>
      <rPr>
        <sz val="11"/>
        <color theme="1"/>
        <rFont val="Calibri"/>
        <family val="2"/>
        <scheme val="minor"/>
      </rPr>
      <t xml:space="preserve"> from Area 120 that surfaced analytics, topic suggestions, and notifications tailored to Indian creators</t>
    </r>
  </si>
  <si>
    <r>
      <t xml:space="preserve">Hyperlocal services </t>
    </r>
    <r>
      <rPr>
        <b/>
        <sz val="11"/>
        <color theme="1"/>
        <rFont val="Calibri"/>
        <family val="2"/>
        <scheme val="minor"/>
      </rPr>
      <t>app</t>
    </r>
    <r>
      <rPr>
        <sz val="11"/>
        <color theme="1"/>
        <rFont val="Calibri"/>
        <family val="2"/>
        <scheme val="minor"/>
      </rPr>
      <t xml:space="preserve"> for food delivery and home services aggregation in select Indian metros</t>
    </r>
  </si>
  <si>
    <r>
      <t xml:space="preserve">Gaming‑vertical </t>
    </r>
    <r>
      <rPr>
        <b/>
        <sz val="11"/>
        <color theme="1"/>
        <rFont val="Calibri"/>
        <family val="2"/>
        <scheme val="minor"/>
      </rPr>
      <t xml:space="preserve">service/app </t>
    </r>
    <r>
      <rPr>
        <sz val="11"/>
        <color theme="1"/>
        <rFont val="Calibri"/>
        <family val="2"/>
        <scheme val="minor"/>
      </rPr>
      <t>with dedicated UI and discovery for livestreams and VOD; features later merged into main YouTube</t>
    </r>
  </si>
  <si>
    <r>
      <t xml:space="preserve">Pre‑Firebase push </t>
    </r>
    <r>
      <rPr>
        <b/>
        <sz val="11"/>
        <color theme="1"/>
        <rFont val="Calibri"/>
        <family val="2"/>
        <scheme val="minor"/>
      </rPr>
      <t>service</t>
    </r>
    <r>
      <rPr>
        <sz val="11"/>
        <color theme="1"/>
        <rFont val="Calibri"/>
        <family val="2"/>
        <scheme val="minor"/>
      </rPr>
      <t xml:space="preserve"> replaced by Firebase Cloud Messaging (FCM) for cross‑platform messaging</t>
    </r>
  </si>
  <si>
    <r>
      <t xml:space="preserve">Bandwidth‑saving </t>
    </r>
    <r>
      <rPr>
        <b/>
        <sz val="11"/>
        <color theme="1"/>
        <rFont val="Calibri"/>
        <family val="2"/>
        <scheme val="minor"/>
      </rPr>
      <t>service</t>
    </r>
    <r>
      <rPr>
        <sz val="11"/>
        <color theme="1"/>
        <rFont val="Calibri"/>
        <family val="2"/>
        <scheme val="minor"/>
      </rPr>
      <t>/extension that evolved into “Lite mode” in Chrome for Android</t>
    </r>
  </si>
  <si>
    <r>
      <t xml:space="preserve">Opinionated mail </t>
    </r>
    <r>
      <rPr>
        <b/>
        <sz val="11"/>
        <color theme="1"/>
        <rFont val="Calibri"/>
        <family val="2"/>
        <scheme val="minor"/>
      </rPr>
      <t>service</t>
    </r>
    <r>
      <rPr>
        <sz val="11"/>
        <color theme="1"/>
        <rFont val="Calibri"/>
        <family val="2"/>
        <scheme val="minor"/>
      </rPr>
      <t>/</t>
    </r>
    <r>
      <rPr>
        <b/>
        <sz val="11"/>
        <color theme="1"/>
        <rFont val="Calibri"/>
        <family val="2"/>
        <scheme val="minor"/>
      </rPr>
      <t>app</t>
    </r>
    <r>
      <rPr>
        <sz val="11"/>
        <color theme="1"/>
        <rFont val="Calibri"/>
        <family val="2"/>
        <scheme val="minor"/>
      </rPr>
      <t xml:space="preserve"> introducing bundles, snoozing, and smart features later adopted by Gmail</t>
    </r>
  </si>
  <si>
    <r>
      <t xml:space="preserve">Google’s main social‑network </t>
    </r>
    <r>
      <rPr>
        <b/>
        <sz val="11"/>
        <color theme="1"/>
        <rFont val="Calibri"/>
        <family val="2"/>
        <scheme val="minor"/>
      </rPr>
      <t>service</t>
    </r>
    <r>
      <rPr>
        <sz val="11"/>
        <color theme="1"/>
        <rFont val="Calibri"/>
        <family val="2"/>
        <scheme val="minor"/>
      </rPr>
      <t>, featuring Circles, Communities, and integrated identity across products</t>
    </r>
  </si>
  <si>
    <r>
      <t xml:space="preserve">Link‑shortening </t>
    </r>
    <r>
      <rPr>
        <b/>
        <sz val="11"/>
        <color theme="1"/>
        <rFont val="Calibri"/>
        <family val="2"/>
        <scheme val="minor"/>
      </rPr>
      <t>service</t>
    </r>
    <r>
      <rPr>
        <sz val="11"/>
        <color theme="1"/>
        <rFont val="Calibri"/>
        <family val="2"/>
        <scheme val="minor"/>
      </rPr>
      <t xml:space="preserve"> later deprecated in favor of Firebase Dynamic </t>
    </r>
  </si>
  <si>
    <r>
      <t xml:space="preserve">Narrative VR/360 </t>
    </r>
    <r>
      <rPr>
        <b/>
        <sz val="11"/>
        <color theme="1"/>
        <rFont val="Calibri"/>
        <family val="2"/>
        <scheme val="minor"/>
      </rPr>
      <t>service</t>
    </r>
    <r>
      <rPr>
        <sz val="11"/>
        <color theme="1"/>
        <rFont val="Calibri"/>
        <family val="2"/>
        <scheme val="minor"/>
      </rPr>
      <t xml:space="preserve"> blending interactive storytelling and mobile sensors; content distributed via app/YouTube</t>
    </r>
  </si>
  <si>
    <r>
      <t xml:space="preserve">Assistant‑centric chat </t>
    </r>
    <r>
      <rPr>
        <b/>
        <sz val="11"/>
        <color theme="1"/>
        <rFont val="Calibri"/>
        <family val="2"/>
        <scheme val="minor"/>
      </rPr>
      <t>app</t>
    </r>
    <r>
      <rPr>
        <sz val="11"/>
        <color theme="1"/>
        <rFont val="Calibri"/>
        <family val="2"/>
        <scheme val="minor"/>
      </rPr>
      <t xml:space="preserve"> with Smart Reply, stickers, and incognito mode; part of Google’s messaging experiments</t>
    </r>
  </si>
  <si>
    <r>
      <t xml:space="preserve">Cross‑product </t>
    </r>
    <r>
      <rPr>
        <b/>
        <sz val="11"/>
        <color theme="1"/>
        <rFont val="Calibri"/>
        <family val="2"/>
        <scheme val="minor"/>
      </rPr>
      <t>service</t>
    </r>
    <r>
      <rPr>
        <sz val="11"/>
        <color theme="1"/>
        <rFont val="Calibri"/>
        <family val="2"/>
        <scheme val="minor"/>
      </rPr>
      <t>/UI for consolidated notifications in the Google web header</t>
    </r>
  </si>
  <si>
    <r>
      <t xml:space="preserve">Legacy </t>
    </r>
    <r>
      <rPr>
        <b/>
        <sz val="11"/>
        <color theme="1"/>
        <rFont val="Calibri"/>
        <family val="2"/>
        <scheme val="minor"/>
      </rPr>
      <t>service</t>
    </r>
    <r>
      <rPr>
        <sz val="11"/>
        <color theme="1"/>
        <rFont val="Calibri"/>
        <family val="2"/>
        <scheme val="minor"/>
      </rPr>
      <t xml:space="preserve"> for clickable overlays, superseded by Cards and End Screens optimized for mobile</t>
    </r>
  </si>
  <si>
    <r>
      <t xml:space="preserve">Collaborative‑editing </t>
    </r>
    <r>
      <rPr>
        <b/>
        <sz val="11"/>
        <color theme="1"/>
        <rFont val="Calibri"/>
        <family val="2"/>
        <scheme val="minor"/>
      </rPr>
      <t>service</t>
    </r>
    <r>
      <rPr>
        <sz val="11"/>
        <color theme="1"/>
        <rFont val="Calibri"/>
        <family val="2"/>
        <scheme val="minor"/>
      </rPr>
      <t>/API enabling live multiuser updates in custom Drive‑based apps</t>
    </r>
  </si>
  <si>
    <r>
      <t xml:space="preserve">Audio‑only casting </t>
    </r>
    <r>
      <rPr>
        <b/>
        <sz val="11"/>
        <color theme="1"/>
        <rFont val="Calibri"/>
        <family val="2"/>
        <scheme val="minor"/>
      </rPr>
      <t>hardware</t>
    </r>
    <r>
      <rPr>
        <sz val="11"/>
        <color theme="1"/>
        <rFont val="Calibri"/>
        <family val="2"/>
        <scheme val="minor"/>
      </rPr>
      <t xml:space="preserve"> to “upgrade” existing speakers with Wi‑Fi streaming</t>
    </r>
  </si>
  <si>
    <r>
      <t xml:space="preserve">On‑prem enterprise search </t>
    </r>
    <r>
      <rPr>
        <b/>
        <sz val="11"/>
        <color theme="1"/>
        <rFont val="Calibri"/>
        <family val="2"/>
        <scheme val="minor"/>
      </rPr>
      <t>hardware</t>
    </r>
    <r>
      <rPr>
        <sz val="11"/>
        <color theme="1"/>
        <rFont val="Calibri"/>
        <family val="2"/>
        <scheme val="minor"/>
      </rPr>
      <t>/</t>
    </r>
    <r>
      <rPr>
        <b/>
        <sz val="11"/>
        <color theme="1"/>
        <rFont val="Calibri"/>
        <family val="2"/>
        <scheme val="minor"/>
      </rPr>
      <t xml:space="preserve">service </t>
    </r>
    <r>
      <rPr>
        <sz val="11"/>
        <color theme="1"/>
        <rFont val="Calibri"/>
        <family val="2"/>
        <scheme val="minor"/>
      </rPr>
      <t>for indexing internal corp content behind the firewall</t>
    </r>
  </si>
  <si>
    <r>
      <t xml:space="preserve">Proximity‑based </t>
    </r>
    <r>
      <rPr>
        <b/>
        <sz val="11"/>
        <color theme="1"/>
        <rFont val="Calibri"/>
        <family val="2"/>
        <scheme val="minor"/>
      </rPr>
      <t>service</t>
    </r>
    <r>
      <rPr>
        <sz val="11"/>
        <color theme="1"/>
        <rFont val="Calibri"/>
        <family val="2"/>
        <scheme val="minor"/>
      </rPr>
      <t xml:space="preserve"> piggybacking on Android to surface location‑triggered cards and links</t>
    </r>
  </si>
  <si>
    <r>
      <t xml:space="preserve">Crowdsourcing </t>
    </r>
    <r>
      <rPr>
        <b/>
        <sz val="11"/>
        <color theme="1"/>
        <rFont val="Arial"/>
        <family val="2"/>
      </rPr>
      <t>service</t>
    </r>
    <r>
      <rPr>
        <sz val="11"/>
        <color theme="1"/>
        <rFont val="Arial"/>
        <family val="2"/>
      </rPr>
      <t xml:space="preserve"> for multilingual captions and metadata, replaced by other captioning workflows</t>
    </r>
  </si>
  <si>
    <r>
      <t xml:space="preserve">SMB‑focused ATS </t>
    </r>
    <r>
      <rPr>
        <b/>
        <sz val="11"/>
        <color theme="1"/>
        <rFont val="Arial"/>
        <family val="2"/>
      </rPr>
      <t>service</t>
    </r>
    <r>
      <rPr>
        <sz val="11"/>
        <color theme="1"/>
        <rFont val="Arial"/>
        <family val="2"/>
      </rPr>
      <t xml:space="preserve"> integrated with G Suite for job posting, candidate tracking, and scheduling</t>
    </r>
  </si>
  <si>
    <r>
      <t xml:space="preserve">Security </t>
    </r>
    <r>
      <rPr>
        <b/>
        <sz val="11"/>
        <color theme="1"/>
        <rFont val="Arial"/>
        <family val="2"/>
      </rPr>
      <t>app</t>
    </r>
    <r>
      <rPr>
        <sz val="11"/>
        <color theme="1"/>
        <rFont val="Arial"/>
        <family val="2"/>
      </rPr>
      <t>/extension that later merged into Chrome’s built‑in password safety checks</t>
    </r>
  </si>
  <si>
    <r>
      <t xml:space="preserve">Consumer AR </t>
    </r>
    <r>
      <rPr>
        <b/>
        <sz val="11"/>
        <color theme="1"/>
        <rFont val="Arial"/>
        <family val="2"/>
      </rPr>
      <t>app</t>
    </r>
    <r>
      <rPr>
        <sz val="11"/>
        <color theme="1"/>
        <rFont val="Arial"/>
        <family val="2"/>
      </rPr>
      <t>/feature delivering animated characters and scenes via ARCore in the Pixel camera</t>
    </r>
  </si>
  <si>
    <r>
      <t xml:space="preserve">Smart‑glasses </t>
    </r>
    <r>
      <rPr>
        <b/>
        <sz val="11"/>
        <color theme="1"/>
        <rFont val="Arial"/>
        <family val="2"/>
      </rPr>
      <t>hardware</t>
    </r>
    <r>
      <rPr>
        <sz val="11"/>
        <color theme="1"/>
        <rFont val="Arial"/>
        <family val="2"/>
      </rPr>
      <t xml:space="preserve"> acquired with North; product was discontinued as Google refocused AR hardware strategy</t>
    </r>
  </si>
  <si>
    <t>1/9/2026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</si>
</sst>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quot;$&quot;* #,##0_);_(&quot;$&quot;* \(#,##0\);_(&quot;$&quot;* &quot;-&quot;??_);_(@_)"/>
    <numFmt numFmtId="165" formatCode="0.0%"/>
    <numFmt numFmtId="166" formatCode="_(* #,##0_);_(* \(#,##0\);_(* &quot;-&quot;??_);_(@_)"/>
  </numFmts>
  <fonts count="27">
    <font>
      <sz val="11"/>
      <color theme="1"/>
      <name val="Calibri"/>
      <family val="2"/>
      <scheme val="minor"/>
    </font>
    <font>
      <sz val="11"/>
      <color theme="1"/>
      <name val="Calibri"/>
      <family val="2"/>
      <scheme val="minor"/>
    </font>
    <font>
      <sz val="11"/>
      <color theme="1"/>
      <name val="Calibre"/>
    </font>
    <font>
      <b/>
      <sz val="11"/>
      <color theme="1"/>
      <name val="Calibre"/>
    </font>
    <font>
      <b/>
      <sz val="11"/>
      <color theme="0"/>
      <name val="Calibre"/>
    </font>
    <font>
      <sz val="11"/>
      <color theme="0"/>
      <name val="Calibre"/>
    </font>
    <font>
      <b/>
      <sz val="10"/>
      <name val="Arial"/>
      <family val="2"/>
    </font>
    <font>
      <i/>
      <sz val="11"/>
      <color theme="1"/>
      <name val="Calibre"/>
    </font>
    <font>
      <b/>
      <sz val="10"/>
      <name val="Calibre"/>
    </font>
    <font>
      <i/>
      <sz val="11"/>
      <color theme="1"/>
      <name val="Calibri"/>
      <family val="2"/>
      <scheme val="minor"/>
    </font>
    <font>
      <b/>
      <i/>
      <sz val="11"/>
      <color theme="1"/>
      <name val="Calibri"/>
      <family val="2"/>
      <scheme val="minor"/>
    </font>
    <font>
      <b/>
      <sz val="11"/>
      <name val="Calibre"/>
    </font>
    <font>
      <b/>
      <sz val="11"/>
      <color rgb="FF0070C0"/>
      <name val="Calibre"/>
    </font>
    <font>
      <sz val="11"/>
      <color rgb="FF0070C0"/>
      <name val="Calibre"/>
    </font>
    <font>
      <sz val="11"/>
      <name val="Calibre"/>
    </font>
    <font>
      <u/>
      <sz val="11"/>
      <color theme="10"/>
      <name val="Calibri"/>
      <family val="2"/>
      <scheme val="minor"/>
    </font>
    <font>
      <u/>
      <sz val="11"/>
      <color rgb="FF00B0F0"/>
      <name val="Calibre"/>
    </font>
    <font>
      <sz val="10"/>
      <name val="Arial"/>
      <family val="2"/>
    </font>
    <font>
      <u/>
      <sz val="11"/>
      <color rgb="FF00B0F0"/>
      <name val="Calibri"/>
      <family val="2"/>
      <scheme val="minor"/>
    </font>
    <font>
      <sz val="11"/>
      <color theme="4" tint="-0.249977111117893"/>
      <name val="Calibre"/>
    </font>
    <font>
      <b/>
      <sz val="11"/>
      <color theme="1"/>
      <name val="Calibri"/>
      <family val="2"/>
      <scheme val="minor"/>
    </font>
    <font>
      <sz val="14"/>
      <color rgb="FF000000"/>
      <name val="Segoe UI"/>
      <family val="2"/>
    </font>
    <font>
      <sz val="9.9"/>
      <color rgb="FF000000"/>
      <name val="Segoe UI"/>
      <family val="2"/>
    </font>
    <font>
      <sz val="8.25"/>
      <color rgb="FF000000"/>
      <name val="Segoe UI"/>
      <family val="2"/>
    </font>
    <font>
      <sz val="7.7"/>
      <color rgb="FF808080"/>
      <name val="Segoe UI"/>
      <family val="2"/>
    </font>
    <font>
      <b/>
      <sz val="11"/>
      <color theme="1"/>
      <name val="Arial"/>
      <family val="2"/>
    </font>
    <font>
      <sz val="11"/>
      <color theme="1"/>
      <name val="Arial"/>
      <family val="2"/>
    </font>
  </fonts>
  <fills count="8">
    <fill>
      <patternFill patternType="none"/>
    </fill>
    <fill>
      <patternFill patternType="gray125"/>
    </fill>
    <fill>
      <patternFill patternType="solid">
        <fgColor rgb="FF002060"/>
        <bgColor indexed="64"/>
      </patternFill>
    </fill>
    <fill>
      <patternFill patternType="solid">
        <fgColor theme="8" tint="-0.249977111117893"/>
        <bgColor indexed="64"/>
      </patternFill>
    </fill>
    <fill>
      <patternFill patternType="solid">
        <fgColor theme="4" tint="0.79998168889431442"/>
        <bgColor theme="4" tint="0.79998168889431442"/>
      </patternFill>
    </fill>
    <fill>
      <patternFill patternType="solid">
        <fgColor rgb="FFF5F5F5"/>
      </patternFill>
    </fill>
    <fill>
      <patternFill patternType="solid">
        <fgColor rgb="FFFFFF00"/>
        <bgColor indexed="64"/>
      </patternFill>
    </fill>
    <fill>
      <patternFill patternType="solid">
        <fgColor rgb="FFF2F2F2"/>
        <bgColor indexed="64"/>
      </patternFill>
    </fill>
  </fills>
  <borders count="21">
    <border>
      <left/>
      <right/>
      <top/>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theme="4" tint="0.39997558519241921"/>
      </bottom>
      <diagonal/>
    </border>
    <border>
      <left/>
      <right style="thin">
        <color indexed="64"/>
      </right>
      <top style="thin">
        <color indexed="64"/>
      </top>
      <bottom style="thin">
        <color theme="4" tint="0.39997558519241921"/>
      </bottom>
      <diagonal/>
    </border>
    <border>
      <left style="thin">
        <color indexed="64"/>
      </left>
      <right/>
      <top/>
      <bottom/>
      <diagonal/>
    </border>
    <border>
      <left/>
      <right style="thin">
        <color indexed="64"/>
      </right>
      <top/>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int="0.39997558519241921"/>
      </top>
      <bottom style="thin">
        <color indexed="64"/>
      </bottom>
      <diagonal/>
    </border>
    <border>
      <left/>
      <right style="thin">
        <color indexed="64"/>
      </right>
      <top style="thin">
        <color theme="4" tint="0.39997558519241921"/>
      </top>
      <bottom style="thin">
        <color indexed="64"/>
      </bottom>
      <diagonal/>
    </border>
    <border>
      <left/>
      <right/>
      <top style="medium">
        <color indexed="64"/>
      </top>
      <bottom style="thin">
        <color indexed="64"/>
      </bottom>
      <diagonal/>
    </border>
    <border>
      <left/>
      <right/>
      <top/>
      <bottom style="medium">
        <color indexed="64"/>
      </bottom>
      <diagonal/>
    </border>
    <border>
      <left style="thin">
        <color indexed="64"/>
      </left>
      <right/>
      <top style="thin">
        <color indexed="64"/>
      </top>
      <bottom style="thin">
        <color indexed="64"/>
      </bottom>
      <diagonal/>
    </border>
    <border>
      <left style="medium">
        <color rgb="FFDDDDDD"/>
      </left>
      <right style="medium">
        <color rgb="FFDDDDDD"/>
      </right>
      <top style="medium">
        <color rgb="FFDDDDDD"/>
      </top>
      <bottom style="medium">
        <color rgb="FFDDDDDD"/>
      </bottom>
      <diagonal/>
    </border>
  </borders>
  <cellStyleXfs count="4">
    <xf numFmtId="0" fontId="0" fillId="0" borderId="0"/>
    <xf numFmtId="9" fontId="1" fillId="0" borderId="0" applyFont="0" applyFill="0" applyBorder="0" applyAlignment="0" applyProtection="0"/>
    <xf numFmtId="0" fontId="15" fillId="0" borderId="0" applyNumberFormat="0" applyFill="0" applyBorder="0" applyAlignment="0" applyProtection="0"/>
    <xf numFmtId="43" fontId="1" fillId="0" borderId="0" applyFont="0" applyFill="0" applyBorder="0" applyAlignment="0" applyProtection="0"/>
  </cellStyleXfs>
  <cellXfs count="141">
    <xf numFmtId="0" fontId="0" fillId="0" borderId="0" xfId="0"/>
    <xf numFmtId="0" fontId="2" fillId="0" borderId="0" xfId="0" applyFont="1"/>
    <xf numFmtId="0" fontId="3" fillId="0" borderId="0" xfId="0" applyFont="1"/>
    <xf numFmtId="0" fontId="4" fillId="2" borderId="1" xfId="0" applyFont="1" applyFill="1" applyBorder="1"/>
    <xf numFmtId="0" fontId="5" fillId="2" borderId="2" xfId="0" applyFont="1" applyFill="1" applyBorder="1"/>
    <xf numFmtId="0" fontId="5" fillId="2" borderId="3" xfId="0" applyFont="1" applyFill="1" applyBorder="1"/>
    <xf numFmtId="0" fontId="5" fillId="2" borderId="4" xfId="0" applyFont="1" applyFill="1" applyBorder="1"/>
    <xf numFmtId="0" fontId="4" fillId="3" borderId="1" xfId="0" applyFont="1" applyFill="1" applyBorder="1" applyAlignment="1">
      <alignment horizontal="left"/>
    </xf>
    <xf numFmtId="0" fontId="5" fillId="3" borderId="2" xfId="0" applyFont="1" applyFill="1" applyBorder="1" applyAlignment="1">
      <alignment horizontal="center"/>
    </xf>
    <xf numFmtId="0" fontId="5" fillId="3" borderId="5" xfId="0" applyFont="1" applyFill="1" applyBorder="1" applyAlignment="1">
      <alignment horizontal="center"/>
    </xf>
    <xf numFmtId="10" fontId="2" fillId="4" borderId="6" xfId="0" applyNumberFormat="1" applyFont="1" applyFill="1" applyBorder="1"/>
    <xf numFmtId="10" fontId="2" fillId="4" borderId="7" xfId="0" applyNumberFormat="1" applyFont="1" applyFill="1" applyBorder="1"/>
    <xf numFmtId="0" fontId="4" fillId="3" borderId="8" xfId="0" applyFont="1" applyFill="1" applyBorder="1" applyAlignment="1">
      <alignment horizontal="left"/>
    </xf>
    <xf numFmtId="0" fontId="5" fillId="3" borderId="0" xfId="0" applyFont="1" applyFill="1" applyAlignment="1">
      <alignment horizontal="center"/>
    </xf>
    <xf numFmtId="0" fontId="5" fillId="3" borderId="9" xfId="0" applyFont="1" applyFill="1" applyBorder="1" applyAlignment="1">
      <alignment horizontal="center"/>
    </xf>
    <xf numFmtId="10" fontId="2" fillId="0" borderId="10" xfId="0" applyNumberFormat="1" applyFont="1" applyBorder="1"/>
    <xf numFmtId="10" fontId="2" fillId="0" borderId="11" xfId="0" applyNumberFormat="1" applyFont="1" applyBorder="1"/>
    <xf numFmtId="10" fontId="2" fillId="4" borderId="10" xfId="0" applyNumberFormat="1" applyFont="1" applyFill="1" applyBorder="1"/>
    <xf numFmtId="10" fontId="2" fillId="4" borderId="11" xfId="0" applyNumberFormat="1" applyFont="1" applyFill="1" applyBorder="1"/>
    <xf numFmtId="0" fontId="4" fillId="3" borderId="12" xfId="0" applyFont="1" applyFill="1" applyBorder="1" applyAlignment="1">
      <alignment horizontal="left"/>
    </xf>
    <xf numFmtId="0" fontId="5" fillId="3" borderId="13" xfId="0" applyFont="1" applyFill="1" applyBorder="1" applyAlignment="1">
      <alignment horizontal="center"/>
    </xf>
    <xf numFmtId="0" fontId="5" fillId="3" borderId="14" xfId="0" applyFont="1" applyFill="1" applyBorder="1" applyAlignment="1">
      <alignment horizontal="center"/>
    </xf>
    <xf numFmtId="10" fontId="2" fillId="0" borderId="15" xfId="0" applyNumberFormat="1" applyFont="1" applyBorder="1"/>
    <xf numFmtId="10" fontId="2" fillId="0" borderId="16" xfId="0" applyNumberFormat="1" applyFont="1" applyBorder="1"/>
    <xf numFmtId="0" fontId="2" fillId="0" borderId="0" xfId="0" applyFont="1" applyAlignment="1">
      <alignment horizontal="right"/>
    </xf>
    <xf numFmtId="0" fontId="11" fillId="0" borderId="0" xfId="0" applyFont="1"/>
    <xf numFmtId="0" fontId="12" fillId="0" borderId="0" xfId="0" applyFont="1"/>
    <xf numFmtId="0" fontId="13" fillId="0" borderId="0" xfId="0" applyFont="1"/>
    <xf numFmtId="0" fontId="14" fillId="0" borderId="0" xfId="0" applyFont="1" applyAlignment="1">
      <alignment horizontal="left" indent="1"/>
    </xf>
    <xf numFmtId="0" fontId="14" fillId="0" borderId="0" xfId="0" applyFont="1"/>
    <xf numFmtId="2" fontId="2" fillId="0" borderId="0" xfId="0" applyNumberFormat="1" applyFont="1"/>
    <xf numFmtId="49" fontId="2" fillId="0" borderId="0" xfId="0" applyNumberFormat="1" applyFont="1"/>
    <xf numFmtId="0" fontId="11" fillId="0" borderId="0" xfId="0" applyFont="1" applyAlignment="1">
      <alignment horizontal="left"/>
    </xf>
    <xf numFmtId="165" fontId="2" fillId="0" borderId="0" xfId="1" applyNumberFormat="1" applyFont="1"/>
    <xf numFmtId="165" fontId="3" fillId="0" borderId="0" xfId="1" applyNumberFormat="1" applyFont="1"/>
    <xf numFmtId="1" fontId="2" fillId="0" borderId="0" xfId="0" applyNumberFormat="1" applyFont="1"/>
    <xf numFmtId="1" fontId="3" fillId="0" borderId="0" xfId="0" applyNumberFormat="1" applyFont="1"/>
    <xf numFmtId="2" fontId="13" fillId="0" borderId="0" xfId="0" applyNumberFormat="1" applyFont="1"/>
    <xf numFmtId="165" fontId="13" fillId="0" borderId="0" xfId="1" applyNumberFormat="1" applyFont="1"/>
    <xf numFmtId="0" fontId="4" fillId="2" borderId="19" xfId="0" applyFont="1" applyFill="1" applyBorder="1"/>
    <xf numFmtId="0" fontId="4" fillId="2" borderId="3" xfId="0" applyFont="1" applyFill="1" applyBorder="1"/>
    <xf numFmtId="0" fontId="4" fillId="2" borderId="2" xfId="0" applyFont="1" applyFill="1" applyBorder="1"/>
    <xf numFmtId="10" fontId="13" fillId="0" borderId="0" xfId="0" applyNumberFormat="1" applyFont="1"/>
    <xf numFmtId="1" fontId="13" fillId="0" borderId="0" xfId="0" applyNumberFormat="1" applyFont="1"/>
    <xf numFmtId="1" fontId="12" fillId="0" borderId="0" xfId="0" applyNumberFormat="1" applyFont="1"/>
    <xf numFmtId="0" fontId="13" fillId="0" borderId="0" xfId="0" applyFont="1" applyAlignment="1">
      <alignment horizontal="right"/>
    </xf>
    <xf numFmtId="0" fontId="18" fillId="3" borderId="8" xfId="2" applyFont="1" applyFill="1" applyBorder="1" applyAlignment="1">
      <alignment horizontal="left"/>
    </xf>
    <xf numFmtId="0" fontId="4" fillId="3" borderId="19" xfId="0" applyFont="1" applyFill="1" applyBorder="1" applyAlignment="1">
      <alignment horizontal="left"/>
    </xf>
    <xf numFmtId="0" fontId="5" fillId="3" borderId="4" xfId="0" applyFont="1" applyFill="1" applyBorder="1" applyAlignment="1">
      <alignment horizontal="center"/>
    </xf>
    <xf numFmtId="0" fontId="13" fillId="0" borderId="0" xfId="0" applyFont="1" applyAlignment="1">
      <alignment horizontal="center"/>
    </xf>
    <xf numFmtId="0" fontId="13" fillId="0" borderId="0" xfId="0" applyFont="1" applyAlignment="1">
      <alignment vertical="top" wrapText="1"/>
    </xf>
    <xf numFmtId="10" fontId="13" fillId="0" borderId="0" xfId="1" applyNumberFormat="1" applyFont="1"/>
    <xf numFmtId="14" fontId="2" fillId="4" borderId="0" xfId="0" applyNumberFormat="1" applyFont="1" applyFill="1" applyAlignment="1">
      <alignment horizontal="left"/>
    </xf>
    <xf numFmtId="14" fontId="2" fillId="0" borderId="0" xfId="0" applyNumberFormat="1" applyFont="1" applyAlignment="1">
      <alignment horizontal="left"/>
    </xf>
    <xf numFmtId="49" fontId="2" fillId="0" borderId="0" xfId="0" applyNumberFormat="1" applyFont="1" applyAlignment="1">
      <alignment horizontal="left"/>
    </xf>
    <xf numFmtId="49" fontId="2" fillId="4" borderId="0" xfId="0" applyNumberFormat="1" applyFont="1" applyFill="1" applyAlignment="1">
      <alignment horizontal="left"/>
    </xf>
    <xf numFmtId="14" fontId="2" fillId="4" borderId="0" xfId="0" applyNumberFormat="1" applyFont="1" applyFill="1" applyAlignment="1">
      <alignment horizontal="center"/>
    </xf>
    <xf numFmtId="14" fontId="2" fillId="0" borderId="0" xfId="0" applyNumberFormat="1" applyFont="1" applyAlignment="1">
      <alignment horizontal="center"/>
    </xf>
    <xf numFmtId="0" fontId="2" fillId="0" borderId="0" xfId="0" applyFont="1" applyAlignment="1">
      <alignment vertical="top" wrapText="1"/>
    </xf>
    <xf numFmtId="0" fontId="2" fillId="0" borderId="0" xfId="0" applyFont="1" applyAlignment="1">
      <alignment horizontal="left" vertical="top" wrapText="1"/>
    </xf>
    <xf numFmtId="0" fontId="2" fillId="0" borderId="0" xfId="0" applyFont="1" applyAlignment="1">
      <alignment horizontal="left" indent="1"/>
    </xf>
    <xf numFmtId="0" fontId="2" fillId="0" borderId="0" xfId="0" applyFont="1" applyAlignment="1">
      <alignment horizontal="left" vertical="top"/>
    </xf>
    <xf numFmtId="165" fontId="13" fillId="0" borderId="0" xfId="0" applyNumberFormat="1" applyFont="1"/>
    <xf numFmtId="165" fontId="12" fillId="0" borderId="0" xfId="0" applyNumberFormat="1" applyFont="1"/>
    <xf numFmtId="166" fontId="2" fillId="0" borderId="0" xfId="3" applyNumberFormat="1" applyFont="1" applyAlignment="1">
      <alignment horizontal="left"/>
    </xf>
    <xf numFmtId="10" fontId="2" fillId="0" borderId="8" xfId="0" applyNumberFormat="1" applyFont="1" applyBorder="1" applyAlignment="1">
      <alignment horizontal="center"/>
    </xf>
    <xf numFmtId="10" fontId="2" fillId="0" borderId="9" xfId="0" applyNumberFormat="1" applyFont="1" applyBorder="1" applyAlignment="1">
      <alignment horizontal="center"/>
    </xf>
    <xf numFmtId="10" fontId="2" fillId="4" borderId="8" xfId="0" applyNumberFormat="1" applyFont="1" applyFill="1" applyBorder="1" applyAlignment="1">
      <alignment horizontal="center"/>
    </xf>
    <xf numFmtId="10" fontId="2" fillId="4" borderId="9" xfId="0" applyNumberFormat="1" applyFont="1" applyFill="1" applyBorder="1" applyAlignment="1">
      <alignment horizontal="center"/>
    </xf>
    <xf numFmtId="10" fontId="2" fillId="0" borderId="12" xfId="0" applyNumberFormat="1" applyFont="1" applyBorder="1" applyAlignment="1">
      <alignment horizontal="center"/>
    </xf>
    <xf numFmtId="10" fontId="2" fillId="0" borderId="14" xfId="0" applyNumberFormat="1" applyFont="1" applyBorder="1" applyAlignment="1">
      <alignment horizontal="center"/>
    </xf>
    <xf numFmtId="10" fontId="2" fillId="4" borderId="12" xfId="0" applyNumberFormat="1" applyFont="1" applyFill="1" applyBorder="1" applyAlignment="1">
      <alignment horizontal="center"/>
    </xf>
    <xf numFmtId="10" fontId="2" fillId="4" borderId="14" xfId="0" applyNumberFormat="1" applyFont="1" applyFill="1" applyBorder="1" applyAlignment="1">
      <alignment horizontal="center"/>
    </xf>
    <xf numFmtId="10" fontId="2" fillId="4" borderId="19" xfId="0" applyNumberFormat="1" applyFont="1" applyFill="1" applyBorder="1" applyAlignment="1">
      <alignment horizontal="center"/>
    </xf>
    <xf numFmtId="10" fontId="2" fillId="4" borderId="4" xfId="0" applyNumberFormat="1" applyFont="1" applyFill="1" applyBorder="1" applyAlignment="1">
      <alignment horizontal="center"/>
    </xf>
    <xf numFmtId="0" fontId="4" fillId="2" borderId="19" xfId="0" applyFont="1" applyFill="1" applyBorder="1" applyAlignment="1">
      <alignment horizontal="center"/>
    </xf>
    <xf numFmtId="0" fontId="4" fillId="2" borderId="4" xfId="0" applyFont="1" applyFill="1" applyBorder="1" applyAlignment="1">
      <alignment horizontal="center"/>
    </xf>
    <xf numFmtId="10" fontId="2" fillId="4" borderId="1" xfId="0" applyNumberFormat="1" applyFont="1" applyFill="1" applyBorder="1" applyAlignment="1">
      <alignment horizontal="center"/>
    </xf>
    <xf numFmtId="10" fontId="2" fillId="4" borderId="5" xfId="0" applyNumberFormat="1" applyFont="1" applyFill="1" applyBorder="1" applyAlignment="1">
      <alignment horizontal="center"/>
    </xf>
    <xf numFmtId="0" fontId="2" fillId="0" borderId="0" xfId="0" applyFont="1" applyAlignment="1">
      <alignment wrapText="1"/>
    </xf>
    <xf numFmtId="0" fontId="3" fillId="0" borderId="0" xfId="0" applyFont="1" applyAlignment="1">
      <alignment vertical="top"/>
    </xf>
    <xf numFmtId="0" fontId="2" fillId="0" borderId="0" xfId="0" applyFont="1" applyAlignment="1">
      <alignment vertical="top"/>
    </xf>
    <xf numFmtId="0" fontId="6" fillId="5" borderId="0" xfId="0" applyFont="1" applyFill="1" applyAlignment="1">
      <alignment horizontal="center" vertical="top"/>
    </xf>
    <xf numFmtId="0" fontId="17" fillId="0" borderId="0" xfId="0" applyFont="1" applyAlignment="1">
      <alignment vertical="top"/>
    </xf>
    <xf numFmtId="10" fontId="2" fillId="0" borderId="0" xfId="0" applyNumberFormat="1" applyFont="1" applyAlignment="1">
      <alignment vertical="top"/>
    </xf>
    <xf numFmtId="0" fontId="8" fillId="5" borderId="0" xfId="0" applyFont="1" applyFill="1" applyAlignment="1">
      <alignment horizontal="center" vertical="top"/>
    </xf>
    <xf numFmtId="10" fontId="8" fillId="5" borderId="0" xfId="0" applyNumberFormat="1" applyFont="1" applyFill="1" applyAlignment="1">
      <alignment horizontal="center" vertical="top"/>
    </xf>
    <xf numFmtId="0" fontId="8" fillId="5" borderId="0" xfId="0" applyFont="1" applyFill="1" applyAlignment="1">
      <alignment horizontal="right" vertical="top"/>
    </xf>
    <xf numFmtId="2" fontId="8" fillId="5" borderId="0" xfId="0" applyNumberFormat="1" applyFont="1" applyFill="1" applyAlignment="1">
      <alignment horizontal="center" vertical="top"/>
    </xf>
    <xf numFmtId="0" fontId="2" fillId="0" borderId="0" xfId="0" applyFont="1" applyAlignment="1">
      <alignment horizontal="right" vertical="top"/>
    </xf>
    <xf numFmtId="3" fontId="2" fillId="0" borderId="0" xfId="0" applyNumberFormat="1" applyFont="1" applyAlignment="1">
      <alignment horizontal="left" vertical="top"/>
    </xf>
    <xf numFmtId="0" fontId="9" fillId="0" borderId="17" xfId="0" applyFont="1" applyBorder="1" applyAlignment="1">
      <alignment horizontal="center" vertical="top"/>
    </xf>
    <xf numFmtId="0" fontId="9" fillId="0" borderId="17" xfId="0" applyFont="1" applyBorder="1" applyAlignment="1">
      <alignment horizontal="left" vertical="top"/>
    </xf>
    <xf numFmtId="0" fontId="9" fillId="0" borderId="17" xfId="0" applyFont="1" applyBorder="1" applyAlignment="1">
      <alignment horizontal="center" vertical="top" wrapText="1"/>
    </xf>
    <xf numFmtId="10" fontId="0" fillId="0" borderId="0" xfId="0" applyNumberFormat="1" applyAlignment="1">
      <alignment vertical="top"/>
    </xf>
    <xf numFmtId="0" fontId="0" fillId="0" borderId="0" xfId="0" applyAlignment="1">
      <alignment vertical="top"/>
    </xf>
    <xf numFmtId="2" fontId="2" fillId="0" borderId="0" xfId="1" quotePrefix="1" applyNumberFormat="1" applyFont="1" applyAlignment="1">
      <alignment vertical="top"/>
    </xf>
    <xf numFmtId="2" fontId="2" fillId="0" borderId="0" xfId="0" applyNumberFormat="1" applyFont="1" applyAlignment="1">
      <alignment vertical="top"/>
    </xf>
    <xf numFmtId="2" fontId="2" fillId="0" borderId="0" xfId="0" quotePrefix="1" applyNumberFormat="1" applyFont="1" applyAlignment="1">
      <alignment vertical="top"/>
    </xf>
    <xf numFmtId="0" fontId="2" fillId="0" borderId="0" xfId="1" applyNumberFormat="1" applyFont="1" applyAlignment="1">
      <alignment vertical="top"/>
    </xf>
    <xf numFmtId="0" fontId="0" fillId="0" borderId="18" xfId="0" applyBorder="1" applyAlignment="1">
      <alignment vertical="top"/>
    </xf>
    <xf numFmtId="10" fontId="2" fillId="0" borderId="0" xfId="1" applyNumberFormat="1" applyFont="1" applyAlignment="1">
      <alignment vertical="top"/>
    </xf>
    <xf numFmtId="9" fontId="2" fillId="0" borderId="0" xfId="1" applyFont="1" applyAlignment="1">
      <alignment vertical="top"/>
    </xf>
    <xf numFmtId="0" fontId="17" fillId="6" borderId="0" xfId="0" applyFont="1" applyFill="1" applyAlignment="1">
      <alignment vertical="top"/>
    </xf>
    <xf numFmtId="44" fontId="2" fillId="0" borderId="0" xfId="0" applyNumberFormat="1" applyFont="1" applyAlignment="1">
      <alignment horizontal="right"/>
    </xf>
    <xf numFmtId="14" fontId="2" fillId="0" borderId="0" xfId="0" applyNumberFormat="1" applyFont="1"/>
    <xf numFmtId="164" fontId="2" fillId="0" borderId="0" xfId="0" applyNumberFormat="1" applyFont="1" applyAlignment="1">
      <alignment horizontal="right"/>
    </xf>
    <xf numFmtId="0" fontId="16" fillId="0" borderId="0" xfId="2" applyFont="1" applyAlignment="1"/>
    <xf numFmtId="0" fontId="15" fillId="0" borderId="0" xfId="2" applyAlignment="1"/>
    <xf numFmtId="0" fontId="4" fillId="2" borderId="4" xfId="0" applyFont="1" applyFill="1" applyBorder="1"/>
    <xf numFmtId="0" fontId="5" fillId="2" borderId="19" xfId="0" applyFont="1" applyFill="1" applyBorder="1"/>
    <xf numFmtId="10" fontId="2" fillId="4" borderId="19" xfId="0" applyNumberFormat="1" applyFont="1" applyFill="1" applyBorder="1"/>
    <xf numFmtId="10" fontId="2" fillId="4" borderId="4" xfId="0" applyNumberFormat="1" applyFont="1" applyFill="1" applyBorder="1"/>
    <xf numFmtId="10" fontId="2" fillId="4" borderId="8" xfId="0" applyNumberFormat="1" applyFont="1" applyFill="1" applyBorder="1"/>
    <xf numFmtId="10" fontId="2" fillId="4" borderId="0" xfId="0" applyNumberFormat="1" applyFont="1" applyFill="1"/>
    <xf numFmtId="10" fontId="2" fillId="4" borderId="9" xfId="0" applyNumberFormat="1" applyFont="1" applyFill="1" applyBorder="1"/>
    <xf numFmtId="10" fontId="2" fillId="4" borderId="1" xfId="0" applyNumberFormat="1" applyFont="1" applyFill="1" applyBorder="1"/>
    <xf numFmtId="10" fontId="2" fillId="4" borderId="2" xfId="0" applyNumberFormat="1" applyFont="1" applyFill="1" applyBorder="1"/>
    <xf numFmtId="10" fontId="2" fillId="4" borderId="5" xfId="0" applyNumberFormat="1" applyFont="1" applyFill="1" applyBorder="1"/>
    <xf numFmtId="10" fontId="2" fillId="0" borderId="8" xfId="0" applyNumberFormat="1" applyFont="1" applyBorder="1"/>
    <xf numFmtId="10" fontId="2" fillId="0" borderId="9" xfId="0" applyNumberFormat="1" applyFont="1" applyBorder="1"/>
    <xf numFmtId="10" fontId="2" fillId="0" borderId="0" xfId="0" applyNumberFormat="1" applyFont="1"/>
    <xf numFmtId="10" fontId="2" fillId="4" borderId="12" xfId="0" applyNumberFormat="1" applyFont="1" applyFill="1" applyBorder="1"/>
    <xf numFmtId="10" fontId="2" fillId="4" borderId="14" xfId="0" applyNumberFormat="1" applyFont="1" applyFill="1" applyBorder="1"/>
    <xf numFmtId="10" fontId="2" fillId="0" borderId="12" xfId="0" applyNumberFormat="1" applyFont="1" applyBorder="1"/>
    <xf numFmtId="10" fontId="2" fillId="0" borderId="13" xfId="0" applyNumberFormat="1" applyFont="1" applyBorder="1"/>
    <xf numFmtId="10" fontId="2" fillId="0" borderId="14" xfId="0" applyNumberFormat="1" applyFont="1" applyBorder="1"/>
    <xf numFmtId="0" fontId="15" fillId="0" borderId="0" xfId="2" applyAlignment="1">
      <alignment vertical="center" wrapText="1"/>
    </xf>
    <xf numFmtId="0" fontId="22" fillId="0" borderId="0" xfId="0" applyFont="1" applyAlignment="1">
      <alignment horizontal="left" vertical="center" wrapText="1" indent="2"/>
    </xf>
    <xf numFmtId="0" fontId="21" fillId="0" borderId="0" xfId="0" applyFont="1" applyAlignment="1">
      <alignment horizontal="center" vertical="center" wrapText="1"/>
    </xf>
    <xf numFmtId="0" fontId="23" fillId="0" borderId="0" xfId="0" applyFont="1" applyAlignment="1">
      <alignment horizontal="center" vertical="center" wrapText="1"/>
    </xf>
    <xf numFmtId="0" fontId="24" fillId="0" borderId="0" xfId="0" applyFont="1" applyAlignment="1">
      <alignment horizontal="center" vertical="center" wrapText="1"/>
    </xf>
    <xf numFmtId="0" fontId="25" fillId="7" borderId="20" xfId="0" applyFont="1" applyFill="1" applyBorder="1" applyAlignment="1">
      <alignment horizontal="left" vertical="center" wrapText="1"/>
    </xf>
    <xf numFmtId="0" fontId="26" fillId="0" borderId="20" xfId="0" applyFont="1" applyBorder="1" applyAlignment="1">
      <alignment horizontal="left" vertical="center" wrapText="1"/>
    </xf>
    <xf numFmtId="0" fontId="2" fillId="0" borderId="0" xfId="0" applyFont="1" applyAlignment="1">
      <alignment horizontal="center"/>
    </xf>
    <xf numFmtId="0" fontId="25" fillId="7" borderId="20" xfId="0" applyFont="1" applyFill="1" applyBorder="1" applyAlignment="1">
      <alignment horizontal="center" vertical="center" wrapText="1"/>
    </xf>
    <xf numFmtId="0" fontId="26" fillId="0" borderId="20" xfId="0" applyFont="1" applyBorder="1" applyAlignment="1">
      <alignment horizontal="center" vertical="center" wrapText="1"/>
    </xf>
    <xf numFmtId="0" fontId="15" fillId="0" borderId="0" xfId="2" applyAlignment="1">
      <alignment horizontal="left"/>
    </xf>
    <xf numFmtId="0" fontId="2" fillId="0" borderId="0" xfId="0" applyFont="1" applyAlignment="1">
      <alignment horizontal="left" wrapText="1"/>
    </xf>
    <xf numFmtId="0" fontId="19" fillId="0" borderId="0" xfId="0" applyFont="1" applyAlignment="1">
      <alignment horizontal="center"/>
    </xf>
    <xf numFmtId="0" fontId="2" fillId="0" borderId="0" xfId="0" applyFont="1" applyAlignment="1">
      <alignment horizontal="left" vertical="top" wrapText="1"/>
    </xf>
  </cellXfs>
  <cellStyles count="4">
    <cellStyle name="Comma" xfId="3" builtinId="3"/>
    <cellStyle name="Hyperlink" xfId="2" builtinId="8"/>
    <cellStyle name="Normal" xfId="0" builtinId="0"/>
    <cellStyle name="Percent" xfId="1" builtinId="5"/>
  </cellStyles>
  <dxfs count="19">
    <dxf>
      <font>
        <b/>
        <i val="0"/>
        <color theme="0"/>
      </font>
      <fill>
        <patternFill>
          <bgColor rgb="FF5A8C38"/>
        </patternFill>
      </fill>
    </dxf>
    <dxf>
      <font>
        <b/>
        <i val="0"/>
        <color theme="0"/>
      </font>
      <fill>
        <patternFill>
          <bgColor theme="9" tint="0.39994506668294322"/>
        </patternFill>
      </fill>
    </dxf>
    <dxf>
      <font>
        <b/>
        <i val="0"/>
        <color theme="1"/>
      </font>
      <fill>
        <patternFill>
          <bgColor theme="7" tint="0.39994506668294322"/>
        </patternFill>
      </fill>
    </dxf>
    <dxf>
      <font>
        <b/>
        <i val="0"/>
        <color theme="0"/>
      </font>
      <fill>
        <patternFill>
          <bgColor rgb="FFFF6D6D"/>
        </patternFill>
      </fill>
    </dxf>
    <dxf>
      <font>
        <b/>
        <i val="0"/>
        <color theme="0"/>
      </font>
      <fill>
        <patternFill>
          <bgColor rgb="FFF20000"/>
        </patternFill>
      </fill>
    </dxf>
    <dxf>
      <font>
        <b val="0"/>
        <i val="0"/>
        <strike val="0"/>
        <condense val="0"/>
        <extend val="0"/>
        <outline val="0"/>
        <shadow val="0"/>
        <u val="none"/>
        <vertAlign val="baseline"/>
        <sz val="11"/>
        <color theme="1"/>
        <name val="Calibre"/>
        <scheme val="none"/>
      </font>
      <numFmt numFmtId="19" formatCode="m/d/yyyy"/>
      <alignment horizontal="left" vertical="bottom" textRotation="0" wrapText="0" indent="0" justifyLastLine="0" shrinkToFit="0" readingOrder="0"/>
    </dxf>
    <dxf>
      <font>
        <b val="0"/>
        <i val="0"/>
        <strike val="0"/>
        <condense val="0"/>
        <extend val="0"/>
        <outline val="0"/>
        <shadow val="0"/>
        <u val="none"/>
        <vertAlign val="baseline"/>
        <sz val="11"/>
        <color theme="1"/>
        <name val="Calibre"/>
        <scheme val="none"/>
      </font>
      <numFmt numFmtId="19" formatCode="m/d/yyyy"/>
      <alignment horizontal="left" vertical="bottom" textRotation="0" wrapText="0" indent="0" justifyLastLine="0" shrinkToFit="0" readingOrder="0"/>
    </dxf>
    <dxf>
      <font>
        <b val="0"/>
        <i val="0"/>
        <strike val="0"/>
        <condense val="0"/>
        <extend val="0"/>
        <outline val="0"/>
        <shadow val="0"/>
        <u val="none"/>
        <vertAlign val="baseline"/>
        <sz val="11"/>
        <color theme="1"/>
        <name val="Calibre"/>
        <scheme val="none"/>
      </font>
      <numFmt numFmtId="19" formatCode="m/d/yyyy"/>
      <alignment horizontal="center" vertical="bottom" textRotation="0" wrapText="0" indent="0" justifyLastLine="0" shrinkToFit="0" readingOrder="0"/>
    </dxf>
    <dxf>
      <font>
        <b/>
        <i val="0"/>
        <strike val="0"/>
        <condense val="0"/>
        <extend val="0"/>
        <outline val="0"/>
        <shadow val="0"/>
        <u val="none"/>
        <vertAlign val="baseline"/>
        <sz val="11"/>
        <color theme="0"/>
        <name val="Calibre"/>
        <scheme val="none"/>
      </font>
      <numFmt numFmtId="19" formatCode="m/d/yyyy"/>
      <fill>
        <patternFill patternType="solid">
          <fgColor indexed="64"/>
          <bgColor theme="8" tint="-0.249977111117893"/>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e"/>
        <scheme val="none"/>
      </font>
      <numFmt numFmtId="19" formatCode="m/d/yyyy"/>
      <alignment horizontal="left" vertical="bottom" textRotation="0" wrapText="0" indent="0" justifyLastLine="0" shrinkToFit="0" readingOrder="0"/>
    </dxf>
    <dxf>
      <font>
        <b val="0"/>
        <i val="0"/>
        <strike val="0"/>
        <condense val="0"/>
        <extend val="0"/>
        <outline val="0"/>
        <shadow val="0"/>
        <u val="none"/>
        <vertAlign val="baseline"/>
        <sz val="11"/>
        <color theme="1"/>
        <name val="Calibre"/>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e"/>
        <scheme val="none"/>
      </font>
      <fill>
        <patternFill patternType="solid">
          <fgColor indexed="64"/>
          <bgColor theme="8" tint="-0.499984740745262"/>
        </patternFill>
      </fill>
    </dxf>
    <dxf>
      <font>
        <b val="0"/>
        <i val="0"/>
        <strike val="0"/>
        <condense val="0"/>
        <extend val="0"/>
        <outline val="0"/>
        <shadow val="0"/>
        <u val="none"/>
        <vertAlign val="baseline"/>
        <sz val="11"/>
        <color theme="1"/>
        <name val="Calibre"/>
        <scheme val="none"/>
      </font>
      <numFmt numFmtId="19" formatCode="m/d/yyyy"/>
      <fill>
        <patternFill patternType="solid">
          <fgColor theme="4" tint="0.79998168889431442"/>
          <bgColor theme="4" tint="0.79998168889431442"/>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e"/>
        <scheme val="none"/>
      </font>
      <numFmt numFmtId="19" formatCode="m/d/yyyy"/>
      <fill>
        <patternFill patternType="solid">
          <fgColor theme="4" tint="0.79998168889431442"/>
          <bgColor theme="4" tint="0.79998168889431442"/>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e"/>
        <scheme val="none"/>
      </font>
      <numFmt numFmtId="19" formatCode="m/d/yyyy"/>
      <fill>
        <patternFill patternType="solid">
          <fgColor theme="4" tint="0.79998168889431442"/>
          <bgColor theme="4"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Calibre"/>
        <scheme val="none"/>
      </font>
      <numFmt numFmtId="19" formatCode="m/d/yyyy"/>
      <fill>
        <patternFill patternType="solid">
          <fgColor theme="4" tint="0.79998168889431442"/>
          <bgColor theme="4" tint="0.79998168889431442"/>
        </patternFill>
      </fill>
      <alignment horizontal="left" vertical="bottom" textRotation="0" wrapText="0" indent="0" justifyLastLine="0" shrinkToFit="0" readingOrder="0"/>
    </dxf>
    <dxf>
      <font>
        <b/>
        <i val="0"/>
        <strike val="0"/>
        <condense val="0"/>
        <extend val="0"/>
        <outline val="0"/>
        <shadow val="0"/>
        <u val="none"/>
        <vertAlign val="baseline"/>
        <sz val="11"/>
        <color theme="0"/>
        <name val="Calibre"/>
        <scheme val="none"/>
      </font>
      <numFmt numFmtId="19" formatCode="m/d/yyyy"/>
      <fill>
        <patternFill patternType="solid">
          <fgColor theme="4" tint="0.79998168889431442"/>
          <bgColor theme="4" tint="0.79998168889431442"/>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e"/>
        <scheme val="none"/>
      </font>
    </dxf>
    <dxf>
      <font>
        <b val="0"/>
        <i val="0"/>
        <strike val="0"/>
        <condense val="0"/>
        <extend val="0"/>
        <outline val="0"/>
        <shadow val="0"/>
        <u val="none"/>
        <vertAlign val="baseline"/>
        <sz val="11"/>
        <color theme="1"/>
        <name val="Calibre"/>
        <scheme val="none"/>
      </font>
      <fill>
        <patternFill patternType="solid">
          <fgColor indexed="64"/>
          <bgColor theme="8" tint="-0.499984740745262"/>
        </patternFill>
      </fill>
    </dxf>
  </dxfs>
  <tableStyles count="0" defaultTableStyle="TableStyleMedium2" defaultPivotStyle="PivotStyleLight16"/>
  <colors>
    <mruColors>
      <color rgb="FF789AD6"/>
      <color rgb="FF517BC7"/>
      <color rgb="FF3862AE"/>
      <color rgb="FF68BCAE"/>
      <color rgb="FF52B2A2"/>
      <color rgb="FF469C8E"/>
      <color rgb="FF419184"/>
      <color rgb="FF4CAA9A"/>
      <color rgb="FFC45898"/>
      <color rgb="FFB03E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t>(GOOGL) Historical Return Histogram + Normal Distribution Overlay</a:t>
            </a:r>
          </a:p>
        </c:rich>
      </c:tx>
      <c:layout>
        <c:manualLayout>
          <c:xMode val="edge"/>
          <c:yMode val="edge"/>
          <c:x val="0.28739229481479678"/>
          <c:y val="1.7933580794782411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scatterChart>
        <c:scatterStyle val="smoothMarker"/>
        <c:varyColors val="0"/>
        <c:ser>
          <c:idx val="0"/>
          <c:order val="0"/>
          <c:tx>
            <c:strRef>
              <c:f>'Notes | Quant Analysis'!$R$224</c:f>
              <c:strCache>
                <c:ptCount val="1"/>
                <c:pt idx="0">
                  <c:v>Histogram Data</c:v>
                </c:pt>
              </c:strCache>
            </c:strRef>
          </c:tx>
          <c:spPr>
            <a:ln w="38100" cap="rnd">
              <a:noFill/>
              <a:round/>
            </a:ln>
            <a:effectLst/>
          </c:spPr>
          <c:marker>
            <c:symbol val="none"/>
          </c:marker>
          <c:errBars>
            <c:errDir val="y"/>
            <c:errBarType val="minus"/>
            <c:errValType val="percentage"/>
            <c:noEndCap val="1"/>
            <c:val val="100"/>
            <c:spPr>
              <a:noFill/>
              <a:ln w="263525" cap="flat" cmpd="sng" algn="ctr">
                <a:solidFill>
                  <a:srgbClr val="00B0F0"/>
                </a:solidFill>
                <a:round/>
              </a:ln>
              <a:effectLst/>
            </c:spPr>
          </c:errBars>
          <c:xVal>
            <c:numRef>
              <c:f>'Notes | Quant Analysis'!$R$226:$R$266</c:f>
              <c:numCache>
                <c:formatCode>0.00%</c:formatCode>
                <c:ptCount val="41"/>
                <c:pt idx="0">
                  <c:v>-0.05</c:v>
                </c:pt>
                <c:pt idx="1">
                  <c:v>-4.7500000000000001E-2</c:v>
                </c:pt>
                <c:pt idx="2">
                  <c:v>-4.4999999999999998E-2</c:v>
                </c:pt>
                <c:pt idx="3">
                  <c:v>-4.2500000000000003E-2</c:v>
                </c:pt>
                <c:pt idx="4">
                  <c:v>-0.04</c:v>
                </c:pt>
                <c:pt idx="5">
                  <c:v>-3.7499999999999999E-2</c:v>
                </c:pt>
                <c:pt idx="6">
                  <c:v>-3.5000000000000003E-2</c:v>
                </c:pt>
                <c:pt idx="7">
                  <c:v>-3.2500000000000001E-2</c:v>
                </c:pt>
                <c:pt idx="8">
                  <c:v>-0.03</c:v>
                </c:pt>
                <c:pt idx="9">
                  <c:v>-2.75E-2</c:v>
                </c:pt>
                <c:pt idx="10">
                  <c:v>-2.5000000000000001E-2</c:v>
                </c:pt>
                <c:pt idx="11">
                  <c:v>-2.2499999999999999E-2</c:v>
                </c:pt>
                <c:pt idx="12">
                  <c:v>-0.02</c:v>
                </c:pt>
                <c:pt idx="13">
                  <c:v>-1.7500000000000002E-2</c:v>
                </c:pt>
                <c:pt idx="14">
                  <c:v>-1.4999999999999999E-2</c:v>
                </c:pt>
                <c:pt idx="15">
                  <c:v>-1.2500000000000001E-2</c:v>
                </c:pt>
                <c:pt idx="16">
                  <c:v>-0.01</c:v>
                </c:pt>
                <c:pt idx="17">
                  <c:v>-7.4999999999999997E-3</c:v>
                </c:pt>
                <c:pt idx="18">
                  <c:v>-5.0000000000000001E-3</c:v>
                </c:pt>
                <c:pt idx="19">
                  <c:v>-2.5000000000000001E-3</c:v>
                </c:pt>
                <c:pt idx="20">
                  <c:v>0</c:v>
                </c:pt>
                <c:pt idx="21">
                  <c:v>2.5000000000000001E-3</c:v>
                </c:pt>
                <c:pt idx="22">
                  <c:v>5.0000000000000001E-3</c:v>
                </c:pt>
                <c:pt idx="23">
                  <c:v>7.4999999999999997E-3</c:v>
                </c:pt>
                <c:pt idx="24">
                  <c:v>0.01</c:v>
                </c:pt>
                <c:pt idx="25">
                  <c:v>1.2500000000000001E-2</c:v>
                </c:pt>
                <c:pt idx="26">
                  <c:v>1.4999999999999999E-2</c:v>
                </c:pt>
                <c:pt idx="27">
                  <c:v>1.7500000000000002E-2</c:v>
                </c:pt>
                <c:pt idx="28">
                  <c:v>0.02</c:v>
                </c:pt>
                <c:pt idx="29">
                  <c:v>2.2499999999999999E-2</c:v>
                </c:pt>
                <c:pt idx="30">
                  <c:v>2.5000000000000001E-2</c:v>
                </c:pt>
                <c:pt idx="31">
                  <c:v>2.75E-2</c:v>
                </c:pt>
                <c:pt idx="32">
                  <c:v>0.03</c:v>
                </c:pt>
                <c:pt idx="33">
                  <c:v>3.2500000000000001E-2</c:v>
                </c:pt>
                <c:pt idx="34">
                  <c:v>3.5000000000000003E-2</c:v>
                </c:pt>
                <c:pt idx="35">
                  <c:v>3.7499999999999999E-2</c:v>
                </c:pt>
                <c:pt idx="36">
                  <c:v>0.04</c:v>
                </c:pt>
                <c:pt idx="37">
                  <c:v>4.2500000000000003E-2</c:v>
                </c:pt>
                <c:pt idx="38">
                  <c:v>4.4999999999999998E-2</c:v>
                </c:pt>
                <c:pt idx="39">
                  <c:v>4.7500000000000001E-2</c:v>
                </c:pt>
                <c:pt idx="40">
                  <c:v>0.05</c:v>
                </c:pt>
              </c:numCache>
            </c:numRef>
          </c:xVal>
          <c:yVal>
            <c:numRef>
              <c:f>'Notes | Quant Analysis'!$S$226:$S$266</c:f>
              <c:numCache>
                <c:formatCode>General</c:formatCode>
                <c:ptCount val="41"/>
                <c:pt idx="0">
                  <c:v>5</c:v>
                </c:pt>
                <c:pt idx="1">
                  <c:v>2</c:v>
                </c:pt>
                <c:pt idx="2">
                  <c:v>3</c:v>
                </c:pt>
                <c:pt idx="3">
                  <c:v>2</c:v>
                </c:pt>
                <c:pt idx="4">
                  <c:v>6</c:v>
                </c:pt>
                <c:pt idx="5">
                  <c:v>3</c:v>
                </c:pt>
                <c:pt idx="6">
                  <c:v>5</c:v>
                </c:pt>
                <c:pt idx="7">
                  <c:v>11</c:v>
                </c:pt>
                <c:pt idx="8">
                  <c:v>11</c:v>
                </c:pt>
                <c:pt idx="9">
                  <c:v>13</c:v>
                </c:pt>
                <c:pt idx="10">
                  <c:v>15</c:v>
                </c:pt>
                <c:pt idx="11">
                  <c:v>22</c:v>
                </c:pt>
                <c:pt idx="12">
                  <c:v>33</c:v>
                </c:pt>
                <c:pt idx="13">
                  <c:v>37</c:v>
                </c:pt>
                <c:pt idx="14">
                  <c:v>46</c:v>
                </c:pt>
                <c:pt idx="15">
                  <c:v>62</c:v>
                </c:pt>
                <c:pt idx="16">
                  <c:v>79</c:v>
                </c:pt>
                <c:pt idx="17">
                  <c:v>90</c:v>
                </c:pt>
                <c:pt idx="18">
                  <c:v>104</c:v>
                </c:pt>
                <c:pt idx="19">
                  <c:v>116</c:v>
                </c:pt>
                <c:pt idx="20">
                  <c:v>136</c:v>
                </c:pt>
                <c:pt idx="21">
                  <c:v>151</c:v>
                </c:pt>
                <c:pt idx="22">
                  <c:v>142</c:v>
                </c:pt>
                <c:pt idx="23">
                  <c:v>121</c:v>
                </c:pt>
                <c:pt idx="24">
                  <c:v>107</c:v>
                </c:pt>
                <c:pt idx="25">
                  <c:v>105</c:v>
                </c:pt>
                <c:pt idx="26">
                  <c:v>84</c:v>
                </c:pt>
                <c:pt idx="27">
                  <c:v>58</c:v>
                </c:pt>
                <c:pt idx="28">
                  <c:v>50</c:v>
                </c:pt>
                <c:pt idx="29">
                  <c:v>37</c:v>
                </c:pt>
                <c:pt idx="30">
                  <c:v>23</c:v>
                </c:pt>
                <c:pt idx="31">
                  <c:v>19</c:v>
                </c:pt>
                <c:pt idx="32">
                  <c:v>19</c:v>
                </c:pt>
                <c:pt idx="33">
                  <c:v>9</c:v>
                </c:pt>
                <c:pt idx="34">
                  <c:v>11</c:v>
                </c:pt>
                <c:pt idx="35">
                  <c:v>3</c:v>
                </c:pt>
                <c:pt idx="36">
                  <c:v>4</c:v>
                </c:pt>
                <c:pt idx="37">
                  <c:v>2</c:v>
                </c:pt>
                <c:pt idx="38">
                  <c:v>5</c:v>
                </c:pt>
                <c:pt idx="39">
                  <c:v>2</c:v>
                </c:pt>
                <c:pt idx="40">
                  <c:v>1</c:v>
                </c:pt>
              </c:numCache>
            </c:numRef>
          </c:yVal>
          <c:smooth val="1"/>
          <c:extLst>
            <c:ext xmlns:c16="http://schemas.microsoft.com/office/drawing/2014/chart" uri="{C3380CC4-5D6E-409C-BE32-E72D297353CC}">
              <c16:uniqueId val="{00000000-A3E0-4241-B9E2-C6C1132A9B06}"/>
            </c:ext>
          </c:extLst>
        </c:ser>
        <c:ser>
          <c:idx val="1"/>
          <c:order val="1"/>
          <c:tx>
            <c:strRef>
              <c:f>'Notes | Quant Analysis'!$U$224</c:f>
              <c:strCache>
                <c:ptCount val="1"/>
                <c:pt idx="0">
                  <c:v>Distribution Overlay</c:v>
                </c:pt>
              </c:strCache>
            </c:strRef>
          </c:tx>
          <c:spPr>
            <a:ln w="19050" cap="rnd">
              <a:solidFill>
                <a:srgbClr val="FFC000"/>
              </a:solidFill>
              <a:round/>
            </a:ln>
            <a:effectLst/>
          </c:spPr>
          <c:marker>
            <c:symbol val="none"/>
          </c:marker>
          <c:errBars>
            <c:errDir val="y"/>
            <c:errBarType val="minus"/>
            <c:errValType val="percentage"/>
            <c:noEndCap val="1"/>
            <c:val val="100"/>
            <c:spPr>
              <a:noFill/>
              <a:ln w="114300" cap="flat" cmpd="sng" algn="ctr">
                <a:solidFill>
                  <a:srgbClr val="00B0F0"/>
                </a:solidFill>
                <a:round/>
              </a:ln>
              <a:effectLst/>
            </c:spPr>
          </c:errBars>
          <c:xVal>
            <c:numRef>
              <c:f>'Notes | Quant Analysis'!$U$226:$U$268</c:f>
              <c:numCache>
                <c:formatCode>0.00%</c:formatCode>
                <c:ptCount val="43"/>
                <c:pt idx="0">
                  <c:v>-5.0999999999999997E-2</c:v>
                </c:pt>
                <c:pt idx="1">
                  <c:v>-0.05</c:v>
                </c:pt>
                <c:pt idx="2">
                  <c:v>-4.7500000000000001E-2</c:v>
                </c:pt>
                <c:pt idx="3">
                  <c:v>-4.4999999999999998E-2</c:v>
                </c:pt>
                <c:pt idx="4">
                  <c:v>-4.2500000000000003E-2</c:v>
                </c:pt>
                <c:pt idx="5">
                  <c:v>-0.04</c:v>
                </c:pt>
                <c:pt idx="6">
                  <c:v>-3.7499999999999999E-2</c:v>
                </c:pt>
                <c:pt idx="7">
                  <c:v>-3.5000000000000003E-2</c:v>
                </c:pt>
                <c:pt idx="8">
                  <c:v>-3.2500000000000001E-2</c:v>
                </c:pt>
                <c:pt idx="9">
                  <c:v>-0.03</c:v>
                </c:pt>
                <c:pt idx="10">
                  <c:v>-2.75E-2</c:v>
                </c:pt>
                <c:pt idx="11">
                  <c:v>-2.5000000000000001E-2</c:v>
                </c:pt>
                <c:pt idx="12">
                  <c:v>-2.2499999999999999E-2</c:v>
                </c:pt>
                <c:pt idx="13">
                  <c:v>-0.02</c:v>
                </c:pt>
                <c:pt idx="14">
                  <c:v>-1.7500000000000002E-2</c:v>
                </c:pt>
                <c:pt idx="15">
                  <c:v>-1.4999999999999999E-2</c:v>
                </c:pt>
                <c:pt idx="16">
                  <c:v>-1.2500000000000001E-2</c:v>
                </c:pt>
                <c:pt idx="17">
                  <c:v>-0.01</c:v>
                </c:pt>
                <c:pt idx="18">
                  <c:v>-7.4999999999999997E-3</c:v>
                </c:pt>
                <c:pt idx="19">
                  <c:v>-5.0000000000000001E-3</c:v>
                </c:pt>
                <c:pt idx="20">
                  <c:v>-2.5000000000000001E-3</c:v>
                </c:pt>
                <c:pt idx="21">
                  <c:v>0</c:v>
                </c:pt>
                <c:pt idx="22">
                  <c:v>2.5000000000000001E-3</c:v>
                </c:pt>
                <c:pt idx="23">
                  <c:v>5.0000000000000001E-3</c:v>
                </c:pt>
                <c:pt idx="24">
                  <c:v>7.4999999999999997E-3</c:v>
                </c:pt>
                <c:pt idx="25">
                  <c:v>0.01</c:v>
                </c:pt>
                <c:pt idx="26">
                  <c:v>1.2500000000000001E-2</c:v>
                </c:pt>
                <c:pt idx="27">
                  <c:v>1.4999999999999999E-2</c:v>
                </c:pt>
                <c:pt idx="28">
                  <c:v>1.7500000000000002E-2</c:v>
                </c:pt>
                <c:pt idx="29">
                  <c:v>0.02</c:v>
                </c:pt>
                <c:pt idx="30">
                  <c:v>2.2499999999999999E-2</c:v>
                </c:pt>
                <c:pt idx="31">
                  <c:v>2.5000000000000001E-2</c:v>
                </c:pt>
                <c:pt idx="32">
                  <c:v>2.75E-2</c:v>
                </c:pt>
                <c:pt idx="33">
                  <c:v>0.03</c:v>
                </c:pt>
                <c:pt idx="34">
                  <c:v>3.2500000000000001E-2</c:v>
                </c:pt>
                <c:pt idx="35">
                  <c:v>3.5000000000000003E-2</c:v>
                </c:pt>
                <c:pt idx="36">
                  <c:v>3.7499999999999999E-2</c:v>
                </c:pt>
                <c:pt idx="37">
                  <c:v>0.04</c:v>
                </c:pt>
                <c:pt idx="38">
                  <c:v>4.2500000000000003E-2</c:v>
                </c:pt>
                <c:pt idx="39">
                  <c:v>4.4999999999999998E-2</c:v>
                </c:pt>
                <c:pt idx="40">
                  <c:v>4.7500000000000001E-2</c:v>
                </c:pt>
                <c:pt idx="41">
                  <c:v>0.05</c:v>
                </c:pt>
                <c:pt idx="42">
                  <c:v>5.0999999999999997E-2</c:v>
                </c:pt>
              </c:numCache>
            </c:numRef>
          </c:xVal>
          <c:yVal>
            <c:numRef>
              <c:f>'Notes | Quant Analysis'!$V$226:$V$268</c:f>
              <c:numCache>
                <c:formatCode>General</c:formatCode>
                <c:ptCount val="43"/>
                <c:pt idx="0">
                  <c:v>6.7485647479484268E-2</c:v>
                </c:pt>
                <c:pt idx="1">
                  <c:v>8.4755141510867826E-2</c:v>
                </c:pt>
                <c:pt idx="2">
                  <c:v>0.14693884607982008</c:v>
                </c:pt>
                <c:pt idx="3">
                  <c:v>0.24779031014050099</c:v>
                </c:pt>
                <c:pt idx="4">
                  <c:v>0.40645187950634176</c:v>
                </c:pt>
                <c:pt idx="5">
                  <c:v>0.64850163545818795</c:v>
                </c:pt>
                <c:pt idx="6">
                  <c:v>1.0064452112966975</c:v>
                </c:pt>
                <c:pt idx="7">
                  <c:v>1.519309741949542</c:v>
                </c:pt>
                <c:pt idx="8">
                  <c:v>2.230897567645576</c:v>
                </c:pt>
                <c:pt idx="9">
                  <c:v>3.1863249187990732</c:v>
                </c:pt>
                <c:pt idx="10">
                  <c:v>4.4266747426130211</c:v>
                </c:pt>
                <c:pt idx="11">
                  <c:v>5.981943240119147</c:v>
                </c:pt>
                <c:pt idx="12">
                  <c:v>7.8629241416018001</c:v>
                </c:pt>
                <c:pt idx="13">
                  <c:v>10.053169530568015</c:v>
                </c:pt>
                <c:pt idx="14">
                  <c:v>12.50256293698485</c:v>
                </c:pt>
                <c:pt idx="15">
                  <c:v>15.124193154227564</c:v>
                </c:pt>
                <c:pt idx="16">
                  <c:v>17.796004363984451</c:v>
                </c:pt>
                <c:pt idx="17">
                  <c:v>20.368071674668386</c:v>
                </c:pt>
                <c:pt idx="18">
                  <c:v>22.675373442118538</c:v>
                </c:pt>
                <c:pt idx="19">
                  <c:v>24.554783226745446</c:v>
                </c:pt>
                <c:pt idx="20">
                  <c:v>25.863951865131018</c:v>
                </c:pt>
                <c:pt idx="21">
                  <c:v>26.499079302515103</c:v>
                </c:pt>
                <c:pt idx="22">
                  <c:v>26.408504557576869</c:v>
                </c:pt>
                <c:pt idx="23">
                  <c:v>25.599645760456678</c:v>
                </c:pt>
                <c:pt idx="24">
                  <c:v>24.137996784585916</c:v>
                </c:pt>
                <c:pt idx="25">
                  <c:v>22.138368753079288</c:v>
                </c:pt>
                <c:pt idx="26">
                  <c:v>19.750001444365168</c:v>
                </c:pt>
                <c:pt idx="27">
                  <c:v>17.138222189571593</c:v>
                </c:pt>
                <c:pt idx="28">
                  <c:v>14.465769105118028</c:v>
                </c:pt>
                <c:pt idx="29">
                  <c:v>11.876662392392474</c:v>
                </c:pt>
                <c:pt idx="30">
                  <c:v>9.4847178579403923</c:v>
                </c:pt>
                <c:pt idx="31">
                  <c:v>7.3676933899352504</c:v>
                </c:pt>
                <c:pt idx="32">
                  <c:v>5.5669304377145785</c:v>
                </c:pt>
                <c:pt idx="33">
                  <c:v>4.0914492401654154</c:v>
                </c:pt>
                <c:pt idx="34">
                  <c:v>2.9249312543105761</c:v>
                </c:pt>
                <c:pt idx="35">
                  <c:v>2.0339078916376363</c:v>
                </c:pt>
                <c:pt idx="36">
                  <c:v>1.3757009027259319</c:v>
                </c:pt>
                <c:pt idx="37">
                  <c:v>0.90509441648348676</c:v>
                </c:pt>
                <c:pt idx="38">
                  <c:v>0.57921642911080828</c:v>
                </c:pt>
                <c:pt idx="39">
                  <c:v>0.36054956887089862</c:v>
                </c:pt>
                <c:pt idx="40">
                  <c:v>0.21830627132349276</c:v>
                </c:pt>
                <c:pt idx="41">
                  <c:v>0.1285714571397876</c:v>
                </c:pt>
                <c:pt idx="42">
                  <c:v>0.10323084964993744</c:v>
                </c:pt>
              </c:numCache>
            </c:numRef>
          </c:yVal>
          <c:smooth val="1"/>
          <c:extLst>
            <c:ext xmlns:c16="http://schemas.microsoft.com/office/drawing/2014/chart" uri="{C3380CC4-5D6E-409C-BE32-E72D297353CC}">
              <c16:uniqueId val="{00000001-A3E0-4241-B9E2-C6C1132A9B06}"/>
            </c:ext>
          </c:extLst>
        </c:ser>
        <c:ser>
          <c:idx val="2"/>
          <c:order val="2"/>
          <c:tx>
            <c:strRef>
              <c:f>'Notes | Quant Analysis'!$X$226</c:f>
              <c:strCache>
                <c:ptCount val="1"/>
                <c:pt idx="0">
                  <c:v>Mean</c:v>
                </c:pt>
              </c:strCache>
            </c:strRef>
          </c:tx>
          <c:spPr>
            <a:ln w="19050" cap="rnd">
              <a:solidFill>
                <a:srgbClr val="FFC000"/>
              </a:solidFill>
              <a:round/>
            </a:ln>
            <a:effectLst/>
          </c:spPr>
          <c:marker>
            <c:symbol val="none"/>
          </c:marker>
          <c:dLbls>
            <c:dLbl>
              <c:idx val="1"/>
              <c:layout>
                <c:manualLayout>
                  <c:x val="-6.5766383052619601E-2"/>
                  <c:y val="-3.4518166851357945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0.12813259121525314"/>
                      <c:h val="0.10009652314952863"/>
                    </c:manualLayout>
                  </c15:layout>
                </c:ext>
                <c:ext xmlns:c16="http://schemas.microsoft.com/office/drawing/2014/chart" uri="{C3380CC4-5D6E-409C-BE32-E72D297353CC}">
                  <c16:uniqueId val="{00000003-A3E0-4241-B9E2-C6C1132A9B0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'Notes | Quant Analysis'!$Y$226:$Y$227</c:f>
              <c:numCache>
                <c:formatCode>0.00%</c:formatCode>
                <c:ptCount val="2"/>
                <c:pt idx="0">
                  <c:v>9.4080282808320706E-4</c:v>
                </c:pt>
                <c:pt idx="1">
                  <c:v>9.4080282808320706E-4</c:v>
                </c:pt>
              </c:numCache>
            </c:numRef>
          </c:xVal>
          <c:yVal>
            <c:numRef>
              <c:f>'Notes | Quant Analysis'!$Z$226:$Z$227</c:f>
              <c:numCache>
                <c:formatCode>General</c:formatCode>
                <c:ptCount val="2"/>
                <c:pt idx="0">
                  <c:v>0</c:v>
                </c:pt>
                <c:pt idx="1">
                  <c:v>27</c:v>
                </c:pt>
              </c:numCache>
            </c:numRef>
          </c:yVal>
          <c:smooth val="1"/>
          <c:extLst>
            <c:ext xmlns:c16="http://schemas.microsoft.com/office/drawing/2014/chart" uri="{C3380CC4-5D6E-409C-BE32-E72D297353CC}">
              <c16:uniqueId val="{00000002-A3E0-4241-B9E2-C6C1132A9B06}"/>
            </c:ext>
          </c:extLst>
        </c:ser>
        <c:ser>
          <c:idx val="3"/>
          <c:order val="3"/>
          <c:tx>
            <c:strRef>
              <c:f>'Notes | Quant Analysis'!$X$228</c:f>
              <c:strCache>
                <c:ptCount val="1"/>
                <c:pt idx="0">
                  <c:v>-3σ</c:v>
                </c:pt>
              </c:strCache>
            </c:strRef>
          </c:tx>
          <c:spPr>
            <a:ln w="19050" cap="rnd">
              <a:solidFill>
                <a:schemeClr val="accent4"/>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2-A3E0-4241-B9E2-C6C1132A9B06}"/>
                </c:ext>
              </c:extLst>
            </c:dLbl>
            <c:dLbl>
              <c:idx val="1"/>
              <c:layout>
                <c:manualLayout>
                  <c:x val="-3.7994817720007977E-2"/>
                  <c:y val="-3.0886486346764906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8.0594106980483929E-2"/>
                      <c:h val="6.7265517781102749E-2"/>
                    </c:manualLayout>
                  </c15:layout>
                </c:ext>
                <c:ext xmlns:c16="http://schemas.microsoft.com/office/drawing/2014/chart" uri="{C3380CC4-5D6E-409C-BE32-E72D297353CC}">
                  <c16:uniqueId val="{00000013-A3E0-4241-B9E2-C6C1132A9B0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'Notes | Quant Analysis'!$Y$228:$Y$229</c:f>
              <c:numCache>
                <c:formatCode>0.00%</c:formatCode>
                <c:ptCount val="2"/>
                <c:pt idx="0">
                  <c:v>-4.4135595731308194E-2</c:v>
                </c:pt>
                <c:pt idx="1">
                  <c:v>-4.4135595731308194E-2</c:v>
                </c:pt>
              </c:numCache>
            </c:numRef>
          </c:xVal>
          <c:yVal>
            <c:numRef>
              <c:f>'Notes | Quant Analysis'!$Z$228:$Z$229</c:f>
              <c:numCache>
                <c:formatCode>General</c:formatCode>
                <c:ptCount val="2"/>
                <c:pt idx="0">
                  <c:v>0</c:v>
                </c:pt>
                <c:pt idx="1">
                  <c:v>3</c:v>
                </c:pt>
              </c:numCache>
            </c:numRef>
          </c:yVal>
          <c:smooth val="1"/>
          <c:extLst>
            <c:ext xmlns:c16="http://schemas.microsoft.com/office/drawing/2014/chart" uri="{C3380CC4-5D6E-409C-BE32-E72D297353CC}">
              <c16:uniqueId val="{00000004-A3E0-4241-B9E2-C6C1132A9B06}"/>
            </c:ext>
          </c:extLst>
        </c:ser>
        <c:ser>
          <c:idx val="4"/>
          <c:order val="4"/>
          <c:tx>
            <c:strRef>
              <c:f>'Notes | Quant Analysis'!$X$230</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E-A3E0-4241-B9E2-C6C1132A9B06}"/>
                </c:ext>
              </c:extLst>
            </c:dLbl>
            <c:dLbl>
              <c:idx val="1"/>
              <c:layout>
                <c:manualLayout>
                  <c:x val="-5.4474626007047118E-2"/>
                  <c:y val="-2.204537887427355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F-A3E0-4241-B9E2-C6C1132A9B0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Analysis'!$Y$230:$Y$231</c:f>
              <c:numCache>
                <c:formatCode>0.00%</c:formatCode>
                <c:ptCount val="2"/>
                <c:pt idx="0">
                  <c:v>-2.911012954484439E-2</c:v>
                </c:pt>
                <c:pt idx="1">
                  <c:v>-2.911012954484439E-2</c:v>
                </c:pt>
              </c:numCache>
            </c:numRef>
          </c:xVal>
          <c:yVal>
            <c:numRef>
              <c:f>'Notes | Quant Analysis'!$Z$230:$Z$231</c:f>
              <c:numCache>
                <c:formatCode>General</c:formatCode>
                <c:ptCount val="2"/>
                <c:pt idx="0">
                  <c:v>0</c:v>
                </c:pt>
                <c:pt idx="1">
                  <c:v>5</c:v>
                </c:pt>
              </c:numCache>
            </c:numRef>
          </c:yVal>
          <c:smooth val="1"/>
          <c:extLst>
            <c:ext xmlns:c16="http://schemas.microsoft.com/office/drawing/2014/chart" uri="{C3380CC4-5D6E-409C-BE32-E72D297353CC}">
              <c16:uniqueId val="{00000005-A3E0-4241-B9E2-C6C1132A9B06}"/>
            </c:ext>
          </c:extLst>
        </c:ser>
        <c:ser>
          <c:idx val="5"/>
          <c:order val="5"/>
          <c:tx>
            <c:strRef>
              <c:f>'Notes | Quant Analysis'!$X$232</c:f>
              <c:strCache>
                <c:ptCount val="1"/>
                <c:pt idx="0">
                  <c:v>-1σ</c:v>
                </c:pt>
              </c:strCache>
            </c:strRef>
          </c:tx>
          <c:spPr>
            <a:ln w="19050" cap="rnd">
              <a:solidFill>
                <a:schemeClr val="accent6"/>
              </a:solidFill>
              <a:round/>
            </a:ln>
            <a:effectLst/>
          </c:spPr>
          <c:marker>
            <c:symbol val="none"/>
          </c:marker>
          <c:dPt>
            <c:idx val="1"/>
            <c:marker>
              <c:symbol val="none"/>
            </c:marker>
            <c:bubble3D val="0"/>
            <c:spPr>
              <a:ln w="19050" cap="rnd">
                <a:solidFill>
                  <a:srgbClr val="FFC000"/>
                </a:solidFill>
                <a:round/>
              </a:ln>
              <a:effectLst/>
            </c:spPr>
            <c:extLst>
              <c:ext xmlns:c16="http://schemas.microsoft.com/office/drawing/2014/chart" uri="{C3380CC4-5D6E-409C-BE32-E72D297353CC}">
                <c16:uniqueId val="{0000000A-A3E0-4241-B9E2-C6C1132A9B06}"/>
              </c:ext>
            </c:extLst>
          </c:dPt>
          <c:dLbls>
            <c:dLbl>
              <c:idx val="0"/>
              <c:delete val="1"/>
              <c:extLst>
                <c:ext xmlns:c15="http://schemas.microsoft.com/office/drawing/2012/chart" uri="{CE6537A1-D6FC-4f65-9D91-7224C49458BB}"/>
                <c:ext xmlns:c16="http://schemas.microsoft.com/office/drawing/2014/chart" uri="{C3380CC4-5D6E-409C-BE32-E72D297353CC}">
                  <c16:uniqueId val="{0000000D-A3E0-4241-B9E2-C6C1132A9B06}"/>
                </c:ext>
              </c:extLst>
            </c:dLbl>
            <c:dLbl>
              <c:idx val="1"/>
              <c:layout>
                <c:manualLayout>
                  <c:x val="-6.3368213911033131E-2"/>
                  <c:y val="-3.2721806218777946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0.11394133400884394"/>
                      <c:h val="8.2260771368979094E-2"/>
                    </c:manualLayout>
                  </c15:layout>
                </c:ext>
                <c:ext xmlns:c16="http://schemas.microsoft.com/office/drawing/2014/chart" uri="{C3380CC4-5D6E-409C-BE32-E72D297353CC}">
                  <c16:uniqueId val="{0000000A-A3E0-4241-B9E2-C6C1132A9B0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Analysis'!$Y$232:$Y$233</c:f>
              <c:numCache>
                <c:formatCode>0.00%</c:formatCode>
                <c:ptCount val="2"/>
                <c:pt idx="0">
                  <c:v>-1.4084663358380592E-2</c:v>
                </c:pt>
                <c:pt idx="1">
                  <c:v>-1.4084663358380592E-2</c:v>
                </c:pt>
              </c:numCache>
            </c:numRef>
          </c:xVal>
          <c:yVal>
            <c:numRef>
              <c:f>'Notes | Quant Analysis'!$Z$232:$Z$233</c:f>
              <c:numCache>
                <c:formatCode>General</c:formatCode>
                <c:ptCount val="2"/>
                <c:pt idx="0">
                  <c:v>0</c:v>
                </c:pt>
                <c:pt idx="1">
                  <c:v>16</c:v>
                </c:pt>
              </c:numCache>
            </c:numRef>
          </c:yVal>
          <c:smooth val="1"/>
          <c:extLst>
            <c:ext xmlns:c16="http://schemas.microsoft.com/office/drawing/2014/chart" uri="{C3380CC4-5D6E-409C-BE32-E72D297353CC}">
              <c16:uniqueId val="{00000006-A3E0-4241-B9E2-C6C1132A9B06}"/>
            </c:ext>
          </c:extLst>
        </c:ser>
        <c:ser>
          <c:idx val="6"/>
          <c:order val="6"/>
          <c:tx>
            <c:strRef>
              <c:f>'Notes | Quant Analysis'!$X$234</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B-A3E0-4241-B9E2-C6C1132A9B06}"/>
                </c:ext>
              </c:extLst>
            </c:dLbl>
            <c:dLbl>
              <c:idx val="1"/>
              <c:layout>
                <c:manualLayout>
                  <c:x val="-4.7148620014941314E-2"/>
                  <c:y val="-3.5087329761262741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8.9604834875401149E-2"/>
                      <c:h val="0.11406682764981506"/>
                    </c:manualLayout>
                  </c15:layout>
                </c:ext>
                <c:ext xmlns:c16="http://schemas.microsoft.com/office/drawing/2014/chart" uri="{C3380CC4-5D6E-409C-BE32-E72D297353CC}">
                  <c16:uniqueId val="{0000000C-A3E0-4241-B9E2-C6C1132A9B0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Analysis'!$Y$234:$Y$235</c:f>
              <c:numCache>
                <c:formatCode>0.00%</c:formatCode>
                <c:ptCount val="2"/>
                <c:pt idx="0">
                  <c:v>1.5966269014547004E-2</c:v>
                </c:pt>
                <c:pt idx="1">
                  <c:v>1.5966269014547004E-2</c:v>
                </c:pt>
              </c:numCache>
            </c:numRef>
          </c:xVal>
          <c:yVal>
            <c:numRef>
              <c:f>'Notes | Quant Analysis'!$Z$234:$Z$235</c:f>
              <c:numCache>
                <c:formatCode>General</c:formatCode>
                <c:ptCount val="2"/>
                <c:pt idx="0">
                  <c:v>0</c:v>
                </c:pt>
                <c:pt idx="1">
                  <c:v>16</c:v>
                </c:pt>
              </c:numCache>
            </c:numRef>
          </c:yVal>
          <c:smooth val="1"/>
          <c:extLst>
            <c:ext xmlns:c16="http://schemas.microsoft.com/office/drawing/2014/chart" uri="{C3380CC4-5D6E-409C-BE32-E72D297353CC}">
              <c16:uniqueId val="{00000007-A3E0-4241-B9E2-C6C1132A9B06}"/>
            </c:ext>
          </c:extLst>
        </c:ser>
        <c:ser>
          <c:idx val="7"/>
          <c:order val="7"/>
          <c:tx>
            <c:strRef>
              <c:f>'Notes | Quant Analysis'!$X$236</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1-A3E0-4241-B9E2-C6C1132A9B06}"/>
                </c:ext>
              </c:extLst>
            </c:dLbl>
            <c:dLbl>
              <c:idx val="1"/>
              <c:layout>
                <c:manualLayout>
                  <c:x val="-4.280662130658687E-2"/>
                  <c:y val="-2.0309221778180786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5-A3E0-4241-B9E2-C6C1132A9B0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Analysis'!$Y$236:$Y$237</c:f>
              <c:numCache>
                <c:formatCode>0.00%</c:formatCode>
                <c:ptCount val="2"/>
                <c:pt idx="0">
                  <c:v>3.0991735201010805E-2</c:v>
                </c:pt>
                <c:pt idx="1">
                  <c:v>3.0991735201010805E-2</c:v>
                </c:pt>
              </c:numCache>
            </c:numRef>
          </c:xVal>
          <c:yVal>
            <c:numRef>
              <c:f>'Notes | Quant Analysis'!$Z$236:$Z$237</c:f>
              <c:numCache>
                <c:formatCode>General</c:formatCode>
                <c:ptCount val="2"/>
                <c:pt idx="0">
                  <c:v>0</c:v>
                </c:pt>
                <c:pt idx="1">
                  <c:v>5</c:v>
                </c:pt>
              </c:numCache>
            </c:numRef>
          </c:yVal>
          <c:smooth val="1"/>
          <c:extLst>
            <c:ext xmlns:c16="http://schemas.microsoft.com/office/drawing/2014/chart" uri="{C3380CC4-5D6E-409C-BE32-E72D297353CC}">
              <c16:uniqueId val="{00000008-A3E0-4241-B9E2-C6C1132A9B06}"/>
            </c:ext>
          </c:extLst>
        </c:ser>
        <c:ser>
          <c:idx val="8"/>
          <c:order val="8"/>
          <c:tx>
            <c:strRef>
              <c:f>'Notes | Quant Analysis'!$X$238</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0-A3E0-4241-B9E2-C6C1132A9B06}"/>
                </c:ext>
              </c:extLst>
            </c:dLbl>
            <c:dLbl>
              <c:idx val="1"/>
              <c:layout>
                <c:manualLayout>
                  <c:x val="-3.4255416095879246E-2"/>
                  <c:y val="-3.2175833752345742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4-A3E0-4241-B9E2-C6C1132A9B0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Analysis'!$Y$238:$Y$239</c:f>
              <c:numCache>
                <c:formatCode>0.00%</c:formatCode>
                <c:ptCount val="2"/>
                <c:pt idx="0">
                  <c:v>4.6017201387474602E-2</c:v>
                </c:pt>
                <c:pt idx="1">
                  <c:v>4.6017201387474602E-2</c:v>
                </c:pt>
              </c:numCache>
            </c:numRef>
          </c:xVal>
          <c:yVal>
            <c:numRef>
              <c:f>'Notes | Quant Analysis'!$Z$238:$Z$239</c:f>
              <c:numCache>
                <c:formatCode>General</c:formatCode>
                <c:ptCount val="2"/>
                <c:pt idx="0">
                  <c:v>0</c:v>
                </c:pt>
                <c:pt idx="1">
                  <c:v>3</c:v>
                </c:pt>
              </c:numCache>
            </c:numRef>
          </c:yVal>
          <c:smooth val="1"/>
          <c:extLst>
            <c:ext xmlns:c16="http://schemas.microsoft.com/office/drawing/2014/chart" uri="{C3380CC4-5D6E-409C-BE32-E72D297353CC}">
              <c16:uniqueId val="{00000009-A3E0-4241-B9E2-C6C1132A9B06}"/>
            </c:ext>
          </c:extLst>
        </c:ser>
        <c:dLbls>
          <c:showLegendKey val="0"/>
          <c:showVal val="0"/>
          <c:showCatName val="0"/>
          <c:showSerName val="0"/>
          <c:showPercent val="0"/>
          <c:showBubbleSize val="0"/>
        </c:dLbls>
        <c:axId val="1953242783"/>
        <c:axId val="1953240383"/>
      </c:scatterChart>
      <c:valAx>
        <c:axId val="1953242783"/>
        <c:scaling>
          <c:orientation val="minMax"/>
          <c:max val="5.000000000000001E-2"/>
          <c:min val="-5.000000000000001E-2"/>
        </c:scaling>
        <c:delete val="0"/>
        <c:axPos val="b"/>
        <c:majorGridlines>
          <c:spPr>
            <a:ln w="9525" cap="flat" cmpd="sng" algn="ctr">
              <a:solidFill>
                <a:schemeClr val="tx1">
                  <a:lumMod val="15000"/>
                  <a:lumOff val="85000"/>
                </a:schemeClr>
              </a:solidFill>
              <a:round/>
            </a:ln>
            <a:effectLst/>
          </c:spPr>
        </c:majorGridlines>
        <c:numFmt formatCode="0.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53240383"/>
        <c:crosses val="autoZero"/>
        <c:crossBetween val="midCat"/>
        <c:majorUnit val="5.000000000000001E-3"/>
      </c:valAx>
      <c:valAx>
        <c:axId val="1953240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53242783"/>
        <c:crossesAt val="-1000"/>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(GOOGL) Revenue by Segment (in $ millions)</a:t>
            </a:r>
          </a:p>
        </c:rich>
      </c:tx>
      <c:layout>
        <c:manualLayout>
          <c:xMode val="edge"/>
          <c:yMode val="edge"/>
          <c:x val="0.32937035710083462"/>
          <c:y val="6.838981476412244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109587501048507E-2"/>
          <c:y val="0.16630261573867286"/>
          <c:w val="0.91646860416323306"/>
          <c:h val="0.74917903495450422"/>
        </c:manualLayout>
      </c:layout>
      <c:barChart>
        <c:barDir val="col"/>
        <c:grouping val="stacked"/>
        <c:varyColors val="0"/>
        <c:ser>
          <c:idx val="0"/>
          <c:order val="0"/>
          <c:tx>
            <c:strRef>
              <c:f>Model!$B$4</c:f>
              <c:strCache>
                <c:ptCount val="1"/>
                <c:pt idx="0">
                  <c:v>Search Ads</c:v>
                </c:pt>
              </c:strCache>
            </c:strRef>
          </c:tx>
          <c:spPr>
            <a:solidFill>
              <a:srgbClr val="517BC7"/>
            </a:solidFill>
            <a:ln>
              <a:noFill/>
            </a:ln>
            <a:effectLst/>
          </c:spPr>
          <c:invertIfNegative val="0"/>
          <c:cat>
            <c:strRef>
              <c:f>Model!$AU$1:$BO$1</c:f>
              <c:strCache>
                <c:ptCount val="21"/>
                <c:pt idx="0">
                  <c:v>Q1 2020</c:v>
                </c:pt>
                <c:pt idx="4">
                  <c:v>Q1 2021</c:v>
                </c:pt>
                <c:pt idx="8">
                  <c:v>Q1 2022</c:v>
                </c:pt>
                <c:pt idx="12">
                  <c:v>Q1 2023</c:v>
                </c:pt>
                <c:pt idx="16">
                  <c:v>Q1 2024</c:v>
                </c:pt>
                <c:pt idx="20">
                  <c:v>Q1 2025</c:v>
                </c:pt>
              </c:strCache>
            </c:strRef>
          </c:cat>
          <c:val>
            <c:numRef>
              <c:f>Model!$AU$4:$BQ$4</c:f>
              <c:numCache>
                <c:formatCode>General</c:formatCode>
                <c:ptCount val="23"/>
                <c:pt idx="0">
                  <c:v>24502</c:v>
                </c:pt>
                <c:pt idx="1">
                  <c:v>21319</c:v>
                </c:pt>
                <c:pt idx="2">
                  <c:v>26338</c:v>
                </c:pt>
                <c:pt idx="3">
                  <c:v>31903</c:v>
                </c:pt>
                <c:pt idx="4">
                  <c:v>31879</c:v>
                </c:pt>
                <c:pt idx="5">
                  <c:v>35845</c:v>
                </c:pt>
                <c:pt idx="6">
                  <c:v>37926</c:v>
                </c:pt>
                <c:pt idx="7">
                  <c:v>43301</c:v>
                </c:pt>
                <c:pt idx="8">
                  <c:v>39618</c:v>
                </c:pt>
                <c:pt idx="9">
                  <c:v>40689</c:v>
                </c:pt>
                <c:pt idx="10">
                  <c:v>39539</c:v>
                </c:pt>
                <c:pt idx="11">
                  <c:v>42604</c:v>
                </c:pt>
                <c:pt idx="12">
                  <c:v>40359</c:v>
                </c:pt>
                <c:pt idx="13">
                  <c:v>42628</c:v>
                </c:pt>
                <c:pt idx="14">
                  <c:v>44026</c:v>
                </c:pt>
                <c:pt idx="15">
                  <c:v>48020</c:v>
                </c:pt>
                <c:pt idx="16">
                  <c:v>46156</c:v>
                </c:pt>
                <c:pt idx="17">
                  <c:v>48509</c:v>
                </c:pt>
                <c:pt idx="18">
                  <c:v>49385</c:v>
                </c:pt>
                <c:pt idx="19">
                  <c:v>54034</c:v>
                </c:pt>
                <c:pt idx="20">
                  <c:v>50702</c:v>
                </c:pt>
                <c:pt idx="21">
                  <c:v>54190</c:v>
                </c:pt>
                <c:pt idx="22">
                  <c:v>56567</c:v>
                </c:pt>
              </c:numCache>
            </c:numRef>
          </c:val>
          <c:extLst>
            <c:ext xmlns:c16="http://schemas.microsoft.com/office/drawing/2014/chart" uri="{C3380CC4-5D6E-409C-BE32-E72D297353CC}">
              <c16:uniqueId val="{00000000-8BD1-4FC7-B4C5-72155CC45D0F}"/>
            </c:ext>
          </c:extLst>
        </c:ser>
        <c:ser>
          <c:idx val="1"/>
          <c:order val="1"/>
          <c:tx>
            <c:strRef>
              <c:f>Model!$B$5</c:f>
              <c:strCache>
                <c:ptCount val="1"/>
                <c:pt idx="0">
                  <c:v>Youtube Ads</c:v>
                </c:pt>
              </c:strCache>
            </c:strRef>
          </c:tx>
          <c:spPr>
            <a:solidFill>
              <a:srgbClr val="789AD6"/>
            </a:solidFill>
            <a:ln>
              <a:noFill/>
            </a:ln>
            <a:effectLst/>
          </c:spPr>
          <c:invertIfNegative val="0"/>
          <c:cat>
            <c:strRef>
              <c:f>Model!$AU$1:$BO$1</c:f>
              <c:strCache>
                <c:ptCount val="21"/>
                <c:pt idx="0">
                  <c:v>Q1 2020</c:v>
                </c:pt>
                <c:pt idx="4">
                  <c:v>Q1 2021</c:v>
                </c:pt>
                <c:pt idx="8">
                  <c:v>Q1 2022</c:v>
                </c:pt>
                <c:pt idx="12">
                  <c:v>Q1 2023</c:v>
                </c:pt>
                <c:pt idx="16">
                  <c:v>Q1 2024</c:v>
                </c:pt>
                <c:pt idx="20">
                  <c:v>Q1 2025</c:v>
                </c:pt>
              </c:strCache>
            </c:strRef>
          </c:cat>
          <c:val>
            <c:numRef>
              <c:f>Model!$AU$5:$BQ$5</c:f>
              <c:numCache>
                <c:formatCode>General</c:formatCode>
                <c:ptCount val="23"/>
                <c:pt idx="0">
                  <c:v>4038</c:v>
                </c:pt>
                <c:pt idx="1">
                  <c:v>3812</c:v>
                </c:pt>
                <c:pt idx="2">
                  <c:v>5037</c:v>
                </c:pt>
                <c:pt idx="3">
                  <c:v>6885</c:v>
                </c:pt>
                <c:pt idx="4">
                  <c:v>6005</c:v>
                </c:pt>
                <c:pt idx="5">
                  <c:v>7002</c:v>
                </c:pt>
                <c:pt idx="6">
                  <c:v>7205</c:v>
                </c:pt>
                <c:pt idx="7">
                  <c:v>8633</c:v>
                </c:pt>
                <c:pt idx="8">
                  <c:v>6869</c:v>
                </c:pt>
                <c:pt idx="9">
                  <c:v>7340</c:v>
                </c:pt>
                <c:pt idx="10">
                  <c:v>7071</c:v>
                </c:pt>
                <c:pt idx="11">
                  <c:v>7963</c:v>
                </c:pt>
                <c:pt idx="12">
                  <c:v>6693</c:v>
                </c:pt>
                <c:pt idx="13">
                  <c:v>7665</c:v>
                </c:pt>
                <c:pt idx="14">
                  <c:v>7952</c:v>
                </c:pt>
                <c:pt idx="15">
                  <c:v>9200</c:v>
                </c:pt>
                <c:pt idx="16">
                  <c:v>8090</c:v>
                </c:pt>
                <c:pt idx="17">
                  <c:v>8663</c:v>
                </c:pt>
                <c:pt idx="18">
                  <c:v>8921</c:v>
                </c:pt>
                <c:pt idx="19">
                  <c:v>10473</c:v>
                </c:pt>
                <c:pt idx="20">
                  <c:v>8927</c:v>
                </c:pt>
                <c:pt idx="21">
                  <c:v>9796</c:v>
                </c:pt>
                <c:pt idx="22">
                  <c:v>10261</c:v>
                </c:pt>
              </c:numCache>
            </c:numRef>
          </c:val>
          <c:extLst>
            <c:ext xmlns:c16="http://schemas.microsoft.com/office/drawing/2014/chart" uri="{C3380CC4-5D6E-409C-BE32-E72D297353CC}">
              <c16:uniqueId val="{00000001-8BD1-4FC7-B4C5-72155CC45D0F}"/>
            </c:ext>
          </c:extLst>
        </c:ser>
        <c:ser>
          <c:idx val="2"/>
          <c:order val="2"/>
          <c:tx>
            <c:strRef>
              <c:f>Model!$B$6</c:f>
              <c:strCache>
                <c:ptCount val="1"/>
                <c:pt idx="0">
                  <c:v>Network Ads</c:v>
                </c:pt>
              </c:strCache>
            </c:strRef>
          </c:tx>
          <c:spPr>
            <a:solidFill>
              <a:srgbClr val="5B9BD5">
                <a:lumMod val="60000"/>
                <a:lumOff val="40000"/>
              </a:srgbClr>
            </a:solidFill>
            <a:ln>
              <a:noFill/>
            </a:ln>
            <a:effectLst/>
          </c:spPr>
          <c:invertIfNegative val="0"/>
          <c:cat>
            <c:strRef>
              <c:f>Model!$AU$1:$BO$1</c:f>
              <c:strCache>
                <c:ptCount val="21"/>
                <c:pt idx="0">
                  <c:v>Q1 2020</c:v>
                </c:pt>
                <c:pt idx="4">
                  <c:v>Q1 2021</c:v>
                </c:pt>
                <c:pt idx="8">
                  <c:v>Q1 2022</c:v>
                </c:pt>
                <c:pt idx="12">
                  <c:v>Q1 2023</c:v>
                </c:pt>
                <c:pt idx="16">
                  <c:v>Q1 2024</c:v>
                </c:pt>
                <c:pt idx="20">
                  <c:v>Q1 2025</c:v>
                </c:pt>
              </c:strCache>
            </c:strRef>
          </c:cat>
          <c:val>
            <c:numRef>
              <c:f>Model!$AU$6:$BQ$6</c:f>
              <c:numCache>
                <c:formatCode>General</c:formatCode>
                <c:ptCount val="23"/>
                <c:pt idx="0">
                  <c:v>5223</c:v>
                </c:pt>
                <c:pt idx="1">
                  <c:v>4736</c:v>
                </c:pt>
                <c:pt idx="2">
                  <c:v>5720</c:v>
                </c:pt>
                <c:pt idx="3">
                  <c:v>7411</c:v>
                </c:pt>
                <c:pt idx="4">
                  <c:v>6800</c:v>
                </c:pt>
                <c:pt idx="5">
                  <c:v>7597</c:v>
                </c:pt>
                <c:pt idx="6">
                  <c:v>7999</c:v>
                </c:pt>
                <c:pt idx="7">
                  <c:v>9305</c:v>
                </c:pt>
                <c:pt idx="8">
                  <c:v>8174</c:v>
                </c:pt>
                <c:pt idx="9">
                  <c:v>8259</c:v>
                </c:pt>
                <c:pt idx="10">
                  <c:v>7872</c:v>
                </c:pt>
                <c:pt idx="11">
                  <c:v>8475</c:v>
                </c:pt>
                <c:pt idx="12">
                  <c:v>7496</c:v>
                </c:pt>
                <c:pt idx="13">
                  <c:v>7850</c:v>
                </c:pt>
                <c:pt idx="14">
                  <c:v>7669</c:v>
                </c:pt>
                <c:pt idx="15">
                  <c:v>8297</c:v>
                </c:pt>
                <c:pt idx="16">
                  <c:v>7413</c:v>
                </c:pt>
                <c:pt idx="17">
                  <c:v>7444</c:v>
                </c:pt>
                <c:pt idx="18">
                  <c:v>7548</c:v>
                </c:pt>
                <c:pt idx="19">
                  <c:v>7954</c:v>
                </c:pt>
                <c:pt idx="20">
                  <c:v>7256</c:v>
                </c:pt>
                <c:pt idx="21">
                  <c:v>7354</c:v>
                </c:pt>
                <c:pt idx="22">
                  <c:v>7354</c:v>
                </c:pt>
              </c:numCache>
            </c:numRef>
          </c:val>
          <c:extLst>
            <c:ext xmlns:c16="http://schemas.microsoft.com/office/drawing/2014/chart" uri="{C3380CC4-5D6E-409C-BE32-E72D297353CC}">
              <c16:uniqueId val="{00000002-8BD1-4FC7-B4C5-72155CC45D0F}"/>
            </c:ext>
          </c:extLst>
        </c:ser>
        <c:ser>
          <c:idx val="3"/>
          <c:order val="3"/>
          <c:tx>
            <c:strRef>
              <c:f>Model!$B$8</c:f>
              <c:strCache>
                <c:ptCount val="1"/>
                <c:pt idx="0">
                  <c:v>Subscriptions, Platforms, &amp; Devices</c:v>
                </c:pt>
              </c:strCache>
            </c:strRef>
          </c:tx>
          <c:spPr>
            <a:solidFill>
              <a:srgbClr val="C45898"/>
            </a:solidFill>
            <a:ln>
              <a:noFill/>
            </a:ln>
            <a:effectLst/>
          </c:spPr>
          <c:invertIfNegative val="0"/>
          <c:cat>
            <c:strRef>
              <c:f>Model!$AU$1:$BO$1</c:f>
              <c:strCache>
                <c:ptCount val="21"/>
                <c:pt idx="0">
                  <c:v>Q1 2020</c:v>
                </c:pt>
                <c:pt idx="4">
                  <c:v>Q1 2021</c:v>
                </c:pt>
                <c:pt idx="8">
                  <c:v>Q1 2022</c:v>
                </c:pt>
                <c:pt idx="12">
                  <c:v>Q1 2023</c:v>
                </c:pt>
                <c:pt idx="16">
                  <c:v>Q1 2024</c:v>
                </c:pt>
                <c:pt idx="20">
                  <c:v>Q1 2025</c:v>
                </c:pt>
              </c:strCache>
            </c:strRef>
          </c:cat>
          <c:val>
            <c:numRef>
              <c:f>Model!$AU$8:$BQ$8</c:f>
              <c:numCache>
                <c:formatCode>General</c:formatCode>
                <c:ptCount val="23"/>
                <c:pt idx="0">
                  <c:v>4435</c:v>
                </c:pt>
                <c:pt idx="1">
                  <c:v>5124</c:v>
                </c:pt>
                <c:pt idx="2">
                  <c:v>5478</c:v>
                </c:pt>
                <c:pt idx="3">
                  <c:v>6674</c:v>
                </c:pt>
                <c:pt idx="4">
                  <c:v>6494</c:v>
                </c:pt>
                <c:pt idx="5">
                  <c:v>6623</c:v>
                </c:pt>
                <c:pt idx="6">
                  <c:v>6754</c:v>
                </c:pt>
                <c:pt idx="7">
                  <c:v>8161</c:v>
                </c:pt>
                <c:pt idx="8">
                  <c:v>6811</c:v>
                </c:pt>
                <c:pt idx="9">
                  <c:v>6553</c:v>
                </c:pt>
                <c:pt idx="10">
                  <c:v>6895</c:v>
                </c:pt>
                <c:pt idx="11">
                  <c:v>8796</c:v>
                </c:pt>
                <c:pt idx="12">
                  <c:v>7413</c:v>
                </c:pt>
                <c:pt idx="13">
                  <c:v>8142</c:v>
                </c:pt>
                <c:pt idx="14">
                  <c:v>8339</c:v>
                </c:pt>
                <c:pt idx="15">
                  <c:v>10794</c:v>
                </c:pt>
                <c:pt idx="16">
                  <c:v>8739</c:v>
                </c:pt>
                <c:pt idx="17">
                  <c:v>9312</c:v>
                </c:pt>
                <c:pt idx="18">
                  <c:v>10656</c:v>
                </c:pt>
                <c:pt idx="19">
                  <c:v>11633</c:v>
                </c:pt>
                <c:pt idx="20">
                  <c:v>10379</c:v>
                </c:pt>
                <c:pt idx="21">
                  <c:v>11203</c:v>
                </c:pt>
                <c:pt idx="22">
                  <c:v>12870</c:v>
                </c:pt>
              </c:numCache>
            </c:numRef>
          </c:val>
          <c:extLst>
            <c:ext xmlns:c16="http://schemas.microsoft.com/office/drawing/2014/chart" uri="{C3380CC4-5D6E-409C-BE32-E72D297353CC}">
              <c16:uniqueId val="{00000003-8BD1-4FC7-B4C5-72155CC45D0F}"/>
            </c:ext>
          </c:extLst>
        </c:ser>
        <c:ser>
          <c:idx val="4"/>
          <c:order val="4"/>
          <c:tx>
            <c:strRef>
              <c:f>Model!$B$9</c:f>
              <c:strCache>
                <c:ptCount val="1"/>
                <c:pt idx="0">
                  <c:v>Google Cloud</c:v>
                </c:pt>
              </c:strCache>
            </c:strRef>
          </c:tx>
          <c:spPr>
            <a:solidFill>
              <a:srgbClr val="68BCAE"/>
            </a:solidFill>
            <a:ln>
              <a:noFill/>
            </a:ln>
            <a:effectLst/>
          </c:spPr>
          <c:invertIfNegative val="0"/>
          <c:cat>
            <c:strRef>
              <c:f>Model!$AU$1:$BO$1</c:f>
              <c:strCache>
                <c:ptCount val="21"/>
                <c:pt idx="0">
                  <c:v>Q1 2020</c:v>
                </c:pt>
                <c:pt idx="4">
                  <c:v>Q1 2021</c:v>
                </c:pt>
                <c:pt idx="8">
                  <c:v>Q1 2022</c:v>
                </c:pt>
                <c:pt idx="12">
                  <c:v>Q1 2023</c:v>
                </c:pt>
                <c:pt idx="16">
                  <c:v>Q1 2024</c:v>
                </c:pt>
                <c:pt idx="20">
                  <c:v>Q1 2025</c:v>
                </c:pt>
              </c:strCache>
            </c:strRef>
          </c:cat>
          <c:val>
            <c:numRef>
              <c:f>Model!$AU$9:$BQ$9</c:f>
              <c:numCache>
                <c:formatCode>General</c:formatCode>
                <c:ptCount val="23"/>
                <c:pt idx="0">
                  <c:v>2777</c:v>
                </c:pt>
                <c:pt idx="1">
                  <c:v>3007</c:v>
                </c:pt>
                <c:pt idx="2">
                  <c:v>3444</c:v>
                </c:pt>
                <c:pt idx="3">
                  <c:v>3831</c:v>
                </c:pt>
                <c:pt idx="4">
                  <c:v>4047</c:v>
                </c:pt>
                <c:pt idx="5">
                  <c:v>4628</c:v>
                </c:pt>
                <c:pt idx="6">
                  <c:v>4990</c:v>
                </c:pt>
                <c:pt idx="7">
                  <c:v>5541</c:v>
                </c:pt>
                <c:pt idx="8">
                  <c:v>5821</c:v>
                </c:pt>
                <c:pt idx="9">
                  <c:v>6276</c:v>
                </c:pt>
                <c:pt idx="10">
                  <c:v>6868</c:v>
                </c:pt>
                <c:pt idx="11">
                  <c:v>7315</c:v>
                </c:pt>
                <c:pt idx="12">
                  <c:v>7454</c:v>
                </c:pt>
                <c:pt idx="13">
                  <c:v>8031</c:v>
                </c:pt>
                <c:pt idx="14">
                  <c:v>8411</c:v>
                </c:pt>
                <c:pt idx="15">
                  <c:v>9192</c:v>
                </c:pt>
                <c:pt idx="16">
                  <c:v>9574</c:v>
                </c:pt>
                <c:pt idx="17">
                  <c:v>10347</c:v>
                </c:pt>
                <c:pt idx="18">
                  <c:v>11353</c:v>
                </c:pt>
                <c:pt idx="19">
                  <c:v>11955</c:v>
                </c:pt>
                <c:pt idx="20">
                  <c:v>12260</c:v>
                </c:pt>
                <c:pt idx="21">
                  <c:v>13624</c:v>
                </c:pt>
                <c:pt idx="22">
                  <c:v>15157</c:v>
                </c:pt>
              </c:numCache>
            </c:numRef>
          </c:val>
          <c:extLst>
            <c:ext xmlns:c16="http://schemas.microsoft.com/office/drawing/2014/chart" uri="{C3380CC4-5D6E-409C-BE32-E72D297353CC}">
              <c16:uniqueId val="{00000004-8BD1-4FC7-B4C5-72155CC45D0F}"/>
            </c:ext>
          </c:extLst>
        </c:ser>
        <c:ser>
          <c:idx val="5"/>
          <c:order val="5"/>
          <c:tx>
            <c:strRef>
              <c:f>Model!$B$10</c:f>
              <c:strCache>
                <c:ptCount val="1"/>
                <c:pt idx="0">
                  <c:v>Other Bets</c:v>
                </c:pt>
              </c:strCache>
            </c:strRef>
          </c:tx>
          <c:spPr>
            <a:solidFill>
              <a:srgbClr val="FFC000"/>
            </a:solidFill>
            <a:ln>
              <a:noFill/>
            </a:ln>
            <a:effectLst/>
          </c:spPr>
          <c:invertIfNegative val="0"/>
          <c:cat>
            <c:strRef>
              <c:f>Model!$AU$1:$BO$1</c:f>
              <c:strCache>
                <c:ptCount val="21"/>
                <c:pt idx="0">
                  <c:v>Q1 2020</c:v>
                </c:pt>
                <c:pt idx="4">
                  <c:v>Q1 2021</c:v>
                </c:pt>
                <c:pt idx="8">
                  <c:v>Q1 2022</c:v>
                </c:pt>
                <c:pt idx="12">
                  <c:v>Q1 2023</c:v>
                </c:pt>
                <c:pt idx="16">
                  <c:v>Q1 2024</c:v>
                </c:pt>
                <c:pt idx="20">
                  <c:v>Q1 2025</c:v>
                </c:pt>
              </c:strCache>
            </c:strRef>
          </c:cat>
          <c:val>
            <c:numRef>
              <c:f>Model!$AU$10:$BQ$10</c:f>
              <c:numCache>
                <c:formatCode>General</c:formatCode>
                <c:ptCount val="23"/>
                <c:pt idx="0">
                  <c:v>135</c:v>
                </c:pt>
                <c:pt idx="1">
                  <c:v>148</c:v>
                </c:pt>
                <c:pt idx="2">
                  <c:v>178</c:v>
                </c:pt>
                <c:pt idx="3">
                  <c:v>196</c:v>
                </c:pt>
                <c:pt idx="4">
                  <c:v>198</c:v>
                </c:pt>
                <c:pt idx="5">
                  <c:v>192</c:v>
                </c:pt>
                <c:pt idx="6">
                  <c:v>182</c:v>
                </c:pt>
                <c:pt idx="7">
                  <c:v>181</c:v>
                </c:pt>
                <c:pt idx="8">
                  <c:v>440</c:v>
                </c:pt>
                <c:pt idx="9">
                  <c:v>193</c:v>
                </c:pt>
                <c:pt idx="10">
                  <c:v>209</c:v>
                </c:pt>
                <c:pt idx="11">
                  <c:v>226</c:v>
                </c:pt>
                <c:pt idx="12">
                  <c:v>288</c:v>
                </c:pt>
                <c:pt idx="13">
                  <c:v>285</c:v>
                </c:pt>
                <c:pt idx="14">
                  <c:v>297</c:v>
                </c:pt>
                <c:pt idx="15">
                  <c:v>657</c:v>
                </c:pt>
                <c:pt idx="16">
                  <c:v>495</c:v>
                </c:pt>
                <c:pt idx="17">
                  <c:v>365</c:v>
                </c:pt>
                <c:pt idx="18">
                  <c:v>388</c:v>
                </c:pt>
                <c:pt idx="19">
                  <c:v>400</c:v>
                </c:pt>
                <c:pt idx="20">
                  <c:v>450</c:v>
                </c:pt>
                <c:pt idx="21">
                  <c:v>373</c:v>
                </c:pt>
                <c:pt idx="22">
                  <c:v>344</c:v>
                </c:pt>
              </c:numCache>
            </c:numRef>
          </c:val>
          <c:extLst>
            <c:ext xmlns:c16="http://schemas.microsoft.com/office/drawing/2014/chart" uri="{C3380CC4-5D6E-409C-BE32-E72D297353CC}">
              <c16:uniqueId val="{00000005-8BD1-4FC7-B4C5-72155CC45D0F}"/>
            </c:ext>
          </c:extLst>
        </c:ser>
        <c:dLbls>
          <c:showLegendKey val="0"/>
          <c:showVal val="0"/>
          <c:showCatName val="0"/>
          <c:showSerName val="0"/>
          <c:showPercent val="0"/>
          <c:showBubbleSize val="0"/>
        </c:dLbls>
        <c:gapWidth val="46"/>
        <c:overlap val="100"/>
        <c:axId val="826587039"/>
        <c:axId val="826586079"/>
      </c:barChart>
      <c:catAx>
        <c:axId val="82658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6079"/>
        <c:crossesAt val="-10000"/>
        <c:auto val="1"/>
        <c:lblAlgn val="ctr"/>
        <c:lblOffset val="100"/>
        <c:noMultiLvlLbl val="0"/>
      </c:catAx>
      <c:valAx>
        <c:axId val="826586079"/>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7039"/>
        <c:crosses val="autoZero"/>
        <c:crossBetween val="between"/>
      </c:valAx>
      <c:spPr>
        <a:noFill/>
        <a:ln>
          <a:noFill/>
        </a:ln>
        <a:effectLst/>
      </c:spPr>
    </c:plotArea>
    <c:legend>
      <c:legendPos val="t"/>
      <c:layout>
        <c:manualLayout>
          <c:xMode val="edge"/>
          <c:yMode val="edge"/>
          <c:x val="0.12500001367016772"/>
          <c:y val="5.2058346839546202E-2"/>
          <c:w val="0.79166664388305374"/>
          <c:h val="0.10738353815983699"/>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(GOOGL) Quarterly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3"/>
          <c:order val="0"/>
          <c:tx>
            <c:v>Net Income</c:v>
          </c:tx>
          <c:invertIfNegative val="0"/>
          <c:val>
            <c:numRef>
              <c:f>Model!$AU$59:$BQ$59</c:f>
              <c:numCache>
                <c:formatCode>General</c:formatCode>
                <c:ptCount val="23"/>
                <c:pt idx="0">
                  <c:v>6836</c:v>
                </c:pt>
                <c:pt idx="1">
                  <c:v>6959</c:v>
                </c:pt>
                <c:pt idx="2">
                  <c:v>11247</c:v>
                </c:pt>
                <c:pt idx="3">
                  <c:v>15227</c:v>
                </c:pt>
                <c:pt idx="4">
                  <c:v>17930</c:v>
                </c:pt>
                <c:pt idx="5">
                  <c:v>18525</c:v>
                </c:pt>
                <c:pt idx="6">
                  <c:v>18936</c:v>
                </c:pt>
                <c:pt idx="7">
                  <c:v>20642</c:v>
                </c:pt>
                <c:pt idx="8">
                  <c:v>16436</c:v>
                </c:pt>
                <c:pt idx="9">
                  <c:v>16002</c:v>
                </c:pt>
                <c:pt idx="10">
                  <c:v>13910</c:v>
                </c:pt>
                <c:pt idx="11">
                  <c:v>13624</c:v>
                </c:pt>
                <c:pt idx="12">
                  <c:v>15051</c:v>
                </c:pt>
                <c:pt idx="13">
                  <c:v>18368</c:v>
                </c:pt>
                <c:pt idx="14">
                  <c:v>19689</c:v>
                </c:pt>
                <c:pt idx="15">
                  <c:v>20687</c:v>
                </c:pt>
                <c:pt idx="16">
                  <c:v>23662</c:v>
                </c:pt>
                <c:pt idx="17">
                  <c:v>23619</c:v>
                </c:pt>
                <c:pt idx="18">
                  <c:v>26301</c:v>
                </c:pt>
                <c:pt idx="19">
                  <c:v>26536</c:v>
                </c:pt>
                <c:pt idx="20">
                  <c:v>34540</c:v>
                </c:pt>
                <c:pt idx="21">
                  <c:v>28196</c:v>
                </c:pt>
                <c:pt idx="22">
                  <c:v>34979</c:v>
                </c:pt>
              </c:numCache>
            </c:numRef>
          </c:val>
          <c:extLst>
            <c:ext xmlns:c16="http://schemas.microsoft.com/office/drawing/2014/chart" uri="{C3380CC4-5D6E-409C-BE32-E72D297353CC}">
              <c16:uniqueId val="{00000000-56FF-407C-A496-CAE810EAC396}"/>
            </c:ext>
          </c:extLst>
        </c:ser>
        <c:ser>
          <c:idx val="4"/>
          <c:order val="1"/>
          <c:tx>
            <c:v>FCF</c:v>
          </c:tx>
          <c:spPr>
            <a:solidFill>
              <a:srgbClr val="00B050"/>
            </a:solidFill>
          </c:spPr>
          <c:invertIfNegative val="0"/>
          <c:val>
            <c:numRef>
              <c:f>Model!$AU$114:$BQ$114</c:f>
              <c:numCache>
                <c:formatCode>0</c:formatCode>
                <c:ptCount val="23"/>
                <c:pt idx="0">
                  <c:v>5446</c:v>
                </c:pt>
                <c:pt idx="1">
                  <c:v>8602</c:v>
                </c:pt>
                <c:pt idx="2">
                  <c:v>11597</c:v>
                </c:pt>
                <c:pt idx="3">
                  <c:v>17198</c:v>
                </c:pt>
                <c:pt idx="4">
                  <c:v>13347</c:v>
                </c:pt>
                <c:pt idx="5">
                  <c:v>16394</c:v>
                </c:pt>
                <c:pt idx="6">
                  <c:v>18720</c:v>
                </c:pt>
                <c:pt idx="7">
                  <c:v>18551</c:v>
                </c:pt>
                <c:pt idx="8">
                  <c:v>15320</c:v>
                </c:pt>
                <c:pt idx="9">
                  <c:v>12594</c:v>
                </c:pt>
                <c:pt idx="10">
                  <c:v>16077</c:v>
                </c:pt>
                <c:pt idx="11">
                  <c:v>16019</c:v>
                </c:pt>
                <c:pt idx="12">
                  <c:v>17220</c:v>
                </c:pt>
                <c:pt idx="13">
                  <c:v>21778</c:v>
                </c:pt>
                <c:pt idx="14">
                  <c:v>22601</c:v>
                </c:pt>
                <c:pt idx="15">
                  <c:v>7896</c:v>
                </c:pt>
                <c:pt idx="16">
                  <c:v>16836</c:v>
                </c:pt>
                <c:pt idx="17">
                  <c:v>13454</c:v>
                </c:pt>
                <c:pt idx="18">
                  <c:v>17637</c:v>
                </c:pt>
                <c:pt idx="19">
                  <c:v>24837</c:v>
                </c:pt>
                <c:pt idx="20">
                  <c:v>18953</c:v>
                </c:pt>
                <c:pt idx="21">
                  <c:v>5301</c:v>
                </c:pt>
                <c:pt idx="22">
                  <c:v>17637</c:v>
                </c:pt>
              </c:numCache>
            </c:numRef>
          </c:val>
          <c:extLst>
            <c:ext xmlns:c16="http://schemas.microsoft.com/office/drawing/2014/chart" uri="{C3380CC4-5D6E-409C-BE32-E72D297353CC}">
              <c16:uniqueId val="{00000001-56FF-407C-A496-CAE810EAC396}"/>
            </c:ext>
          </c:extLst>
        </c:ser>
        <c:dLbls>
          <c:showLegendKey val="0"/>
          <c:showVal val="0"/>
          <c:showCatName val="0"/>
          <c:showSerName val="0"/>
          <c:showPercent val="0"/>
          <c:showBubbleSize val="0"/>
        </c:dLbls>
        <c:gapWidth val="57"/>
        <c:axId val="1243124976"/>
        <c:axId val="1243123056"/>
      </c:barChart>
      <c:lineChart>
        <c:grouping val="standard"/>
        <c:varyColors val="0"/>
        <c:ser>
          <c:idx val="0"/>
          <c:order val="2"/>
          <c:tx>
            <c:v>Revenues</c:v>
          </c:tx>
          <c:marker>
            <c:symbol val="none"/>
          </c:marker>
          <c:cat>
            <c:strRef>
              <c:f>Model!$AU$1:$BO$1</c:f>
              <c:strCache>
                <c:ptCount val="21"/>
                <c:pt idx="0">
                  <c:v>Q1 2020</c:v>
                </c:pt>
                <c:pt idx="4">
                  <c:v>Q1 2021</c:v>
                </c:pt>
                <c:pt idx="8">
                  <c:v>Q1 2022</c:v>
                </c:pt>
                <c:pt idx="12">
                  <c:v>Q1 2023</c:v>
                </c:pt>
                <c:pt idx="16">
                  <c:v>Q1 2024</c:v>
                </c:pt>
                <c:pt idx="20">
                  <c:v>Q1 2025</c:v>
                </c:pt>
              </c:strCache>
            </c:strRef>
          </c:cat>
          <c:val>
            <c:numRef>
              <c:f>Model!$AU$48:$BQ$48</c:f>
              <c:numCache>
                <c:formatCode>General</c:formatCode>
                <c:ptCount val="23"/>
                <c:pt idx="0">
                  <c:v>41159</c:v>
                </c:pt>
                <c:pt idx="1">
                  <c:v>38297</c:v>
                </c:pt>
                <c:pt idx="2">
                  <c:v>46173</c:v>
                </c:pt>
                <c:pt idx="3">
                  <c:v>56898</c:v>
                </c:pt>
                <c:pt idx="4">
                  <c:v>55314</c:v>
                </c:pt>
                <c:pt idx="5">
                  <c:v>61880</c:v>
                </c:pt>
                <c:pt idx="6">
                  <c:v>65118</c:v>
                </c:pt>
                <c:pt idx="7">
                  <c:v>75325</c:v>
                </c:pt>
                <c:pt idx="8">
                  <c:v>68011</c:v>
                </c:pt>
                <c:pt idx="9">
                  <c:v>69685</c:v>
                </c:pt>
                <c:pt idx="10">
                  <c:v>69092</c:v>
                </c:pt>
                <c:pt idx="11">
                  <c:v>76048</c:v>
                </c:pt>
                <c:pt idx="12">
                  <c:v>69787</c:v>
                </c:pt>
                <c:pt idx="13">
                  <c:v>74604</c:v>
                </c:pt>
                <c:pt idx="14">
                  <c:v>76693</c:v>
                </c:pt>
                <c:pt idx="15">
                  <c:v>86310</c:v>
                </c:pt>
                <c:pt idx="16">
                  <c:v>80539</c:v>
                </c:pt>
                <c:pt idx="17">
                  <c:v>84742</c:v>
                </c:pt>
                <c:pt idx="18">
                  <c:v>88268</c:v>
                </c:pt>
                <c:pt idx="19">
                  <c:v>96469</c:v>
                </c:pt>
                <c:pt idx="20">
                  <c:v>90234</c:v>
                </c:pt>
                <c:pt idx="21">
                  <c:v>96428</c:v>
                </c:pt>
                <c:pt idx="22">
                  <c:v>102346</c:v>
                </c:pt>
              </c:numCache>
            </c:numRef>
          </c:val>
          <c:smooth val="0"/>
          <c:extLst>
            <c:ext xmlns:c16="http://schemas.microsoft.com/office/drawing/2014/chart" uri="{C3380CC4-5D6E-409C-BE32-E72D297353CC}">
              <c16:uniqueId val="{00000002-56FF-407C-A496-CAE810EAC396}"/>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max val="120000"/>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majorUnit val="10000"/>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(GOOGL) Annual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3"/>
          <c:order val="0"/>
          <c:tx>
            <c:v>Net Income</c:v>
          </c:tx>
          <c:spPr>
            <a:ln>
              <a:solidFill>
                <a:srgbClr val="FFC000"/>
              </a:solidFill>
            </a:ln>
          </c:spPr>
          <c:invertIfNegative val="0"/>
          <c:cat>
            <c:numRef>
              <c:f>Model!$CA$3:$CP$3</c:f>
              <c:numCache>
                <c:formatCode>General</c:formatCode>
                <c:ptCount val="16"/>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numCache>
            </c:numRef>
          </c:cat>
          <c:val>
            <c:numRef>
              <c:f>Model!$CA$59:$CP$59</c:f>
              <c:numCache>
                <c:formatCode>General</c:formatCode>
                <c:ptCount val="16"/>
                <c:pt idx="0">
                  <c:v>6520</c:v>
                </c:pt>
                <c:pt idx="1">
                  <c:v>8505</c:v>
                </c:pt>
                <c:pt idx="2">
                  <c:v>9737</c:v>
                </c:pt>
                <c:pt idx="3">
                  <c:v>11553</c:v>
                </c:pt>
                <c:pt idx="4">
                  <c:v>13160</c:v>
                </c:pt>
                <c:pt idx="5">
                  <c:v>13620</c:v>
                </c:pt>
                <c:pt idx="6">
                  <c:v>16348</c:v>
                </c:pt>
                <c:pt idx="7">
                  <c:v>19478</c:v>
                </c:pt>
                <c:pt idx="8">
                  <c:v>12662</c:v>
                </c:pt>
                <c:pt idx="9">
                  <c:v>30736</c:v>
                </c:pt>
                <c:pt idx="10">
                  <c:v>34343</c:v>
                </c:pt>
                <c:pt idx="11">
                  <c:v>40269</c:v>
                </c:pt>
                <c:pt idx="12">
                  <c:v>76033</c:v>
                </c:pt>
                <c:pt idx="13">
                  <c:v>59972</c:v>
                </c:pt>
                <c:pt idx="14">
                  <c:v>73795</c:v>
                </c:pt>
                <c:pt idx="15">
                  <c:v>100118</c:v>
                </c:pt>
              </c:numCache>
            </c:numRef>
          </c:val>
          <c:extLst>
            <c:ext xmlns:c16="http://schemas.microsoft.com/office/drawing/2014/chart" uri="{C3380CC4-5D6E-409C-BE32-E72D297353CC}">
              <c16:uniqueId val="{00000000-6114-4C0A-9224-2C0553B4C97A}"/>
            </c:ext>
          </c:extLst>
        </c:ser>
        <c:ser>
          <c:idx val="4"/>
          <c:order val="1"/>
          <c:tx>
            <c:v>FCF</c:v>
          </c:tx>
          <c:spPr>
            <a:solidFill>
              <a:srgbClr val="00B050"/>
            </a:solidFill>
          </c:spPr>
          <c:invertIfNegative val="0"/>
          <c:cat>
            <c:numRef>
              <c:f>Model!$CA$3:$CP$3</c:f>
              <c:numCache>
                <c:formatCode>General</c:formatCode>
                <c:ptCount val="16"/>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numCache>
            </c:numRef>
          </c:cat>
          <c:val>
            <c:numRef>
              <c:f>Model!$CA$114:$CP$114</c:f>
              <c:numCache>
                <c:formatCode>0</c:formatCode>
                <c:ptCount val="16"/>
                <c:pt idx="0">
                  <c:v>8506</c:v>
                </c:pt>
                <c:pt idx="1">
                  <c:v>7063</c:v>
                </c:pt>
                <c:pt idx="2">
                  <c:v>11127</c:v>
                </c:pt>
                <c:pt idx="3">
                  <c:v>13346</c:v>
                </c:pt>
                <c:pt idx="4">
                  <c:v>11301</c:v>
                </c:pt>
                <c:pt idx="5">
                  <c:v>12065</c:v>
                </c:pt>
                <c:pt idx="6">
                  <c:v>16657</c:v>
                </c:pt>
                <c:pt idx="7">
                  <c:v>26064</c:v>
                </c:pt>
                <c:pt idx="8">
                  <c:v>23907</c:v>
                </c:pt>
                <c:pt idx="9">
                  <c:v>22832</c:v>
                </c:pt>
                <c:pt idx="10">
                  <c:v>30972</c:v>
                </c:pt>
                <c:pt idx="11" formatCode="General">
                  <c:v>42843</c:v>
                </c:pt>
                <c:pt idx="12" formatCode="General">
                  <c:v>67012</c:v>
                </c:pt>
                <c:pt idx="13" formatCode="General">
                  <c:v>60010</c:v>
                </c:pt>
                <c:pt idx="14" formatCode="General">
                  <c:v>69495</c:v>
                </c:pt>
                <c:pt idx="15" formatCode="General">
                  <c:v>72764</c:v>
                </c:pt>
              </c:numCache>
            </c:numRef>
          </c:val>
          <c:extLst>
            <c:ext xmlns:c16="http://schemas.microsoft.com/office/drawing/2014/chart" uri="{C3380CC4-5D6E-409C-BE32-E72D297353CC}">
              <c16:uniqueId val="{00000001-6114-4C0A-9224-2C0553B4C97A}"/>
            </c:ext>
          </c:extLst>
        </c:ser>
        <c:dLbls>
          <c:showLegendKey val="0"/>
          <c:showVal val="0"/>
          <c:showCatName val="0"/>
          <c:showSerName val="0"/>
          <c:showPercent val="0"/>
          <c:showBubbleSize val="0"/>
        </c:dLbls>
        <c:gapWidth val="57"/>
        <c:overlap val="-2"/>
        <c:axId val="1243124976"/>
        <c:axId val="1243123056"/>
      </c:barChart>
      <c:lineChart>
        <c:grouping val="standard"/>
        <c:varyColors val="0"/>
        <c:ser>
          <c:idx val="0"/>
          <c:order val="2"/>
          <c:tx>
            <c:v>Revenues</c:v>
          </c:tx>
          <c:marker>
            <c:symbol val="none"/>
          </c:marker>
          <c:cat>
            <c:numRef>
              <c:f>Model!$CA$3:$CP$3</c:f>
              <c:numCache>
                <c:formatCode>General</c:formatCode>
                <c:ptCount val="16"/>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numCache>
            </c:numRef>
          </c:cat>
          <c:val>
            <c:numRef>
              <c:f>Model!$CA$48:$CP$48</c:f>
              <c:numCache>
                <c:formatCode>General</c:formatCode>
                <c:ptCount val="16"/>
                <c:pt idx="0">
                  <c:v>23651</c:v>
                </c:pt>
                <c:pt idx="1">
                  <c:v>29321</c:v>
                </c:pt>
                <c:pt idx="2">
                  <c:v>37905</c:v>
                </c:pt>
                <c:pt idx="3">
                  <c:v>46039</c:v>
                </c:pt>
                <c:pt idx="4">
                  <c:v>55519</c:v>
                </c:pt>
                <c:pt idx="5">
                  <c:v>66001</c:v>
                </c:pt>
                <c:pt idx="6">
                  <c:v>74989</c:v>
                </c:pt>
                <c:pt idx="7">
                  <c:v>90272</c:v>
                </c:pt>
                <c:pt idx="8">
                  <c:v>110855</c:v>
                </c:pt>
                <c:pt idx="9">
                  <c:v>136819</c:v>
                </c:pt>
                <c:pt idx="10">
                  <c:v>161857</c:v>
                </c:pt>
                <c:pt idx="11">
                  <c:v>182527</c:v>
                </c:pt>
                <c:pt idx="12">
                  <c:v>257637</c:v>
                </c:pt>
                <c:pt idx="13">
                  <c:v>282836</c:v>
                </c:pt>
                <c:pt idx="14">
                  <c:v>307394</c:v>
                </c:pt>
                <c:pt idx="15">
                  <c:v>350018</c:v>
                </c:pt>
              </c:numCache>
            </c:numRef>
          </c:val>
          <c:smooth val="0"/>
          <c:extLst>
            <c:ext xmlns:c16="http://schemas.microsoft.com/office/drawing/2014/chart" uri="{C3380CC4-5D6E-409C-BE32-E72D297353CC}">
              <c16:uniqueId val="{00000002-6114-4C0A-9224-2C0553B4C97A}"/>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majorUnit val="50000"/>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11.png"/><Relationship Id="rId3" Type="http://schemas.openxmlformats.org/officeDocument/2006/relationships/image" Target="../media/image3.png"/><Relationship Id="rId7" Type="http://schemas.openxmlformats.org/officeDocument/2006/relationships/image" Target="../media/image5.png"/><Relationship Id="rId12" Type="http://schemas.openxmlformats.org/officeDocument/2006/relationships/image" Target="../media/image10.png"/><Relationship Id="rId2" Type="http://schemas.openxmlformats.org/officeDocument/2006/relationships/image" Target="../media/image2.png"/><Relationship Id="rId16" Type="http://schemas.openxmlformats.org/officeDocument/2006/relationships/chart" Target="../charts/chart4.xml"/><Relationship Id="rId1" Type="http://schemas.openxmlformats.org/officeDocument/2006/relationships/chart" Target="../charts/chart1.xml"/><Relationship Id="rId6" Type="http://schemas.openxmlformats.org/officeDocument/2006/relationships/image" Target="../media/image4.png"/><Relationship Id="rId11" Type="http://schemas.openxmlformats.org/officeDocument/2006/relationships/image" Target="../media/image9.png"/><Relationship Id="rId5" Type="http://schemas.openxmlformats.org/officeDocument/2006/relationships/chart" Target="../charts/chart3.xml"/><Relationship Id="rId15" Type="http://schemas.openxmlformats.org/officeDocument/2006/relationships/image" Target="../media/image13.png"/><Relationship Id="rId10" Type="http://schemas.openxmlformats.org/officeDocument/2006/relationships/image" Target="../media/image8.png"/><Relationship Id="rId4" Type="http://schemas.openxmlformats.org/officeDocument/2006/relationships/chart" Target="../charts/chart2.xml"/><Relationship Id="rId9" Type="http://schemas.openxmlformats.org/officeDocument/2006/relationships/image" Target="../media/image7.png"/><Relationship Id="rId14" Type="http://schemas.openxmlformats.org/officeDocument/2006/relationships/image" Target="../media/image1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6</xdr:col>
      <xdr:colOff>11205</xdr:colOff>
      <xdr:row>2</xdr:row>
      <xdr:rowOff>11208</xdr:rowOff>
    </xdr:from>
    <xdr:to>
      <xdr:col>8</xdr:col>
      <xdr:colOff>601446</xdr:colOff>
      <xdr:row>8</xdr:row>
      <xdr:rowOff>0</xdr:rowOff>
    </xdr:to>
    <xdr:pic>
      <xdr:nvPicPr>
        <xdr:cNvPr id="2" name="Picture 1">
          <a:extLst>
            <a:ext uri="{FF2B5EF4-FFF2-40B4-BE49-F238E27FC236}">
              <a16:creationId xmlns:a16="http://schemas.microsoft.com/office/drawing/2014/main" id="{6728E244-164B-2E1C-6DD7-7F4240A57F22}"/>
            </a:ext>
          </a:extLst>
        </xdr:cNvPr>
        <xdr:cNvPicPr>
          <a:picLocks noChangeAspect="1"/>
        </xdr:cNvPicPr>
      </xdr:nvPicPr>
      <xdr:blipFill rotWithShape="1">
        <a:blip xmlns:r="http://schemas.openxmlformats.org/officeDocument/2006/relationships" r:embed="rId1"/>
        <a:srcRect t="3826" b="4366"/>
        <a:stretch>
          <a:fillRect/>
        </a:stretch>
      </xdr:blipFill>
      <xdr:spPr>
        <a:xfrm>
          <a:off x="3552264" y="381002"/>
          <a:ext cx="1800476" cy="10645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69</xdr:col>
      <xdr:colOff>561</xdr:colOff>
      <xdr:row>0</xdr:row>
      <xdr:rowOff>0</xdr:rowOff>
    </xdr:from>
    <xdr:to>
      <xdr:col>69</xdr:col>
      <xdr:colOff>561</xdr:colOff>
      <xdr:row>139</xdr:row>
      <xdr:rowOff>152400</xdr:rowOff>
    </xdr:to>
    <xdr:cxnSp macro="">
      <xdr:nvCxnSpPr>
        <xdr:cNvPr id="2" name="Straight Connector 1">
          <a:extLst>
            <a:ext uri="{FF2B5EF4-FFF2-40B4-BE49-F238E27FC236}">
              <a16:creationId xmlns:a16="http://schemas.microsoft.com/office/drawing/2014/main" id="{1D82459E-58B3-42DB-9684-9D533E1F9712}"/>
            </a:ext>
          </a:extLst>
        </xdr:cNvPr>
        <xdr:cNvCxnSpPr/>
      </xdr:nvCxnSpPr>
      <xdr:spPr>
        <a:xfrm>
          <a:off x="44297414" y="0"/>
          <a:ext cx="0" cy="2524237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94</xdr:col>
      <xdr:colOff>0</xdr:colOff>
      <xdr:row>0</xdr:row>
      <xdr:rowOff>0</xdr:rowOff>
    </xdr:from>
    <xdr:to>
      <xdr:col>94</xdr:col>
      <xdr:colOff>0</xdr:colOff>
      <xdr:row>138</xdr:row>
      <xdr:rowOff>76200</xdr:rowOff>
    </xdr:to>
    <xdr:cxnSp macro="">
      <xdr:nvCxnSpPr>
        <xdr:cNvPr id="3" name="Straight Connector 2">
          <a:extLst>
            <a:ext uri="{FF2B5EF4-FFF2-40B4-BE49-F238E27FC236}">
              <a16:creationId xmlns:a16="http://schemas.microsoft.com/office/drawing/2014/main" id="{1001E5F4-1B9E-487D-83F1-747CF5EB542B}"/>
            </a:ext>
          </a:extLst>
        </xdr:cNvPr>
        <xdr:cNvCxnSpPr/>
      </xdr:nvCxnSpPr>
      <xdr:spPr>
        <a:xfrm>
          <a:off x="64208025" y="0"/>
          <a:ext cx="0" cy="235172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17</xdr:col>
      <xdr:colOff>1</xdr:colOff>
      <xdr:row>174</xdr:row>
      <xdr:rowOff>0</xdr:rowOff>
    </xdr:from>
    <xdr:to>
      <xdr:col>35</xdr:col>
      <xdr:colOff>1</xdr:colOff>
      <xdr:row>210</xdr:row>
      <xdr:rowOff>0</xdr:rowOff>
    </xdr:to>
    <xdr:graphicFrame macro="">
      <xdr:nvGraphicFramePr>
        <xdr:cNvPr id="4" name="Chart 3">
          <a:extLst>
            <a:ext uri="{FF2B5EF4-FFF2-40B4-BE49-F238E27FC236}">
              <a16:creationId xmlns:a16="http://schemas.microsoft.com/office/drawing/2014/main" id="{DD74BBAA-4B76-40FC-A8E5-A62056E8DD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9525</xdr:colOff>
      <xdr:row>2</xdr:row>
      <xdr:rowOff>19049</xdr:rowOff>
    </xdr:from>
    <xdr:to>
      <xdr:col>28</xdr:col>
      <xdr:colOff>2750</xdr:colOff>
      <xdr:row>28</xdr:row>
      <xdr:rowOff>156882</xdr:rowOff>
    </xdr:to>
    <xdr:pic>
      <xdr:nvPicPr>
        <xdr:cNvPr id="5" name="Picture 4">
          <a:extLst>
            <a:ext uri="{FF2B5EF4-FFF2-40B4-BE49-F238E27FC236}">
              <a16:creationId xmlns:a16="http://schemas.microsoft.com/office/drawing/2014/main" id="{0CCC145D-0886-470B-38EE-26018C7AD369}"/>
            </a:ext>
          </a:extLst>
        </xdr:cNvPr>
        <xdr:cNvPicPr>
          <a:picLocks noChangeAspect="1"/>
        </xdr:cNvPicPr>
      </xdr:nvPicPr>
      <xdr:blipFill>
        <a:blip xmlns:r="http://schemas.openxmlformats.org/officeDocument/2006/relationships" r:embed="rId2"/>
        <a:stretch>
          <a:fillRect/>
        </a:stretch>
      </xdr:blipFill>
      <xdr:spPr>
        <a:xfrm>
          <a:off x="213632" y="400049"/>
          <a:ext cx="6728761" cy="5090833"/>
        </a:xfrm>
        <a:prstGeom prst="rect">
          <a:avLst/>
        </a:prstGeom>
      </xdr:spPr>
    </xdr:pic>
    <xdr:clientData/>
  </xdr:twoCellAnchor>
  <xdr:twoCellAnchor editAs="oneCell">
    <xdr:from>
      <xdr:col>17</xdr:col>
      <xdr:colOff>9524</xdr:colOff>
      <xdr:row>35</xdr:row>
      <xdr:rowOff>0</xdr:rowOff>
    </xdr:from>
    <xdr:to>
      <xdr:col>27</xdr:col>
      <xdr:colOff>0</xdr:colOff>
      <xdr:row>63</xdr:row>
      <xdr:rowOff>16162</xdr:rowOff>
    </xdr:to>
    <xdr:pic>
      <xdr:nvPicPr>
        <xdr:cNvPr id="6" name="Picture 5">
          <a:extLst>
            <a:ext uri="{FF2B5EF4-FFF2-40B4-BE49-F238E27FC236}">
              <a16:creationId xmlns:a16="http://schemas.microsoft.com/office/drawing/2014/main" id="{781FD1B2-F66C-A395-EB74-2901AB7ACF6E}"/>
            </a:ext>
          </a:extLst>
        </xdr:cNvPr>
        <xdr:cNvPicPr>
          <a:picLocks noChangeAspect="1"/>
        </xdr:cNvPicPr>
      </xdr:nvPicPr>
      <xdr:blipFill>
        <a:blip xmlns:r="http://schemas.openxmlformats.org/officeDocument/2006/relationships" r:embed="rId3"/>
        <a:stretch>
          <a:fillRect/>
        </a:stretch>
      </xdr:blipFill>
      <xdr:spPr>
        <a:xfrm>
          <a:off x="217342" y="6667500"/>
          <a:ext cx="6051840" cy="5350162"/>
        </a:xfrm>
        <a:prstGeom prst="rect">
          <a:avLst/>
        </a:prstGeom>
      </xdr:spPr>
    </xdr:pic>
    <xdr:clientData/>
  </xdr:twoCellAnchor>
  <xdr:twoCellAnchor>
    <xdr:from>
      <xdr:col>17</xdr:col>
      <xdr:colOff>1</xdr:colOff>
      <xdr:row>68</xdr:row>
      <xdr:rowOff>1</xdr:rowOff>
    </xdr:from>
    <xdr:to>
      <xdr:col>32</xdr:col>
      <xdr:colOff>1</xdr:colOff>
      <xdr:row>100</xdr:row>
      <xdr:rowOff>1</xdr:rowOff>
    </xdr:to>
    <xdr:graphicFrame macro="">
      <xdr:nvGraphicFramePr>
        <xdr:cNvPr id="7" name="Chart 6">
          <a:extLst>
            <a:ext uri="{FF2B5EF4-FFF2-40B4-BE49-F238E27FC236}">
              <a16:creationId xmlns:a16="http://schemas.microsoft.com/office/drawing/2014/main" id="{11D1C624-4808-4FD1-BA36-8A2B4BE369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0</xdr:colOff>
      <xdr:row>106</xdr:row>
      <xdr:rowOff>0</xdr:rowOff>
    </xdr:from>
    <xdr:to>
      <xdr:col>32</xdr:col>
      <xdr:colOff>0</xdr:colOff>
      <xdr:row>134</xdr:row>
      <xdr:rowOff>0</xdr:rowOff>
    </xdr:to>
    <xdr:graphicFrame macro="">
      <xdr:nvGraphicFramePr>
        <xdr:cNvPr id="8" name="Chart 7">
          <a:extLst>
            <a:ext uri="{FF2B5EF4-FFF2-40B4-BE49-F238E27FC236}">
              <a16:creationId xmlns:a16="http://schemas.microsoft.com/office/drawing/2014/main" id="{98C71ED9-5478-4229-846E-7E2A77B96A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40</xdr:col>
      <xdr:colOff>11760</xdr:colOff>
      <xdr:row>110</xdr:row>
      <xdr:rowOff>8852</xdr:rowOff>
    </xdr:from>
    <xdr:to>
      <xdr:col>52</xdr:col>
      <xdr:colOff>8759</xdr:colOff>
      <xdr:row>139</xdr:row>
      <xdr:rowOff>190499</xdr:rowOff>
    </xdr:to>
    <xdr:pic>
      <xdr:nvPicPr>
        <xdr:cNvPr id="10" name="Picture 9">
          <a:extLst>
            <a:ext uri="{FF2B5EF4-FFF2-40B4-BE49-F238E27FC236}">
              <a16:creationId xmlns:a16="http://schemas.microsoft.com/office/drawing/2014/main" id="{BE7C5124-7DF3-AF76-D2FA-60D101E0584E}"/>
            </a:ext>
          </a:extLst>
        </xdr:cNvPr>
        <xdr:cNvPicPr>
          <a:picLocks noChangeAspect="1"/>
        </xdr:cNvPicPr>
      </xdr:nvPicPr>
      <xdr:blipFill>
        <a:blip xmlns:r="http://schemas.openxmlformats.org/officeDocument/2006/relationships" r:embed="rId6"/>
        <a:stretch>
          <a:fillRect/>
        </a:stretch>
      </xdr:blipFill>
      <xdr:spPr>
        <a:xfrm>
          <a:off x="13877439" y="20963852"/>
          <a:ext cx="7344856" cy="5706147"/>
        </a:xfrm>
        <a:prstGeom prst="rect">
          <a:avLst/>
        </a:prstGeom>
      </xdr:spPr>
    </xdr:pic>
    <xdr:clientData/>
  </xdr:twoCellAnchor>
  <xdr:twoCellAnchor editAs="oneCell">
    <xdr:from>
      <xdr:col>40</xdr:col>
      <xdr:colOff>11759</xdr:colOff>
      <xdr:row>163</xdr:row>
      <xdr:rowOff>11207</xdr:rowOff>
    </xdr:from>
    <xdr:to>
      <xdr:col>52</xdr:col>
      <xdr:colOff>33617</xdr:colOff>
      <xdr:row>192</xdr:row>
      <xdr:rowOff>23812</xdr:rowOff>
    </xdr:to>
    <xdr:pic>
      <xdr:nvPicPr>
        <xdr:cNvPr id="11" name="Picture 10">
          <a:extLst>
            <a:ext uri="{FF2B5EF4-FFF2-40B4-BE49-F238E27FC236}">
              <a16:creationId xmlns:a16="http://schemas.microsoft.com/office/drawing/2014/main" id="{EF5FB33B-D750-D54A-D8B4-C19AF3263BCA}"/>
            </a:ext>
          </a:extLst>
        </xdr:cNvPr>
        <xdr:cNvPicPr>
          <a:picLocks noChangeAspect="1"/>
        </xdr:cNvPicPr>
      </xdr:nvPicPr>
      <xdr:blipFill>
        <a:blip xmlns:r="http://schemas.openxmlformats.org/officeDocument/2006/relationships" r:embed="rId7"/>
        <a:stretch>
          <a:fillRect/>
        </a:stretch>
      </xdr:blipFill>
      <xdr:spPr>
        <a:xfrm>
          <a:off x="14037322" y="30729332"/>
          <a:ext cx="7451358" cy="5918105"/>
        </a:xfrm>
        <a:prstGeom prst="rect">
          <a:avLst/>
        </a:prstGeom>
      </xdr:spPr>
    </xdr:pic>
    <xdr:clientData/>
  </xdr:twoCellAnchor>
  <xdr:twoCellAnchor editAs="oneCell">
    <xdr:from>
      <xdr:col>52</xdr:col>
      <xdr:colOff>6362</xdr:colOff>
      <xdr:row>163</xdr:row>
      <xdr:rowOff>11206</xdr:rowOff>
    </xdr:from>
    <xdr:to>
      <xdr:col>64</xdr:col>
      <xdr:colOff>24416</xdr:colOff>
      <xdr:row>192</xdr:row>
      <xdr:rowOff>23812</xdr:rowOff>
    </xdr:to>
    <xdr:pic>
      <xdr:nvPicPr>
        <xdr:cNvPr id="12" name="Picture 11">
          <a:extLst>
            <a:ext uri="{FF2B5EF4-FFF2-40B4-BE49-F238E27FC236}">
              <a16:creationId xmlns:a16="http://schemas.microsoft.com/office/drawing/2014/main" id="{4BE1DE4C-30E9-55FE-CD8D-742BC5518811}"/>
            </a:ext>
          </a:extLst>
        </xdr:cNvPr>
        <xdr:cNvPicPr>
          <a:picLocks noChangeAspect="1"/>
        </xdr:cNvPicPr>
      </xdr:nvPicPr>
      <xdr:blipFill>
        <a:blip xmlns:r="http://schemas.openxmlformats.org/officeDocument/2006/relationships" r:embed="rId8"/>
        <a:stretch>
          <a:fillRect/>
        </a:stretch>
      </xdr:blipFill>
      <xdr:spPr>
        <a:xfrm>
          <a:off x="21461425" y="30729331"/>
          <a:ext cx="7447554" cy="5918106"/>
        </a:xfrm>
        <a:prstGeom prst="rect">
          <a:avLst/>
        </a:prstGeom>
      </xdr:spPr>
    </xdr:pic>
    <xdr:clientData/>
  </xdr:twoCellAnchor>
  <xdr:twoCellAnchor editAs="oneCell">
    <xdr:from>
      <xdr:col>63</xdr:col>
      <xdr:colOff>600275</xdr:colOff>
      <xdr:row>163</xdr:row>
      <xdr:rowOff>11205</xdr:rowOff>
    </xdr:from>
    <xdr:to>
      <xdr:col>76</xdr:col>
      <xdr:colOff>15037</xdr:colOff>
      <xdr:row>192</xdr:row>
      <xdr:rowOff>27214</xdr:rowOff>
    </xdr:to>
    <xdr:pic>
      <xdr:nvPicPr>
        <xdr:cNvPr id="14" name="Picture 13">
          <a:extLst>
            <a:ext uri="{FF2B5EF4-FFF2-40B4-BE49-F238E27FC236}">
              <a16:creationId xmlns:a16="http://schemas.microsoft.com/office/drawing/2014/main" id="{BA83E042-D4CD-2CD9-C6A1-D28CA4CD89CD}"/>
            </a:ext>
          </a:extLst>
        </xdr:cNvPr>
        <xdr:cNvPicPr>
          <a:picLocks noChangeAspect="1"/>
        </xdr:cNvPicPr>
      </xdr:nvPicPr>
      <xdr:blipFill>
        <a:blip xmlns:r="http://schemas.openxmlformats.org/officeDocument/2006/relationships" r:embed="rId9"/>
        <a:stretch>
          <a:fillRect/>
        </a:stretch>
      </xdr:blipFill>
      <xdr:spPr>
        <a:xfrm>
          <a:off x="28549346" y="28994419"/>
          <a:ext cx="7374941" cy="5540509"/>
        </a:xfrm>
        <a:prstGeom prst="rect">
          <a:avLst/>
        </a:prstGeom>
      </xdr:spPr>
    </xdr:pic>
    <xdr:clientData/>
  </xdr:twoCellAnchor>
  <xdr:twoCellAnchor editAs="oneCell">
    <xdr:from>
      <xdr:col>52</xdr:col>
      <xdr:colOff>11758</xdr:colOff>
      <xdr:row>215</xdr:row>
      <xdr:rowOff>188147</xdr:rowOff>
    </xdr:from>
    <xdr:to>
      <xdr:col>64</xdr:col>
      <xdr:colOff>11759</xdr:colOff>
      <xdr:row>246</xdr:row>
      <xdr:rowOff>0</xdr:rowOff>
    </xdr:to>
    <xdr:pic>
      <xdr:nvPicPr>
        <xdr:cNvPr id="16" name="Picture 15">
          <a:extLst>
            <a:ext uri="{FF2B5EF4-FFF2-40B4-BE49-F238E27FC236}">
              <a16:creationId xmlns:a16="http://schemas.microsoft.com/office/drawing/2014/main" id="{B368E913-2619-7208-9446-57060775F4D0}"/>
            </a:ext>
          </a:extLst>
        </xdr:cNvPr>
        <xdr:cNvPicPr>
          <a:picLocks noChangeAspect="1"/>
        </xdr:cNvPicPr>
      </xdr:nvPicPr>
      <xdr:blipFill>
        <a:blip xmlns:r="http://schemas.openxmlformats.org/officeDocument/2006/relationships" r:embed="rId10"/>
        <a:stretch>
          <a:fillRect/>
        </a:stretch>
      </xdr:blipFill>
      <xdr:spPr>
        <a:xfrm>
          <a:off x="21225294" y="41145647"/>
          <a:ext cx="7347858" cy="5717353"/>
        </a:xfrm>
        <a:prstGeom prst="rect">
          <a:avLst/>
        </a:prstGeom>
      </xdr:spPr>
    </xdr:pic>
    <xdr:clientData/>
  </xdr:twoCellAnchor>
  <xdr:twoCellAnchor editAs="oneCell">
    <xdr:from>
      <xdr:col>64</xdr:col>
      <xdr:colOff>0</xdr:colOff>
      <xdr:row>216</xdr:row>
      <xdr:rowOff>11758</xdr:rowOff>
    </xdr:from>
    <xdr:to>
      <xdr:col>76</xdr:col>
      <xdr:colOff>1</xdr:colOff>
      <xdr:row>246</xdr:row>
      <xdr:rowOff>0</xdr:rowOff>
    </xdr:to>
    <xdr:pic>
      <xdr:nvPicPr>
        <xdr:cNvPr id="17" name="Picture 16">
          <a:extLst>
            <a:ext uri="{FF2B5EF4-FFF2-40B4-BE49-F238E27FC236}">
              <a16:creationId xmlns:a16="http://schemas.microsoft.com/office/drawing/2014/main" id="{86F17E5A-00D0-ECDF-621B-5F482D1CAB03}"/>
            </a:ext>
          </a:extLst>
        </xdr:cNvPr>
        <xdr:cNvPicPr>
          <a:picLocks noChangeAspect="1"/>
        </xdr:cNvPicPr>
      </xdr:nvPicPr>
      <xdr:blipFill rotWithShape="1">
        <a:blip xmlns:r="http://schemas.openxmlformats.org/officeDocument/2006/relationships" r:embed="rId11"/>
        <a:srcRect b="823"/>
        <a:stretch>
          <a:fillRect/>
        </a:stretch>
      </xdr:blipFill>
      <xdr:spPr>
        <a:xfrm>
          <a:off x="28561393" y="41159758"/>
          <a:ext cx="7347858" cy="5703242"/>
        </a:xfrm>
        <a:prstGeom prst="rect">
          <a:avLst/>
        </a:prstGeom>
      </xdr:spPr>
    </xdr:pic>
    <xdr:clientData/>
  </xdr:twoCellAnchor>
  <xdr:twoCellAnchor editAs="oneCell">
    <xdr:from>
      <xdr:col>40</xdr:col>
      <xdr:colOff>0</xdr:colOff>
      <xdr:row>215</xdr:row>
      <xdr:rowOff>188147</xdr:rowOff>
    </xdr:from>
    <xdr:to>
      <xdr:col>52</xdr:col>
      <xdr:colOff>16762</xdr:colOff>
      <xdr:row>246</xdr:row>
      <xdr:rowOff>0</xdr:rowOff>
    </xdr:to>
    <xdr:pic>
      <xdr:nvPicPr>
        <xdr:cNvPr id="18" name="Picture 17">
          <a:extLst>
            <a:ext uri="{FF2B5EF4-FFF2-40B4-BE49-F238E27FC236}">
              <a16:creationId xmlns:a16="http://schemas.microsoft.com/office/drawing/2014/main" id="{2A73948D-EDDE-11EF-3799-48DCDA38EEA3}"/>
            </a:ext>
          </a:extLst>
        </xdr:cNvPr>
        <xdr:cNvPicPr>
          <a:picLocks noChangeAspect="1"/>
        </xdr:cNvPicPr>
      </xdr:nvPicPr>
      <xdr:blipFill>
        <a:blip xmlns:r="http://schemas.openxmlformats.org/officeDocument/2006/relationships" r:embed="rId12"/>
        <a:stretch>
          <a:fillRect/>
        </a:stretch>
      </xdr:blipFill>
      <xdr:spPr>
        <a:xfrm>
          <a:off x="13865679" y="41145647"/>
          <a:ext cx="7364619" cy="5717353"/>
        </a:xfrm>
        <a:prstGeom prst="rect">
          <a:avLst/>
        </a:prstGeom>
      </xdr:spPr>
    </xdr:pic>
    <xdr:clientData/>
  </xdr:twoCellAnchor>
  <xdr:twoCellAnchor editAs="oneCell">
    <xdr:from>
      <xdr:col>76</xdr:col>
      <xdr:colOff>0</xdr:colOff>
      <xdr:row>216</xdr:row>
      <xdr:rowOff>11760</xdr:rowOff>
    </xdr:from>
    <xdr:to>
      <xdr:col>88</xdr:col>
      <xdr:colOff>187307</xdr:colOff>
      <xdr:row>246</xdr:row>
      <xdr:rowOff>0</xdr:rowOff>
    </xdr:to>
    <xdr:pic>
      <xdr:nvPicPr>
        <xdr:cNvPr id="19" name="Picture 18">
          <a:extLst>
            <a:ext uri="{FF2B5EF4-FFF2-40B4-BE49-F238E27FC236}">
              <a16:creationId xmlns:a16="http://schemas.microsoft.com/office/drawing/2014/main" id="{4B1A8948-554D-865C-1A1A-7B5E40C833DA}"/>
            </a:ext>
          </a:extLst>
        </xdr:cNvPr>
        <xdr:cNvPicPr>
          <a:picLocks noChangeAspect="1"/>
        </xdr:cNvPicPr>
      </xdr:nvPicPr>
      <xdr:blipFill rotWithShape="1">
        <a:blip xmlns:r="http://schemas.openxmlformats.org/officeDocument/2006/relationships" r:embed="rId13"/>
        <a:srcRect b="823"/>
        <a:stretch>
          <a:fillRect/>
        </a:stretch>
      </xdr:blipFill>
      <xdr:spPr>
        <a:xfrm>
          <a:off x="35909250" y="41159760"/>
          <a:ext cx="7535164" cy="5703240"/>
        </a:xfrm>
        <a:prstGeom prst="rect">
          <a:avLst/>
        </a:prstGeom>
      </xdr:spPr>
    </xdr:pic>
    <xdr:clientData/>
  </xdr:twoCellAnchor>
  <xdr:twoCellAnchor editAs="oneCell">
    <xdr:from>
      <xdr:col>40</xdr:col>
      <xdr:colOff>0</xdr:colOff>
      <xdr:row>265</xdr:row>
      <xdr:rowOff>0</xdr:rowOff>
    </xdr:from>
    <xdr:to>
      <xdr:col>56</xdr:col>
      <xdr:colOff>1</xdr:colOff>
      <xdr:row>299</xdr:row>
      <xdr:rowOff>13607</xdr:rowOff>
    </xdr:to>
    <xdr:pic>
      <xdr:nvPicPr>
        <xdr:cNvPr id="22" name="Picture 21">
          <a:extLst>
            <a:ext uri="{FF2B5EF4-FFF2-40B4-BE49-F238E27FC236}">
              <a16:creationId xmlns:a16="http://schemas.microsoft.com/office/drawing/2014/main" id="{594E50B3-0F43-7A91-0936-225239EFCC2D}"/>
            </a:ext>
          </a:extLst>
        </xdr:cNvPr>
        <xdr:cNvPicPr>
          <a:picLocks noChangeAspect="1"/>
        </xdr:cNvPicPr>
      </xdr:nvPicPr>
      <xdr:blipFill>
        <a:blip xmlns:r="http://schemas.openxmlformats.org/officeDocument/2006/relationships" r:embed="rId14"/>
        <a:stretch>
          <a:fillRect/>
        </a:stretch>
      </xdr:blipFill>
      <xdr:spPr>
        <a:xfrm>
          <a:off x="13865679" y="50482500"/>
          <a:ext cx="9797143" cy="6490607"/>
        </a:xfrm>
        <a:prstGeom prst="rect">
          <a:avLst/>
        </a:prstGeom>
      </xdr:spPr>
    </xdr:pic>
    <xdr:clientData/>
  </xdr:twoCellAnchor>
  <xdr:twoCellAnchor editAs="oneCell">
    <xdr:from>
      <xdr:col>28</xdr:col>
      <xdr:colOff>13606</xdr:colOff>
      <xdr:row>2</xdr:row>
      <xdr:rowOff>27214</xdr:rowOff>
    </xdr:from>
    <xdr:to>
      <xdr:col>39</xdr:col>
      <xdr:colOff>1459</xdr:colOff>
      <xdr:row>31</xdr:row>
      <xdr:rowOff>116060</xdr:rowOff>
    </xdr:to>
    <xdr:pic>
      <xdr:nvPicPr>
        <xdr:cNvPr id="23" name="Picture 22">
          <a:extLst>
            <a:ext uri="{FF2B5EF4-FFF2-40B4-BE49-F238E27FC236}">
              <a16:creationId xmlns:a16="http://schemas.microsoft.com/office/drawing/2014/main" id="{EB5EEC60-9A4F-4E30-BBCF-6A84DF49976C}"/>
            </a:ext>
          </a:extLst>
        </xdr:cNvPr>
        <xdr:cNvPicPr>
          <a:picLocks noChangeAspect="1"/>
        </xdr:cNvPicPr>
      </xdr:nvPicPr>
      <xdr:blipFill>
        <a:blip xmlns:r="http://schemas.openxmlformats.org/officeDocument/2006/relationships" r:embed="rId15"/>
        <a:stretch>
          <a:fillRect/>
        </a:stretch>
      </xdr:blipFill>
      <xdr:spPr>
        <a:xfrm>
          <a:off x="6882812" y="397008"/>
          <a:ext cx="6644147" cy="5654168"/>
        </a:xfrm>
        <a:prstGeom prst="rect">
          <a:avLst/>
        </a:prstGeom>
      </xdr:spPr>
    </xdr:pic>
    <xdr:clientData/>
  </xdr:twoCellAnchor>
  <xdr:twoCellAnchor>
    <xdr:from>
      <xdr:col>16</xdr:col>
      <xdr:colOff>204106</xdr:colOff>
      <xdr:row>141</xdr:row>
      <xdr:rowOff>0</xdr:rowOff>
    </xdr:from>
    <xdr:to>
      <xdr:col>31</xdr:col>
      <xdr:colOff>612320</xdr:colOff>
      <xdr:row>169</xdr:row>
      <xdr:rowOff>0</xdr:rowOff>
    </xdr:to>
    <xdr:graphicFrame macro="">
      <xdr:nvGraphicFramePr>
        <xdr:cNvPr id="3" name="Chart 2">
          <a:extLst>
            <a:ext uri="{FF2B5EF4-FFF2-40B4-BE49-F238E27FC236}">
              <a16:creationId xmlns:a16="http://schemas.microsoft.com/office/drawing/2014/main" id="{86FE12D1-CC55-4E93-A3BA-7D1CC30A58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3</xdr:row>
      <xdr:rowOff>104775</xdr:rowOff>
    </xdr:from>
    <xdr:to>
      <xdr:col>5</xdr:col>
      <xdr:colOff>1476375</xdr:colOff>
      <xdr:row>3</xdr:row>
      <xdr:rowOff>104775</xdr:rowOff>
    </xdr:to>
    <xdr:cxnSp macro="">
      <xdr:nvCxnSpPr>
        <xdr:cNvPr id="2" name="Straight Connector 1">
          <a:extLst>
            <a:ext uri="{FF2B5EF4-FFF2-40B4-BE49-F238E27FC236}">
              <a16:creationId xmlns:a16="http://schemas.microsoft.com/office/drawing/2014/main" id="{E3BB28D5-77DE-4259-87BE-6E9833AE39F2}"/>
            </a:ext>
          </a:extLst>
        </xdr:cNvPr>
        <xdr:cNvCxnSpPr/>
      </xdr:nvCxnSpPr>
      <xdr:spPr>
        <a:xfrm>
          <a:off x="238125" y="666750"/>
          <a:ext cx="10020300"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1</xdr:col>
      <xdr:colOff>304800</xdr:colOff>
      <xdr:row>6</xdr:row>
      <xdr:rowOff>304800</xdr:rowOff>
    </xdr:to>
    <xdr:sp macro="" textlink="">
      <xdr:nvSpPr>
        <xdr:cNvPr id="6145" name="AutoShape 1" descr="Tombstone">
          <a:extLst>
            <a:ext uri="{FF2B5EF4-FFF2-40B4-BE49-F238E27FC236}">
              <a16:creationId xmlns:a16="http://schemas.microsoft.com/office/drawing/2014/main" id="{F69FDBDE-568B-7B4B-EEF8-4046010B6FA2}"/>
            </a:ext>
          </a:extLst>
        </xdr:cNvPr>
        <xdr:cNvSpPr>
          <a:spLocks noChangeAspect="1" noChangeArrowheads="1"/>
        </xdr:cNvSpPr>
      </xdr:nvSpPr>
      <xdr:spPr bwMode="auto">
        <a:xfrm>
          <a:off x="200025" y="609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xdr:row>
      <xdr:rowOff>0</xdr:rowOff>
    </xdr:from>
    <xdr:to>
      <xdr:col>1</xdr:col>
      <xdr:colOff>304800</xdr:colOff>
      <xdr:row>12</xdr:row>
      <xdr:rowOff>304800</xdr:rowOff>
    </xdr:to>
    <xdr:sp macro="" textlink="">
      <xdr:nvSpPr>
        <xdr:cNvPr id="6146" name="AutoShape 2" descr="Tombstone">
          <a:extLst>
            <a:ext uri="{FF2B5EF4-FFF2-40B4-BE49-F238E27FC236}">
              <a16:creationId xmlns:a16="http://schemas.microsoft.com/office/drawing/2014/main" id="{446A678F-FE7C-2CA0-7389-74EB6F824146}"/>
            </a:ext>
          </a:extLst>
        </xdr:cNvPr>
        <xdr:cNvSpPr>
          <a:spLocks noChangeAspect="1" noChangeArrowheads="1"/>
        </xdr:cNvSpPr>
      </xdr:nvSpPr>
      <xdr:spPr bwMode="auto">
        <a:xfrm>
          <a:off x="200025" y="12639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xdr:row>
      <xdr:rowOff>0</xdr:rowOff>
    </xdr:from>
    <xdr:to>
      <xdr:col>1</xdr:col>
      <xdr:colOff>304800</xdr:colOff>
      <xdr:row>18</xdr:row>
      <xdr:rowOff>304800</xdr:rowOff>
    </xdr:to>
    <xdr:sp macro="" textlink="">
      <xdr:nvSpPr>
        <xdr:cNvPr id="6147" name="AutoShape 3" descr="Tombstone">
          <a:extLst>
            <a:ext uri="{FF2B5EF4-FFF2-40B4-BE49-F238E27FC236}">
              <a16:creationId xmlns:a16="http://schemas.microsoft.com/office/drawing/2014/main" id="{85195F22-0BF0-D9C9-4A83-42E8575A49D3}"/>
            </a:ext>
          </a:extLst>
        </xdr:cNvPr>
        <xdr:cNvSpPr>
          <a:spLocks noChangeAspect="1" noChangeArrowheads="1"/>
        </xdr:cNvSpPr>
      </xdr:nvSpPr>
      <xdr:spPr bwMode="auto">
        <a:xfrm>
          <a:off x="200025" y="19373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xdr:row>
      <xdr:rowOff>0</xdr:rowOff>
    </xdr:from>
    <xdr:to>
      <xdr:col>1</xdr:col>
      <xdr:colOff>304800</xdr:colOff>
      <xdr:row>24</xdr:row>
      <xdr:rowOff>304800</xdr:rowOff>
    </xdr:to>
    <xdr:sp macro="" textlink="">
      <xdr:nvSpPr>
        <xdr:cNvPr id="6148" name="AutoShape 4" descr="Tombstone">
          <a:extLst>
            <a:ext uri="{FF2B5EF4-FFF2-40B4-BE49-F238E27FC236}">
              <a16:creationId xmlns:a16="http://schemas.microsoft.com/office/drawing/2014/main" id="{26496DEA-8BDE-D6DC-726C-619DBB526A7B}"/>
            </a:ext>
          </a:extLst>
        </xdr:cNvPr>
        <xdr:cNvSpPr>
          <a:spLocks noChangeAspect="1" noChangeArrowheads="1"/>
        </xdr:cNvSpPr>
      </xdr:nvSpPr>
      <xdr:spPr bwMode="auto">
        <a:xfrm>
          <a:off x="200025" y="25917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xdr:row>
      <xdr:rowOff>0</xdr:rowOff>
    </xdr:from>
    <xdr:to>
      <xdr:col>1</xdr:col>
      <xdr:colOff>304800</xdr:colOff>
      <xdr:row>29</xdr:row>
      <xdr:rowOff>304800</xdr:rowOff>
    </xdr:to>
    <xdr:sp macro="" textlink="">
      <xdr:nvSpPr>
        <xdr:cNvPr id="6149" name="AutoShape 5" descr="Tombstone">
          <a:extLst>
            <a:ext uri="{FF2B5EF4-FFF2-40B4-BE49-F238E27FC236}">
              <a16:creationId xmlns:a16="http://schemas.microsoft.com/office/drawing/2014/main" id="{C6301331-13EB-83EB-0D38-AD67AF9DB383}"/>
            </a:ext>
          </a:extLst>
        </xdr:cNvPr>
        <xdr:cNvSpPr>
          <a:spLocks noChangeAspect="1" noChangeArrowheads="1"/>
        </xdr:cNvSpPr>
      </xdr:nvSpPr>
      <xdr:spPr bwMode="auto">
        <a:xfrm>
          <a:off x="200025" y="32146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xdr:row>
      <xdr:rowOff>0</xdr:rowOff>
    </xdr:from>
    <xdr:to>
      <xdr:col>1</xdr:col>
      <xdr:colOff>304800</xdr:colOff>
      <xdr:row>35</xdr:row>
      <xdr:rowOff>304800</xdr:rowOff>
    </xdr:to>
    <xdr:sp macro="" textlink="">
      <xdr:nvSpPr>
        <xdr:cNvPr id="6150" name="AutoShape 6" descr="Tombstone">
          <a:extLst>
            <a:ext uri="{FF2B5EF4-FFF2-40B4-BE49-F238E27FC236}">
              <a16:creationId xmlns:a16="http://schemas.microsoft.com/office/drawing/2014/main" id="{77029F0D-CD38-F9B4-0EB2-C8583602BFF0}"/>
            </a:ext>
          </a:extLst>
        </xdr:cNvPr>
        <xdr:cNvSpPr>
          <a:spLocks noChangeAspect="1" noChangeArrowheads="1"/>
        </xdr:cNvSpPr>
      </xdr:nvSpPr>
      <xdr:spPr bwMode="auto">
        <a:xfrm>
          <a:off x="200025" y="38881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xdr:row>
      <xdr:rowOff>0</xdr:rowOff>
    </xdr:from>
    <xdr:to>
      <xdr:col>1</xdr:col>
      <xdr:colOff>304800</xdr:colOff>
      <xdr:row>41</xdr:row>
      <xdr:rowOff>304800</xdr:rowOff>
    </xdr:to>
    <xdr:sp macro="" textlink="">
      <xdr:nvSpPr>
        <xdr:cNvPr id="6151" name="AutoShape 7" descr="Tombstone">
          <a:extLst>
            <a:ext uri="{FF2B5EF4-FFF2-40B4-BE49-F238E27FC236}">
              <a16:creationId xmlns:a16="http://schemas.microsoft.com/office/drawing/2014/main" id="{87142153-037C-631C-D526-3FAF1EB8A09C}"/>
            </a:ext>
          </a:extLst>
        </xdr:cNvPr>
        <xdr:cNvSpPr>
          <a:spLocks noChangeAspect="1" noChangeArrowheads="1"/>
        </xdr:cNvSpPr>
      </xdr:nvSpPr>
      <xdr:spPr bwMode="auto">
        <a:xfrm>
          <a:off x="200025" y="44376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xdr:row>
      <xdr:rowOff>0</xdr:rowOff>
    </xdr:from>
    <xdr:to>
      <xdr:col>1</xdr:col>
      <xdr:colOff>304800</xdr:colOff>
      <xdr:row>47</xdr:row>
      <xdr:rowOff>304800</xdr:rowOff>
    </xdr:to>
    <xdr:sp macro="" textlink="">
      <xdr:nvSpPr>
        <xdr:cNvPr id="6152" name="AutoShape 8" descr="Tombstone">
          <a:extLst>
            <a:ext uri="{FF2B5EF4-FFF2-40B4-BE49-F238E27FC236}">
              <a16:creationId xmlns:a16="http://schemas.microsoft.com/office/drawing/2014/main" id="{2FF98F3B-9196-46FD-5B9B-725A4DC152FE}"/>
            </a:ext>
          </a:extLst>
        </xdr:cNvPr>
        <xdr:cNvSpPr>
          <a:spLocks noChangeAspect="1" noChangeArrowheads="1"/>
        </xdr:cNvSpPr>
      </xdr:nvSpPr>
      <xdr:spPr bwMode="auto">
        <a:xfrm>
          <a:off x="200025" y="50606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xdr:row>
      <xdr:rowOff>0</xdr:rowOff>
    </xdr:from>
    <xdr:to>
      <xdr:col>1</xdr:col>
      <xdr:colOff>304800</xdr:colOff>
      <xdr:row>53</xdr:row>
      <xdr:rowOff>304800</xdr:rowOff>
    </xdr:to>
    <xdr:sp macro="" textlink="">
      <xdr:nvSpPr>
        <xdr:cNvPr id="6153" name="AutoShape 9" descr="Tombstone">
          <a:extLst>
            <a:ext uri="{FF2B5EF4-FFF2-40B4-BE49-F238E27FC236}">
              <a16:creationId xmlns:a16="http://schemas.microsoft.com/office/drawing/2014/main" id="{6A87D55D-824A-7818-A48D-5EA0B4637C9B}"/>
            </a:ext>
          </a:extLst>
        </xdr:cNvPr>
        <xdr:cNvSpPr>
          <a:spLocks noChangeAspect="1" noChangeArrowheads="1"/>
        </xdr:cNvSpPr>
      </xdr:nvSpPr>
      <xdr:spPr bwMode="auto">
        <a:xfrm>
          <a:off x="200025" y="55378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xdr:row>
      <xdr:rowOff>0</xdr:rowOff>
    </xdr:from>
    <xdr:to>
      <xdr:col>1</xdr:col>
      <xdr:colOff>304800</xdr:colOff>
      <xdr:row>59</xdr:row>
      <xdr:rowOff>304800</xdr:rowOff>
    </xdr:to>
    <xdr:sp macro="" textlink="">
      <xdr:nvSpPr>
        <xdr:cNvPr id="6154" name="AutoShape 10" descr="Tombstone">
          <a:extLst>
            <a:ext uri="{FF2B5EF4-FFF2-40B4-BE49-F238E27FC236}">
              <a16:creationId xmlns:a16="http://schemas.microsoft.com/office/drawing/2014/main" id="{05FBC828-8AE1-04D4-DD89-C9F5AB2819D0}"/>
            </a:ext>
          </a:extLst>
        </xdr:cNvPr>
        <xdr:cNvSpPr>
          <a:spLocks noChangeAspect="1" noChangeArrowheads="1"/>
        </xdr:cNvSpPr>
      </xdr:nvSpPr>
      <xdr:spPr bwMode="auto">
        <a:xfrm>
          <a:off x="200025" y="61922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64</xdr:row>
      <xdr:rowOff>0</xdr:rowOff>
    </xdr:from>
    <xdr:to>
      <xdr:col>1</xdr:col>
      <xdr:colOff>304800</xdr:colOff>
      <xdr:row>64</xdr:row>
      <xdr:rowOff>304800</xdr:rowOff>
    </xdr:to>
    <xdr:sp macro="" textlink="">
      <xdr:nvSpPr>
        <xdr:cNvPr id="6155" name="AutoShape 11" descr="Tombstone">
          <a:extLst>
            <a:ext uri="{FF2B5EF4-FFF2-40B4-BE49-F238E27FC236}">
              <a16:creationId xmlns:a16="http://schemas.microsoft.com/office/drawing/2014/main" id="{2302C50B-DEF1-D4AC-DA45-F4F6DF0A2387}"/>
            </a:ext>
          </a:extLst>
        </xdr:cNvPr>
        <xdr:cNvSpPr>
          <a:spLocks noChangeAspect="1" noChangeArrowheads="1"/>
        </xdr:cNvSpPr>
      </xdr:nvSpPr>
      <xdr:spPr bwMode="auto">
        <a:xfrm>
          <a:off x="200025" y="6724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xdr:row>
      <xdr:rowOff>0</xdr:rowOff>
    </xdr:from>
    <xdr:to>
      <xdr:col>1</xdr:col>
      <xdr:colOff>304800</xdr:colOff>
      <xdr:row>70</xdr:row>
      <xdr:rowOff>304800</xdr:rowOff>
    </xdr:to>
    <xdr:sp macro="" textlink="">
      <xdr:nvSpPr>
        <xdr:cNvPr id="6156" name="AutoShape 12" descr="Tombstone">
          <a:extLst>
            <a:ext uri="{FF2B5EF4-FFF2-40B4-BE49-F238E27FC236}">
              <a16:creationId xmlns:a16="http://schemas.microsoft.com/office/drawing/2014/main" id="{7660B2A0-5C42-5AC4-DD82-38DD4B2DE645}"/>
            </a:ext>
          </a:extLst>
        </xdr:cNvPr>
        <xdr:cNvSpPr>
          <a:spLocks noChangeAspect="1" noChangeArrowheads="1"/>
        </xdr:cNvSpPr>
      </xdr:nvSpPr>
      <xdr:spPr bwMode="auto">
        <a:xfrm>
          <a:off x="200025" y="73790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xdr:row>
      <xdr:rowOff>0</xdr:rowOff>
    </xdr:from>
    <xdr:to>
      <xdr:col>1</xdr:col>
      <xdr:colOff>304800</xdr:colOff>
      <xdr:row>76</xdr:row>
      <xdr:rowOff>304800</xdr:rowOff>
    </xdr:to>
    <xdr:sp macro="" textlink="">
      <xdr:nvSpPr>
        <xdr:cNvPr id="6157" name="AutoShape 13" descr="Tombstone">
          <a:extLst>
            <a:ext uri="{FF2B5EF4-FFF2-40B4-BE49-F238E27FC236}">
              <a16:creationId xmlns:a16="http://schemas.microsoft.com/office/drawing/2014/main" id="{8CE909D2-6BE7-B94B-ED62-A5332182DD90}"/>
            </a:ext>
          </a:extLst>
        </xdr:cNvPr>
        <xdr:cNvSpPr>
          <a:spLocks noChangeAspect="1" noChangeArrowheads="1"/>
        </xdr:cNvSpPr>
      </xdr:nvSpPr>
      <xdr:spPr bwMode="auto">
        <a:xfrm>
          <a:off x="200025" y="80333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xdr:row>
      <xdr:rowOff>0</xdr:rowOff>
    </xdr:from>
    <xdr:to>
      <xdr:col>1</xdr:col>
      <xdr:colOff>304800</xdr:colOff>
      <xdr:row>82</xdr:row>
      <xdr:rowOff>304800</xdr:rowOff>
    </xdr:to>
    <xdr:sp macro="" textlink="">
      <xdr:nvSpPr>
        <xdr:cNvPr id="6158" name="AutoShape 14" descr="Tombstone">
          <a:extLst>
            <a:ext uri="{FF2B5EF4-FFF2-40B4-BE49-F238E27FC236}">
              <a16:creationId xmlns:a16="http://schemas.microsoft.com/office/drawing/2014/main" id="{DEEAE040-5A95-E4E7-5429-355F22CC1F6C}"/>
            </a:ext>
          </a:extLst>
        </xdr:cNvPr>
        <xdr:cNvSpPr>
          <a:spLocks noChangeAspect="1" noChangeArrowheads="1"/>
        </xdr:cNvSpPr>
      </xdr:nvSpPr>
      <xdr:spPr bwMode="auto">
        <a:xfrm>
          <a:off x="200025" y="87068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87</xdr:row>
      <xdr:rowOff>0</xdr:rowOff>
    </xdr:from>
    <xdr:to>
      <xdr:col>1</xdr:col>
      <xdr:colOff>304800</xdr:colOff>
      <xdr:row>87</xdr:row>
      <xdr:rowOff>304800</xdr:rowOff>
    </xdr:to>
    <xdr:sp macro="" textlink="">
      <xdr:nvSpPr>
        <xdr:cNvPr id="6159" name="AutoShape 15" descr="Tombstone">
          <a:extLst>
            <a:ext uri="{FF2B5EF4-FFF2-40B4-BE49-F238E27FC236}">
              <a16:creationId xmlns:a16="http://schemas.microsoft.com/office/drawing/2014/main" id="{A1B9530A-F7BD-DB55-5F15-52FEC451E2CA}"/>
            </a:ext>
          </a:extLst>
        </xdr:cNvPr>
        <xdr:cNvSpPr>
          <a:spLocks noChangeAspect="1" noChangeArrowheads="1"/>
        </xdr:cNvSpPr>
      </xdr:nvSpPr>
      <xdr:spPr bwMode="auto">
        <a:xfrm>
          <a:off x="200025" y="93802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xdr:row>
      <xdr:rowOff>0</xdr:rowOff>
    </xdr:from>
    <xdr:to>
      <xdr:col>1</xdr:col>
      <xdr:colOff>304800</xdr:colOff>
      <xdr:row>93</xdr:row>
      <xdr:rowOff>304800</xdr:rowOff>
    </xdr:to>
    <xdr:sp macro="" textlink="">
      <xdr:nvSpPr>
        <xdr:cNvPr id="6160" name="AutoShape 16" descr="Tombstone">
          <a:extLst>
            <a:ext uri="{FF2B5EF4-FFF2-40B4-BE49-F238E27FC236}">
              <a16:creationId xmlns:a16="http://schemas.microsoft.com/office/drawing/2014/main" id="{71505159-4DB7-D380-70B1-DCEEA3A29237}"/>
            </a:ext>
          </a:extLst>
        </xdr:cNvPr>
        <xdr:cNvSpPr>
          <a:spLocks noChangeAspect="1" noChangeArrowheads="1"/>
        </xdr:cNvSpPr>
      </xdr:nvSpPr>
      <xdr:spPr bwMode="auto">
        <a:xfrm>
          <a:off x="200025" y="100345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99</xdr:row>
      <xdr:rowOff>0</xdr:rowOff>
    </xdr:from>
    <xdr:to>
      <xdr:col>1</xdr:col>
      <xdr:colOff>304800</xdr:colOff>
      <xdr:row>99</xdr:row>
      <xdr:rowOff>304800</xdr:rowOff>
    </xdr:to>
    <xdr:sp macro="" textlink="">
      <xdr:nvSpPr>
        <xdr:cNvPr id="6161" name="AutoShape 17" descr="Tombstone">
          <a:extLst>
            <a:ext uri="{FF2B5EF4-FFF2-40B4-BE49-F238E27FC236}">
              <a16:creationId xmlns:a16="http://schemas.microsoft.com/office/drawing/2014/main" id="{E5DFDB84-4503-2A02-56AD-516D5265B577}"/>
            </a:ext>
          </a:extLst>
        </xdr:cNvPr>
        <xdr:cNvSpPr>
          <a:spLocks noChangeAspect="1" noChangeArrowheads="1"/>
        </xdr:cNvSpPr>
      </xdr:nvSpPr>
      <xdr:spPr bwMode="auto">
        <a:xfrm>
          <a:off x="200025" y="10688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xdr:row>
      <xdr:rowOff>0</xdr:rowOff>
    </xdr:from>
    <xdr:to>
      <xdr:col>1</xdr:col>
      <xdr:colOff>304800</xdr:colOff>
      <xdr:row>105</xdr:row>
      <xdr:rowOff>304800</xdr:rowOff>
    </xdr:to>
    <xdr:sp macro="" textlink="">
      <xdr:nvSpPr>
        <xdr:cNvPr id="6162" name="AutoShape 18" descr="Tombstone">
          <a:extLst>
            <a:ext uri="{FF2B5EF4-FFF2-40B4-BE49-F238E27FC236}">
              <a16:creationId xmlns:a16="http://schemas.microsoft.com/office/drawing/2014/main" id="{F13A2A68-EBCC-AA88-EF27-36B1848AFDD1}"/>
            </a:ext>
          </a:extLst>
        </xdr:cNvPr>
        <xdr:cNvSpPr>
          <a:spLocks noChangeAspect="1" noChangeArrowheads="1"/>
        </xdr:cNvSpPr>
      </xdr:nvSpPr>
      <xdr:spPr bwMode="auto">
        <a:xfrm>
          <a:off x="200025" y="113623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xdr:row>
      <xdr:rowOff>0</xdr:rowOff>
    </xdr:from>
    <xdr:to>
      <xdr:col>1</xdr:col>
      <xdr:colOff>304800</xdr:colOff>
      <xdr:row>111</xdr:row>
      <xdr:rowOff>304800</xdr:rowOff>
    </xdr:to>
    <xdr:sp macro="" textlink="">
      <xdr:nvSpPr>
        <xdr:cNvPr id="6163" name="AutoShape 19" descr="Tombstone">
          <a:extLst>
            <a:ext uri="{FF2B5EF4-FFF2-40B4-BE49-F238E27FC236}">
              <a16:creationId xmlns:a16="http://schemas.microsoft.com/office/drawing/2014/main" id="{1E860E62-69D2-A770-AB1F-9D8EF6F0B3F2}"/>
            </a:ext>
          </a:extLst>
        </xdr:cNvPr>
        <xdr:cNvSpPr>
          <a:spLocks noChangeAspect="1" noChangeArrowheads="1"/>
        </xdr:cNvSpPr>
      </xdr:nvSpPr>
      <xdr:spPr bwMode="auto">
        <a:xfrm>
          <a:off x="200025" y="120357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xdr:row>
      <xdr:rowOff>0</xdr:rowOff>
    </xdr:from>
    <xdr:to>
      <xdr:col>1</xdr:col>
      <xdr:colOff>304800</xdr:colOff>
      <xdr:row>117</xdr:row>
      <xdr:rowOff>304800</xdr:rowOff>
    </xdr:to>
    <xdr:sp macro="" textlink="">
      <xdr:nvSpPr>
        <xdr:cNvPr id="6164" name="AutoShape 20" descr="Tombstone">
          <a:extLst>
            <a:ext uri="{FF2B5EF4-FFF2-40B4-BE49-F238E27FC236}">
              <a16:creationId xmlns:a16="http://schemas.microsoft.com/office/drawing/2014/main" id="{A2B1F40A-A97D-1E97-A238-E067E281AF57}"/>
            </a:ext>
          </a:extLst>
        </xdr:cNvPr>
        <xdr:cNvSpPr>
          <a:spLocks noChangeAspect="1" noChangeArrowheads="1"/>
        </xdr:cNvSpPr>
      </xdr:nvSpPr>
      <xdr:spPr bwMode="auto">
        <a:xfrm>
          <a:off x="200025" y="127473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xdr:row>
      <xdr:rowOff>0</xdr:rowOff>
    </xdr:from>
    <xdr:to>
      <xdr:col>1</xdr:col>
      <xdr:colOff>304800</xdr:colOff>
      <xdr:row>123</xdr:row>
      <xdr:rowOff>304800</xdr:rowOff>
    </xdr:to>
    <xdr:sp macro="" textlink="">
      <xdr:nvSpPr>
        <xdr:cNvPr id="6165" name="AutoShape 21" descr="Tombstone">
          <a:extLst>
            <a:ext uri="{FF2B5EF4-FFF2-40B4-BE49-F238E27FC236}">
              <a16:creationId xmlns:a16="http://schemas.microsoft.com/office/drawing/2014/main" id="{6595F11B-5C37-1415-1468-A55A83D45046}"/>
            </a:ext>
          </a:extLst>
        </xdr:cNvPr>
        <xdr:cNvSpPr>
          <a:spLocks noChangeAspect="1" noChangeArrowheads="1"/>
        </xdr:cNvSpPr>
      </xdr:nvSpPr>
      <xdr:spPr bwMode="auto">
        <a:xfrm>
          <a:off x="200025" y="133826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xdr:row>
      <xdr:rowOff>0</xdr:rowOff>
    </xdr:from>
    <xdr:to>
      <xdr:col>1</xdr:col>
      <xdr:colOff>304800</xdr:colOff>
      <xdr:row>128</xdr:row>
      <xdr:rowOff>304800</xdr:rowOff>
    </xdr:to>
    <xdr:sp macro="" textlink="">
      <xdr:nvSpPr>
        <xdr:cNvPr id="6166" name="AutoShape 22" descr="Tombstone">
          <a:extLst>
            <a:ext uri="{FF2B5EF4-FFF2-40B4-BE49-F238E27FC236}">
              <a16:creationId xmlns:a16="http://schemas.microsoft.com/office/drawing/2014/main" id="{7EC350D6-38CE-8B81-C766-4220E9EA4C83}"/>
            </a:ext>
          </a:extLst>
        </xdr:cNvPr>
        <xdr:cNvSpPr>
          <a:spLocks noChangeAspect="1" noChangeArrowheads="1"/>
        </xdr:cNvSpPr>
      </xdr:nvSpPr>
      <xdr:spPr bwMode="auto">
        <a:xfrm>
          <a:off x="200025" y="140750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134</xdr:row>
      <xdr:rowOff>0</xdr:rowOff>
    </xdr:from>
    <xdr:to>
      <xdr:col>1</xdr:col>
      <xdr:colOff>304800</xdr:colOff>
      <xdr:row>134</xdr:row>
      <xdr:rowOff>304800</xdr:rowOff>
    </xdr:to>
    <xdr:sp macro="" textlink="">
      <xdr:nvSpPr>
        <xdr:cNvPr id="6167" name="AutoShape 23" descr="Tombstone">
          <a:extLst>
            <a:ext uri="{FF2B5EF4-FFF2-40B4-BE49-F238E27FC236}">
              <a16:creationId xmlns:a16="http://schemas.microsoft.com/office/drawing/2014/main" id="{E140F852-C86C-24DD-91D0-5AE50D278225}"/>
            </a:ext>
          </a:extLst>
        </xdr:cNvPr>
        <xdr:cNvSpPr>
          <a:spLocks noChangeAspect="1" noChangeArrowheads="1"/>
        </xdr:cNvSpPr>
      </xdr:nvSpPr>
      <xdr:spPr bwMode="auto">
        <a:xfrm>
          <a:off x="200025" y="147294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140</xdr:row>
      <xdr:rowOff>0</xdr:rowOff>
    </xdr:from>
    <xdr:to>
      <xdr:col>1</xdr:col>
      <xdr:colOff>304800</xdr:colOff>
      <xdr:row>140</xdr:row>
      <xdr:rowOff>304800</xdr:rowOff>
    </xdr:to>
    <xdr:sp macro="" textlink="">
      <xdr:nvSpPr>
        <xdr:cNvPr id="6168" name="AutoShape 24" descr="Tombstone">
          <a:extLst>
            <a:ext uri="{FF2B5EF4-FFF2-40B4-BE49-F238E27FC236}">
              <a16:creationId xmlns:a16="http://schemas.microsoft.com/office/drawing/2014/main" id="{9463080B-7444-6213-A8B5-E6226BB9BEE2}"/>
            </a:ext>
          </a:extLst>
        </xdr:cNvPr>
        <xdr:cNvSpPr>
          <a:spLocks noChangeAspect="1" noChangeArrowheads="1"/>
        </xdr:cNvSpPr>
      </xdr:nvSpPr>
      <xdr:spPr bwMode="auto">
        <a:xfrm>
          <a:off x="200025" y="153838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146</xdr:row>
      <xdr:rowOff>0</xdr:rowOff>
    </xdr:from>
    <xdr:to>
      <xdr:col>1</xdr:col>
      <xdr:colOff>304800</xdr:colOff>
      <xdr:row>146</xdr:row>
      <xdr:rowOff>304800</xdr:rowOff>
    </xdr:to>
    <xdr:sp macro="" textlink="">
      <xdr:nvSpPr>
        <xdr:cNvPr id="6169" name="AutoShape 25" descr="Tombstone">
          <a:extLst>
            <a:ext uri="{FF2B5EF4-FFF2-40B4-BE49-F238E27FC236}">
              <a16:creationId xmlns:a16="http://schemas.microsoft.com/office/drawing/2014/main" id="{6437FB9A-A514-2756-3F91-D577198AF018}"/>
            </a:ext>
          </a:extLst>
        </xdr:cNvPr>
        <xdr:cNvSpPr>
          <a:spLocks noChangeAspect="1" noChangeArrowheads="1"/>
        </xdr:cNvSpPr>
      </xdr:nvSpPr>
      <xdr:spPr bwMode="auto">
        <a:xfrm>
          <a:off x="200025" y="160381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xdr:row>
      <xdr:rowOff>0</xdr:rowOff>
    </xdr:from>
    <xdr:to>
      <xdr:col>1</xdr:col>
      <xdr:colOff>304800</xdr:colOff>
      <xdr:row>152</xdr:row>
      <xdr:rowOff>304800</xdr:rowOff>
    </xdr:to>
    <xdr:sp macro="" textlink="">
      <xdr:nvSpPr>
        <xdr:cNvPr id="6170" name="AutoShape 26" descr="Tombstone">
          <a:extLst>
            <a:ext uri="{FF2B5EF4-FFF2-40B4-BE49-F238E27FC236}">
              <a16:creationId xmlns:a16="http://schemas.microsoft.com/office/drawing/2014/main" id="{673E1B81-5AC1-B773-2227-107576045A75}"/>
            </a:ext>
          </a:extLst>
        </xdr:cNvPr>
        <xdr:cNvSpPr>
          <a:spLocks noChangeAspect="1" noChangeArrowheads="1"/>
        </xdr:cNvSpPr>
      </xdr:nvSpPr>
      <xdr:spPr bwMode="auto">
        <a:xfrm>
          <a:off x="200025" y="165515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158</xdr:row>
      <xdr:rowOff>0</xdr:rowOff>
    </xdr:from>
    <xdr:to>
      <xdr:col>1</xdr:col>
      <xdr:colOff>304800</xdr:colOff>
      <xdr:row>158</xdr:row>
      <xdr:rowOff>304800</xdr:rowOff>
    </xdr:to>
    <xdr:sp macro="" textlink="">
      <xdr:nvSpPr>
        <xdr:cNvPr id="6171" name="AutoShape 27" descr="Tombstone">
          <a:extLst>
            <a:ext uri="{FF2B5EF4-FFF2-40B4-BE49-F238E27FC236}">
              <a16:creationId xmlns:a16="http://schemas.microsoft.com/office/drawing/2014/main" id="{45A49C5F-F194-3FD8-D536-AF9EAC120B15}"/>
            </a:ext>
          </a:extLst>
        </xdr:cNvPr>
        <xdr:cNvSpPr>
          <a:spLocks noChangeAspect="1" noChangeArrowheads="1"/>
        </xdr:cNvSpPr>
      </xdr:nvSpPr>
      <xdr:spPr bwMode="auto">
        <a:xfrm>
          <a:off x="200025" y="17225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164</xdr:row>
      <xdr:rowOff>0</xdr:rowOff>
    </xdr:from>
    <xdr:to>
      <xdr:col>1</xdr:col>
      <xdr:colOff>304800</xdr:colOff>
      <xdr:row>164</xdr:row>
      <xdr:rowOff>304800</xdr:rowOff>
    </xdr:to>
    <xdr:sp macro="" textlink="">
      <xdr:nvSpPr>
        <xdr:cNvPr id="6172" name="AutoShape 28" descr="Tombstone">
          <a:extLst>
            <a:ext uri="{FF2B5EF4-FFF2-40B4-BE49-F238E27FC236}">
              <a16:creationId xmlns:a16="http://schemas.microsoft.com/office/drawing/2014/main" id="{6EF8B479-8E21-FA43-DF14-B5A77825285C}"/>
            </a:ext>
          </a:extLst>
        </xdr:cNvPr>
        <xdr:cNvSpPr>
          <a:spLocks noChangeAspect="1" noChangeArrowheads="1"/>
        </xdr:cNvSpPr>
      </xdr:nvSpPr>
      <xdr:spPr bwMode="auto">
        <a:xfrm>
          <a:off x="200025" y="177584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169</xdr:row>
      <xdr:rowOff>0</xdr:rowOff>
    </xdr:from>
    <xdr:to>
      <xdr:col>1</xdr:col>
      <xdr:colOff>304800</xdr:colOff>
      <xdr:row>169</xdr:row>
      <xdr:rowOff>304800</xdr:rowOff>
    </xdr:to>
    <xdr:sp macro="" textlink="">
      <xdr:nvSpPr>
        <xdr:cNvPr id="6173" name="AutoShape 29" descr="Tombstone">
          <a:extLst>
            <a:ext uri="{FF2B5EF4-FFF2-40B4-BE49-F238E27FC236}">
              <a16:creationId xmlns:a16="http://schemas.microsoft.com/office/drawing/2014/main" id="{59287BA9-240B-AB55-FA31-C028C118E99B}"/>
            </a:ext>
          </a:extLst>
        </xdr:cNvPr>
        <xdr:cNvSpPr>
          <a:spLocks noChangeAspect="1" noChangeArrowheads="1"/>
        </xdr:cNvSpPr>
      </xdr:nvSpPr>
      <xdr:spPr bwMode="auto">
        <a:xfrm>
          <a:off x="200025" y="184127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175</xdr:row>
      <xdr:rowOff>0</xdr:rowOff>
    </xdr:from>
    <xdr:to>
      <xdr:col>1</xdr:col>
      <xdr:colOff>304800</xdr:colOff>
      <xdr:row>175</xdr:row>
      <xdr:rowOff>304800</xdr:rowOff>
    </xdr:to>
    <xdr:sp macro="" textlink="">
      <xdr:nvSpPr>
        <xdr:cNvPr id="6174" name="AutoShape 30" descr="Tombstone">
          <a:extLst>
            <a:ext uri="{FF2B5EF4-FFF2-40B4-BE49-F238E27FC236}">
              <a16:creationId xmlns:a16="http://schemas.microsoft.com/office/drawing/2014/main" id="{AECE0DC4-E567-043D-2830-6B66ACB49DD9}"/>
            </a:ext>
          </a:extLst>
        </xdr:cNvPr>
        <xdr:cNvSpPr>
          <a:spLocks noChangeAspect="1" noChangeArrowheads="1"/>
        </xdr:cNvSpPr>
      </xdr:nvSpPr>
      <xdr:spPr bwMode="auto">
        <a:xfrm>
          <a:off x="200025" y="190671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181</xdr:row>
      <xdr:rowOff>0</xdr:rowOff>
    </xdr:from>
    <xdr:to>
      <xdr:col>1</xdr:col>
      <xdr:colOff>304800</xdr:colOff>
      <xdr:row>181</xdr:row>
      <xdr:rowOff>304800</xdr:rowOff>
    </xdr:to>
    <xdr:sp macro="" textlink="">
      <xdr:nvSpPr>
        <xdr:cNvPr id="6175" name="AutoShape 31" descr="Tombstone">
          <a:extLst>
            <a:ext uri="{FF2B5EF4-FFF2-40B4-BE49-F238E27FC236}">
              <a16:creationId xmlns:a16="http://schemas.microsoft.com/office/drawing/2014/main" id="{9EFE87AE-BAC3-A7B3-C309-3182615BC83C}"/>
            </a:ext>
          </a:extLst>
        </xdr:cNvPr>
        <xdr:cNvSpPr>
          <a:spLocks noChangeAspect="1" noChangeArrowheads="1"/>
        </xdr:cNvSpPr>
      </xdr:nvSpPr>
      <xdr:spPr bwMode="auto">
        <a:xfrm>
          <a:off x="200025" y="197596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187</xdr:row>
      <xdr:rowOff>0</xdr:rowOff>
    </xdr:from>
    <xdr:to>
      <xdr:col>1</xdr:col>
      <xdr:colOff>304800</xdr:colOff>
      <xdr:row>187</xdr:row>
      <xdr:rowOff>304800</xdr:rowOff>
    </xdr:to>
    <xdr:sp macro="" textlink="">
      <xdr:nvSpPr>
        <xdr:cNvPr id="6176" name="AutoShape 32" descr="Tombstone">
          <a:extLst>
            <a:ext uri="{FF2B5EF4-FFF2-40B4-BE49-F238E27FC236}">
              <a16:creationId xmlns:a16="http://schemas.microsoft.com/office/drawing/2014/main" id="{D7C77369-E3CC-BDB3-79B7-731624757236}"/>
            </a:ext>
          </a:extLst>
        </xdr:cNvPr>
        <xdr:cNvSpPr>
          <a:spLocks noChangeAspect="1" noChangeArrowheads="1"/>
        </xdr:cNvSpPr>
      </xdr:nvSpPr>
      <xdr:spPr bwMode="auto">
        <a:xfrm>
          <a:off x="200025" y="20433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193</xdr:row>
      <xdr:rowOff>0</xdr:rowOff>
    </xdr:from>
    <xdr:to>
      <xdr:col>1</xdr:col>
      <xdr:colOff>304800</xdr:colOff>
      <xdr:row>193</xdr:row>
      <xdr:rowOff>304800</xdr:rowOff>
    </xdr:to>
    <xdr:sp macro="" textlink="">
      <xdr:nvSpPr>
        <xdr:cNvPr id="6177" name="AutoShape 33" descr="Tombstone">
          <a:extLst>
            <a:ext uri="{FF2B5EF4-FFF2-40B4-BE49-F238E27FC236}">
              <a16:creationId xmlns:a16="http://schemas.microsoft.com/office/drawing/2014/main" id="{A61C0071-90A8-BFBF-D913-E8E4E7EB0B14}"/>
            </a:ext>
          </a:extLst>
        </xdr:cNvPr>
        <xdr:cNvSpPr>
          <a:spLocks noChangeAspect="1" noChangeArrowheads="1"/>
        </xdr:cNvSpPr>
      </xdr:nvSpPr>
      <xdr:spPr bwMode="auto">
        <a:xfrm>
          <a:off x="200025" y="210873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199</xdr:row>
      <xdr:rowOff>0</xdr:rowOff>
    </xdr:from>
    <xdr:to>
      <xdr:col>1</xdr:col>
      <xdr:colOff>304800</xdr:colOff>
      <xdr:row>199</xdr:row>
      <xdr:rowOff>304800</xdr:rowOff>
    </xdr:to>
    <xdr:sp macro="" textlink="">
      <xdr:nvSpPr>
        <xdr:cNvPr id="6178" name="AutoShape 34" descr="Tombstone">
          <a:extLst>
            <a:ext uri="{FF2B5EF4-FFF2-40B4-BE49-F238E27FC236}">
              <a16:creationId xmlns:a16="http://schemas.microsoft.com/office/drawing/2014/main" id="{966326E4-9D1A-1AD4-F398-26BAB1877C94}"/>
            </a:ext>
          </a:extLst>
        </xdr:cNvPr>
        <xdr:cNvSpPr>
          <a:spLocks noChangeAspect="1" noChangeArrowheads="1"/>
        </xdr:cNvSpPr>
      </xdr:nvSpPr>
      <xdr:spPr bwMode="auto">
        <a:xfrm>
          <a:off x="200025" y="217798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205</xdr:row>
      <xdr:rowOff>0</xdr:rowOff>
    </xdr:from>
    <xdr:to>
      <xdr:col>1</xdr:col>
      <xdr:colOff>304800</xdr:colOff>
      <xdr:row>205</xdr:row>
      <xdr:rowOff>304800</xdr:rowOff>
    </xdr:to>
    <xdr:sp macro="" textlink="">
      <xdr:nvSpPr>
        <xdr:cNvPr id="6179" name="AutoShape 35" descr="Tombstone">
          <a:extLst>
            <a:ext uri="{FF2B5EF4-FFF2-40B4-BE49-F238E27FC236}">
              <a16:creationId xmlns:a16="http://schemas.microsoft.com/office/drawing/2014/main" id="{93752D78-B807-EF16-7430-264B089B2980}"/>
            </a:ext>
          </a:extLst>
        </xdr:cNvPr>
        <xdr:cNvSpPr>
          <a:spLocks noChangeAspect="1" noChangeArrowheads="1"/>
        </xdr:cNvSpPr>
      </xdr:nvSpPr>
      <xdr:spPr bwMode="auto">
        <a:xfrm>
          <a:off x="200025" y="22402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210</xdr:row>
      <xdr:rowOff>0</xdr:rowOff>
    </xdr:from>
    <xdr:to>
      <xdr:col>1</xdr:col>
      <xdr:colOff>304800</xdr:colOff>
      <xdr:row>210</xdr:row>
      <xdr:rowOff>304800</xdr:rowOff>
    </xdr:to>
    <xdr:sp macro="" textlink="">
      <xdr:nvSpPr>
        <xdr:cNvPr id="6180" name="AutoShape 36" descr="Tombstone">
          <a:extLst>
            <a:ext uri="{FF2B5EF4-FFF2-40B4-BE49-F238E27FC236}">
              <a16:creationId xmlns:a16="http://schemas.microsoft.com/office/drawing/2014/main" id="{EE59DA37-528D-6390-4961-F4E9927D1EA6}"/>
            </a:ext>
          </a:extLst>
        </xdr:cNvPr>
        <xdr:cNvSpPr>
          <a:spLocks noChangeAspect="1" noChangeArrowheads="1"/>
        </xdr:cNvSpPr>
      </xdr:nvSpPr>
      <xdr:spPr bwMode="auto">
        <a:xfrm>
          <a:off x="200025" y="230952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216</xdr:row>
      <xdr:rowOff>0</xdr:rowOff>
    </xdr:from>
    <xdr:to>
      <xdr:col>1</xdr:col>
      <xdr:colOff>304800</xdr:colOff>
      <xdr:row>216</xdr:row>
      <xdr:rowOff>304800</xdr:rowOff>
    </xdr:to>
    <xdr:sp macro="" textlink="">
      <xdr:nvSpPr>
        <xdr:cNvPr id="6181" name="AutoShape 37" descr="Tombstone">
          <a:extLst>
            <a:ext uri="{FF2B5EF4-FFF2-40B4-BE49-F238E27FC236}">
              <a16:creationId xmlns:a16="http://schemas.microsoft.com/office/drawing/2014/main" id="{E017849A-ED21-04AA-DC69-B362936FBC7D}"/>
            </a:ext>
          </a:extLst>
        </xdr:cNvPr>
        <xdr:cNvSpPr>
          <a:spLocks noChangeAspect="1" noChangeArrowheads="1"/>
        </xdr:cNvSpPr>
      </xdr:nvSpPr>
      <xdr:spPr bwMode="auto">
        <a:xfrm>
          <a:off x="200025" y="237686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222</xdr:row>
      <xdr:rowOff>0</xdr:rowOff>
    </xdr:from>
    <xdr:to>
      <xdr:col>1</xdr:col>
      <xdr:colOff>304800</xdr:colOff>
      <xdr:row>222</xdr:row>
      <xdr:rowOff>304800</xdr:rowOff>
    </xdr:to>
    <xdr:sp macro="" textlink="">
      <xdr:nvSpPr>
        <xdr:cNvPr id="6182" name="AutoShape 38" descr="Tombstone">
          <a:extLst>
            <a:ext uri="{FF2B5EF4-FFF2-40B4-BE49-F238E27FC236}">
              <a16:creationId xmlns:a16="http://schemas.microsoft.com/office/drawing/2014/main" id="{7F272614-55E2-57C8-C593-AA245AC4925B}"/>
            </a:ext>
          </a:extLst>
        </xdr:cNvPr>
        <xdr:cNvSpPr>
          <a:spLocks noChangeAspect="1" noChangeArrowheads="1"/>
        </xdr:cNvSpPr>
      </xdr:nvSpPr>
      <xdr:spPr bwMode="auto">
        <a:xfrm>
          <a:off x="200025" y="244421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228</xdr:row>
      <xdr:rowOff>0</xdr:rowOff>
    </xdr:from>
    <xdr:to>
      <xdr:col>1</xdr:col>
      <xdr:colOff>304800</xdr:colOff>
      <xdr:row>228</xdr:row>
      <xdr:rowOff>304800</xdr:rowOff>
    </xdr:to>
    <xdr:sp macro="" textlink="">
      <xdr:nvSpPr>
        <xdr:cNvPr id="6183" name="AutoShape 39" descr="Tombstone">
          <a:extLst>
            <a:ext uri="{FF2B5EF4-FFF2-40B4-BE49-F238E27FC236}">
              <a16:creationId xmlns:a16="http://schemas.microsoft.com/office/drawing/2014/main" id="{38C130E1-B4FA-9902-11F2-1357884B3627}"/>
            </a:ext>
          </a:extLst>
        </xdr:cNvPr>
        <xdr:cNvSpPr>
          <a:spLocks noChangeAspect="1" noChangeArrowheads="1"/>
        </xdr:cNvSpPr>
      </xdr:nvSpPr>
      <xdr:spPr bwMode="auto">
        <a:xfrm>
          <a:off x="200025" y="25096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234</xdr:row>
      <xdr:rowOff>0</xdr:rowOff>
    </xdr:from>
    <xdr:to>
      <xdr:col>1</xdr:col>
      <xdr:colOff>304800</xdr:colOff>
      <xdr:row>234</xdr:row>
      <xdr:rowOff>304800</xdr:rowOff>
    </xdr:to>
    <xdr:sp macro="" textlink="">
      <xdr:nvSpPr>
        <xdr:cNvPr id="6184" name="AutoShape 40" descr="Tombstone">
          <a:extLst>
            <a:ext uri="{FF2B5EF4-FFF2-40B4-BE49-F238E27FC236}">
              <a16:creationId xmlns:a16="http://schemas.microsoft.com/office/drawing/2014/main" id="{5D845321-DCE6-CC82-1110-670C12F5C3CA}"/>
            </a:ext>
          </a:extLst>
        </xdr:cNvPr>
        <xdr:cNvSpPr>
          <a:spLocks noChangeAspect="1" noChangeArrowheads="1"/>
        </xdr:cNvSpPr>
      </xdr:nvSpPr>
      <xdr:spPr bwMode="auto">
        <a:xfrm>
          <a:off x="200025" y="257508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240</xdr:row>
      <xdr:rowOff>0</xdr:rowOff>
    </xdr:from>
    <xdr:to>
      <xdr:col>1</xdr:col>
      <xdr:colOff>304800</xdr:colOff>
      <xdr:row>240</xdr:row>
      <xdr:rowOff>304800</xdr:rowOff>
    </xdr:to>
    <xdr:sp macro="" textlink="">
      <xdr:nvSpPr>
        <xdr:cNvPr id="6185" name="AutoShape 41" descr="Tombstone">
          <a:extLst>
            <a:ext uri="{FF2B5EF4-FFF2-40B4-BE49-F238E27FC236}">
              <a16:creationId xmlns:a16="http://schemas.microsoft.com/office/drawing/2014/main" id="{629059DC-FD67-67BC-A355-01BCC941FC10}"/>
            </a:ext>
          </a:extLst>
        </xdr:cNvPr>
        <xdr:cNvSpPr>
          <a:spLocks noChangeAspect="1" noChangeArrowheads="1"/>
        </xdr:cNvSpPr>
      </xdr:nvSpPr>
      <xdr:spPr bwMode="auto">
        <a:xfrm>
          <a:off x="200025" y="263861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246</xdr:row>
      <xdr:rowOff>0</xdr:rowOff>
    </xdr:from>
    <xdr:to>
      <xdr:col>1</xdr:col>
      <xdr:colOff>304800</xdr:colOff>
      <xdr:row>246</xdr:row>
      <xdr:rowOff>304800</xdr:rowOff>
    </xdr:to>
    <xdr:sp macro="" textlink="">
      <xdr:nvSpPr>
        <xdr:cNvPr id="6186" name="AutoShape 42" descr="Tombstone">
          <a:extLst>
            <a:ext uri="{FF2B5EF4-FFF2-40B4-BE49-F238E27FC236}">
              <a16:creationId xmlns:a16="http://schemas.microsoft.com/office/drawing/2014/main" id="{59CBAEDC-D8F8-6149-CA27-DE6E0EDC690A}"/>
            </a:ext>
          </a:extLst>
        </xdr:cNvPr>
        <xdr:cNvSpPr>
          <a:spLocks noChangeAspect="1" noChangeArrowheads="1"/>
        </xdr:cNvSpPr>
      </xdr:nvSpPr>
      <xdr:spPr bwMode="auto">
        <a:xfrm>
          <a:off x="200025" y="270405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252</xdr:row>
      <xdr:rowOff>0</xdr:rowOff>
    </xdr:from>
    <xdr:to>
      <xdr:col>1</xdr:col>
      <xdr:colOff>304800</xdr:colOff>
      <xdr:row>252</xdr:row>
      <xdr:rowOff>304800</xdr:rowOff>
    </xdr:to>
    <xdr:sp macro="" textlink="">
      <xdr:nvSpPr>
        <xdr:cNvPr id="6187" name="AutoShape 43" descr="Tombstone">
          <a:extLst>
            <a:ext uri="{FF2B5EF4-FFF2-40B4-BE49-F238E27FC236}">
              <a16:creationId xmlns:a16="http://schemas.microsoft.com/office/drawing/2014/main" id="{6D36FF4C-027E-D37B-5361-420EFABBA6B3}"/>
            </a:ext>
          </a:extLst>
        </xdr:cNvPr>
        <xdr:cNvSpPr>
          <a:spLocks noChangeAspect="1" noChangeArrowheads="1"/>
        </xdr:cNvSpPr>
      </xdr:nvSpPr>
      <xdr:spPr bwMode="auto">
        <a:xfrm>
          <a:off x="200025" y="27694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258</xdr:row>
      <xdr:rowOff>0</xdr:rowOff>
    </xdr:from>
    <xdr:to>
      <xdr:col>1</xdr:col>
      <xdr:colOff>304800</xdr:colOff>
      <xdr:row>258</xdr:row>
      <xdr:rowOff>304800</xdr:rowOff>
    </xdr:to>
    <xdr:sp macro="" textlink="">
      <xdr:nvSpPr>
        <xdr:cNvPr id="6188" name="AutoShape 44" descr="Tombstone">
          <a:extLst>
            <a:ext uri="{FF2B5EF4-FFF2-40B4-BE49-F238E27FC236}">
              <a16:creationId xmlns:a16="http://schemas.microsoft.com/office/drawing/2014/main" id="{80BA3930-85A9-3548-E048-6F96BC16A87A}"/>
            </a:ext>
          </a:extLst>
        </xdr:cNvPr>
        <xdr:cNvSpPr>
          <a:spLocks noChangeAspect="1" noChangeArrowheads="1"/>
        </xdr:cNvSpPr>
      </xdr:nvSpPr>
      <xdr:spPr bwMode="auto">
        <a:xfrm>
          <a:off x="200025" y="283683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264</xdr:row>
      <xdr:rowOff>0</xdr:rowOff>
    </xdr:from>
    <xdr:to>
      <xdr:col>1</xdr:col>
      <xdr:colOff>304800</xdr:colOff>
      <xdr:row>264</xdr:row>
      <xdr:rowOff>304800</xdr:rowOff>
    </xdr:to>
    <xdr:sp macro="" textlink="">
      <xdr:nvSpPr>
        <xdr:cNvPr id="6189" name="AutoShape 45" descr="Tombstone">
          <a:extLst>
            <a:ext uri="{FF2B5EF4-FFF2-40B4-BE49-F238E27FC236}">
              <a16:creationId xmlns:a16="http://schemas.microsoft.com/office/drawing/2014/main" id="{F31C65C4-C3D5-F000-771C-246B6574135A}"/>
            </a:ext>
          </a:extLst>
        </xdr:cNvPr>
        <xdr:cNvSpPr>
          <a:spLocks noChangeAspect="1" noChangeArrowheads="1"/>
        </xdr:cNvSpPr>
      </xdr:nvSpPr>
      <xdr:spPr bwMode="auto">
        <a:xfrm>
          <a:off x="200025" y="290417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270</xdr:row>
      <xdr:rowOff>0</xdr:rowOff>
    </xdr:from>
    <xdr:to>
      <xdr:col>1</xdr:col>
      <xdr:colOff>304800</xdr:colOff>
      <xdr:row>270</xdr:row>
      <xdr:rowOff>304800</xdr:rowOff>
    </xdr:to>
    <xdr:sp macro="" textlink="">
      <xdr:nvSpPr>
        <xdr:cNvPr id="6190" name="AutoShape 46" descr="Tombstone">
          <a:extLst>
            <a:ext uri="{FF2B5EF4-FFF2-40B4-BE49-F238E27FC236}">
              <a16:creationId xmlns:a16="http://schemas.microsoft.com/office/drawing/2014/main" id="{4CA3EDA2-4247-0D5A-6E95-694E769B75C9}"/>
            </a:ext>
          </a:extLst>
        </xdr:cNvPr>
        <xdr:cNvSpPr>
          <a:spLocks noChangeAspect="1" noChangeArrowheads="1"/>
        </xdr:cNvSpPr>
      </xdr:nvSpPr>
      <xdr:spPr bwMode="auto">
        <a:xfrm>
          <a:off x="200025" y="296960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276</xdr:row>
      <xdr:rowOff>0</xdr:rowOff>
    </xdr:from>
    <xdr:to>
      <xdr:col>1</xdr:col>
      <xdr:colOff>304800</xdr:colOff>
      <xdr:row>276</xdr:row>
      <xdr:rowOff>304800</xdr:rowOff>
    </xdr:to>
    <xdr:sp macro="" textlink="">
      <xdr:nvSpPr>
        <xdr:cNvPr id="6191" name="AutoShape 47" descr="Tombstone">
          <a:extLst>
            <a:ext uri="{FF2B5EF4-FFF2-40B4-BE49-F238E27FC236}">
              <a16:creationId xmlns:a16="http://schemas.microsoft.com/office/drawing/2014/main" id="{F03B7BAE-63A0-812C-5D0C-96E6CF784E9D}"/>
            </a:ext>
          </a:extLst>
        </xdr:cNvPr>
        <xdr:cNvSpPr>
          <a:spLocks noChangeAspect="1" noChangeArrowheads="1"/>
        </xdr:cNvSpPr>
      </xdr:nvSpPr>
      <xdr:spPr bwMode="auto">
        <a:xfrm>
          <a:off x="200025" y="303504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282</xdr:row>
      <xdr:rowOff>0</xdr:rowOff>
    </xdr:from>
    <xdr:to>
      <xdr:col>1</xdr:col>
      <xdr:colOff>304800</xdr:colOff>
      <xdr:row>282</xdr:row>
      <xdr:rowOff>304800</xdr:rowOff>
    </xdr:to>
    <xdr:sp macro="" textlink="">
      <xdr:nvSpPr>
        <xdr:cNvPr id="6192" name="AutoShape 48" descr="Tombstone">
          <a:extLst>
            <a:ext uri="{FF2B5EF4-FFF2-40B4-BE49-F238E27FC236}">
              <a16:creationId xmlns:a16="http://schemas.microsoft.com/office/drawing/2014/main" id="{71059E75-F3A2-35A5-D6D9-316644554EE0}"/>
            </a:ext>
          </a:extLst>
        </xdr:cNvPr>
        <xdr:cNvSpPr>
          <a:spLocks noChangeAspect="1" noChangeArrowheads="1"/>
        </xdr:cNvSpPr>
      </xdr:nvSpPr>
      <xdr:spPr bwMode="auto">
        <a:xfrm>
          <a:off x="200025" y="310238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288</xdr:row>
      <xdr:rowOff>0</xdr:rowOff>
    </xdr:from>
    <xdr:to>
      <xdr:col>1</xdr:col>
      <xdr:colOff>304800</xdr:colOff>
      <xdr:row>288</xdr:row>
      <xdr:rowOff>304800</xdr:rowOff>
    </xdr:to>
    <xdr:sp macro="" textlink="">
      <xdr:nvSpPr>
        <xdr:cNvPr id="6193" name="AutoShape 49" descr="Tombstone">
          <a:extLst>
            <a:ext uri="{FF2B5EF4-FFF2-40B4-BE49-F238E27FC236}">
              <a16:creationId xmlns:a16="http://schemas.microsoft.com/office/drawing/2014/main" id="{817E6402-0741-FCFD-9B6A-1021FC5DF393}"/>
            </a:ext>
          </a:extLst>
        </xdr:cNvPr>
        <xdr:cNvSpPr>
          <a:spLocks noChangeAspect="1" noChangeArrowheads="1"/>
        </xdr:cNvSpPr>
      </xdr:nvSpPr>
      <xdr:spPr bwMode="auto">
        <a:xfrm>
          <a:off x="200025" y="316591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294</xdr:row>
      <xdr:rowOff>0</xdr:rowOff>
    </xdr:from>
    <xdr:to>
      <xdr:col>1</xdr:col>
      <xdr:colOff>304800</xdr:colOff>
      <xdr:row>294</xdr:row>
      <xdr:rowOff>304800</xdr:rowOff>
    </xdr:to>
    <xdr:sp macro="" textlink="">
      <xdr:nvSpPr>
        <xdr:cNvPr id="6194" name="AutoShape 50" descr="Tombstone">
          <a:extLst>
            <a:ext uri="{FF2B5EF4-FFF2-40B4-BE49-F238E27FC236}">
              <a16:creationId xmlns:a16="http://schemas.microsoft.com/office/drawing/2014/main" id="{37133306-3E32-51B5-CC42-2EB3C1BF6638}"/>
            </a:ext>
          </a:extLst>
        </xdr:cNvPr>
        <xdr:cNvSpPr>
          <a:spLocks noChangeAspect="1" noChangeArrowheads="1"/>
        </xdr:cNvSpPr>
      </xdr:nvSpPr>
      <xdr:spPr bwMode="auto">
        <a:xfrm>
          <a:off x="200025" y="323135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300</xdr:row>
      <xdr:rowOff>0</xdr:rowOff>
    </xdr:from>
    <xdr:to>
      <xdr:col>1</xdr:col>
      <xdr:colOff>304800</xdr:colOff>
      <xdr:row>300</xdr:row>
      <xdr:rowOff>304800</xdr:rowOff>
    </xdr:to>
    <xdr:sp macro="" textlink="">
      <xdr:nvSpPr>
        <xdr:cNvPr id="6195" name="AutoShape 51" descr="Tombstone">
          <a:extLst>
            <a:ext uri="{FF2B5EF4-FFF2-40B4-BE49-F238E27FC236}">
              <a16:creationId xmlns:a16="http://schemas.microsoft.com/office/drawing/2014/main" id="{FC8FB9D1-5949-87B3-457E-188D6BEE7556}"/>
            </a:ext>
          </a:extLst>
        </xdr:cNvPr>
        <xdr:cNvSpPr>
          <a:spLocks noChangeAspect="1" noChangeArrowheads="1"/>
        </xdr:cNvSpPr>
      </xdr:nvSpPr>
      <xdr:spPr bwMode="auto">
        <a:xfrm>
          <a:off x="200025" y="329679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306</xdr:row>
      <xdr:rowOff>0</xdr:rowOff>
    </xdr:from>
    <xdr:to>
      <xdr:col>1</xdr:col>
      <xdr:colOff>304800</xdr:colOff>
      <xdr:row>306</xdr:row>
      <xdr:rowOff>306160</xdr:rowOff>
    </xdr:to>
    <xdr:sp macro="" textlink="">
      <xdr:nvSpPr>
        <xdr:cNvPr id="6196" name="AutoShape 52" descr="Tombstone">
          <a:extLst>
            <a:ext uri="{FF2B5EF4-FFF2-40B4-BE49-F238E27FC236}">
              <a16:creationId xmlns:a16="http://schemas.microsoft.com/office/drawing/2014/main" id="{71DFCD3F-4506-69AB-502B-A1808A9B6CA6}"/>
            </a:ext>
          </a:extLst>
        </xdr:cNvPr>
        <xdr:cNvSpPr>
          <a:spLocks noChangeAspect="1" noChangeArrowheads="1"/>
        </xdr:cNvSpPr>
      </xdr:nvSpPr>
      <xdr:spPr bwMode="auto">
        <a:xfrm>
          <a:off x="200025" y="336222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312</xdr:row>
      <xdr:rowOff>0</xdr:rowOff>
    </xdr:from>
    <xdr:to>
      <xdr:col>1</xdr:col>
      <xdr:colOff>304800</xdr:colOff>
      <xdr:row>312</xdr:row>
      <xdr:rowOff>306160</xdr:rowOff>
    </xdr:to>
    <xdr:sp macro="" textlink="">
      <xdr:nvSpPr>
        <xdr:cNvPr id="6197" name="AutoShape 53" descr="Tombstone">
          <a:extLst>
            <a:ext uri="{FF2B5EF4-FFF2-40B4-BE49-F238E27FC236}">
              <a16:creationId xmlns:a16="http://schemas.microsoft.com/office/drawing/2014/main" id="{E4F74BE5-33A6-1A31-2673-4F0B69E5E580}"/>
            </a:ext>
          </a:extLst>
        </xdr:cNvPr>
        <xdr:cNvSpPr>
          <a:spLocks noChangeAspect="1" noChangeArrowheads="1"/>
        </xdr:cNvSpPr>
      </xdr:nvSpPr>
      <xdr:spPr bwMode="auto">
        <a:xfrm>
          <a:off x="200025" y="342766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318</xdr:row>
      <xdr:rowOff>0</xdr:rowOff>
    </xdr:from>
    <xdr:to>
      <xdr:col>1</xdr:col>
      <xdr:colOff>304800</xdr:colOff>
      <xdr:row>318</xdr:row>
      <xdr:rowOff>306160</xdr:rowOff>
    </xdr:to>
    <xdr:sp macro="" textlink="">
      <xdr:nvSpPr>
        <xdr:cNvPr id="6198" name="AutoShape 54" descr="Tombstone">
          <a:extLst>
            <a:ext uri="{FF2B5EF4-FFF2-40B4-BE49-F238E27FC236}">
              <a16:creationId xmlns:a16="http://schemas.microsoft.com/office/drawing/2014/main" id="{2BCEC457-188B-0BC8-ED2A-E8FC6F51ECDC}"/>
            </a:ext>
          </a:extLst>
        </xdr:cNvPr>
        <xdr:cNvSpPr>
          <a:spLocks noChangeAspect="1" noChangeArrowheads="1"/>
        </xdr:cNvSpPr>
      </xdr:nvSpPr>
      <xdr:spPr bwMode="auto">
        <a:xfrm>
          <a:off x="200025" y="349310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324</xdr:row>
      <xdr:rowOff>0</xdr:rowOff>
    </xdr:from>
    <xdr:to>
      <xdr:col>1</xdr:col>
      <xdr:colOff>304800</xdr:colOff>
      <xdr:row>324</xdr:row>
      <xdr:rowOff>306160</xdr:rowOff>
    </xdr:to>
    <xdr:sp macro="" textlink="">
      <xdr:nvSpPr>
        <xdr:cNvPr id="6199" name="AutoShape 55" descr="Tombstone">
          <a:extLst>
            <a:ext uri="{FF2B5EF4-FFF2-40B4-BE49-F238E27FC236}">
              <a16:creationId xmlns:a16="http://schemas.microsoft.com/office/drawing/2014/main" id="{D429F513-54D0-B840-1CB1-947DFE86A87E}"/>
            </a:ext>
          </a:extLst>
        </xdr:cNvPr>
        <xdr:cNvSpPr>
          <a:spLocks noChangeAspect="1" noChangeArrowheads="1"/>
        </xdr:cNvSpPr>
      </xdr:nvSpPr>
      <xdr:spPr bwMode="auto">
        <a:xfrm>
          <a:off x="200025" y="35585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330</xdr:row>
      <xdr:rowOff>0</xdr:rowOff>
    </xdr:from>
    <xdr:to>
      <xdr:col>1</xdr:col>
      <xdr:colOff>304800</xdr:colOff>
      <xdr:row>330</xdr:row>
      <xdr:rowOff>306160</xdr:rowOff>
    </xdr:to>
    <xdr:sp macro="" textlink="">
      <xdr:nvSpPr>
        <xdr:cNvPr id="6200" name="AutoShape 56" descr="Tombstone">
          <a:extLst>
            <a:ext uri="{FF2B5EF4-FFF2-40B4-BE49-F238E27FC236}">
              <a16:creationId xmlns:a16="http://schemas.microsoft.com/office/drawing/2014/main" id="{69D975AD-C5AF-F6A5-CA37-65912F6BF2AF}"/>
            </a:ext>
          </a:extLst>
        </xdr:cNvPr>
        <xdr:cNvSpPr>
          <a:spLocks noChangeAspect="1" noChangeArrowheads="1"/>
        </xdr:cNvSpPr>
      </xdr:nvSpPr>
      <xdr:spPr bwMode="auto">
        <a:xfrm>
          <a:off x="200025" y="362397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336</xdr:row>
      <xdr:rowOff>0</xdr:rowOff>
    </xdr:from>
    <xdr:to>
      <xdr:col>1</xdr:col>
      <xdr:colOff>304800</xdr:colOff>
      <xdr:row>336</xdr:row>
      <xdr:rowOff>306160</xdr:rowOff>
    </xdr:to>
    <xdr:sp macro="" textlink="">
      <xdr:nvSpPr>
        <xdr:cNvPr id="6201" name="AutoShape 57" descr="Tombstone">
          <a:extLst>
            <a:ext uri="{FF2B5EF4-FFF2-40B4-BE49-F238E27FC236}">
              <a16:creationId xmlns:a16="http://schemas.microsoft.com/office/drawing/2014/main" id="{55F8182C-1ED2-E84C-0D92-CE5D5DB58FE5}"/>
            </a:ext>
          </a:extLst>
        </xdr:cNvPr>
        <xdr:cNvSpPr>
          <a:spLocks noChangeAspect="1" noChangeArrowheads="1"/>
        </xdr:cNvSpPr>
      </xdr:nvSpPr>
      <xdr:spPr bwMode="auto">
        <a:xfrm>
          <a:off x="200025" y="36716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342</xdr:row>
      <xdr:rowOff>0</xdr:rowOff>
    </xdr:from>
    <xdr:to>
      <xdr:col>1</xdr:col>
      <xdr:colOff>304800</xdr:colOff>
      <xdr:row>342</xdr:row>
      <xdr:rowOff>306160</xdr:rowOff>
    </xdr:to>
    <xdr:sp macro="" textlink="">
      <xdr:nvSpPr>
        <xdr:cNvPr id="6202" name="AutoShape 58" descr="Tombstone">
          <a:extLst>
            <a:ext uri="{FF2B5EF4-FFF2-40B4-BE49-F238E27FC236}">
              <a16:creationId xmlns:a16="http://schemas.microsoft.com/office/drawing/2014/main" id="{0A8248D1-29CF-9DAA-4BD2-AA6AA0933C7B}"/>
            </a:ext>
          </a:extLst>
        </xdr:cNvPr>
        <xdr:cNvSpPr>
          <a:spLocks noChangeAspect="1" noChangeArrowheads="1"/>
        </xdr:cNvSpPr>
      </xdr:nvSpPr>
      <xdr:spPr bwMode="auto">
        <a:xfrm>
          <a:off x="200025" y="374094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348</xdr:row>
      <xdr:rowOff>0</xdr:rowOff>
    </xdr:from>
    <xdr:to>
      <xdr:col>1</xdr:col>
      <xdr:colOff>304800</xdr:colOff>
      <xdr:row>348</xdr:row>
      <xdr:rowOff>306160</xdr:rowOff>
    </xdr:to>
    <xdr:sp macro="" textlink="">
      <xdr:nvSpPr>
        <xdr:cNvPr id="6203" name="AutoShape 59" descr="Tombstone">
          <a:extLst>
            <a:ext uri="{FF2B5EF4-FFF2-40B4-BE49-F238E27FC236}">
              <a16:creationId xmlns:a16="http://schemas.microsoft.com/office/drawing/2014/main" id="{647E7D96-C2A0-8803-6459-5B418C0D4471}"/>
            </a:ext>
          </a:extLst>
        </xdr:cNvPr>
        <xdr:cNvSpPr>
          <a:spLocks noChangeAspect="1" noChangeArrowheads="1"/>
        </xdr:cNvSpPr>
      </xdr:nvSpPr>
      <xdr:spPr bwMode="auto">
        <a:xfrm>
          <a:off x="200025" y="380447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354</xdr:row>
      <xdr:rowOff>0</xdr:rowOff>
    </xdr:from>
    <xdr:to>
      <xdr:col>1</xdr:col>
      <xdr:colOff>304800</xdr:colOff>
      <xdr:row>354</xdr:row>
      <xdr:rowOff>306160</xdr:rowOff>
    </xdr:to>
    <xdr:sp macro="" textlink="">
      <xdr:nvSpPr>
        <xdr:cNvPr id="6204" name="AutoShape 60" descr="Tombstone">
          <a:extLst>
            <a:ext uri="{FF2B5EF4-FFF2-40B4-BE49-F238E27FC236}">
              <a16:creationId xmlns:a16="http://schemas.microsoft.com/office/drawing/2014/main" id="{ECC6EE5F-4574-36E6-B72D-D77349946134}"/>
            </a:ext>
          </a:extLst>
        </xdr:cNvPr>
        <xdr:cNvSpPr>
          <a:spLocks noChangeAspect="1" noChangeArrowheads="1"/>
        </xdr:cNvSpPr>
      </xdr:nvSpPr>
      <xdr:spPr bwMode="auto">
        <a:xfrm>
          <a:off x="200025" y="385772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360</xdr:row>
      <xdr:rowOff>0</xdr:rowOff>
    </xdr:from>
    <xdr:to>
      <xdr:col>1</xdr:col>
      <xdr:colOff>304800</xdr:colOff>
      <xdr:row>360</xdr:row>
      <xdr:rowOff>306160</xdr:rowOff>
    </xdr:to>
    <xdr:sp macro="" textlink="">
      <xdr:nvSpPr>
        <xdr:cNvPr id="6205" name="AutoShape 61" descr="Tombstone">
          <a:extLst>
            <a:ext uri="{FF2B5EF4-FFF2-40B4-BE49-F238E27FC236}">
              <a16:creationId xmlns:a16="http://schemas.microsoft.com/office/drawing/2014/main" id="{C2B0BAD8-0970-FE48-EA73-28BA5DEB98C1}"/>
            </a:ext>
          </a:extLst>
        </xdr:cNvPr>
        <xdr:cNvSpPr>
          <a:spLocks noChangeAspect="1" noChangeArrowheads="1"/>
        </xdr:cNvSpPr>
      </xdr:nvSpPr>
      <xdr:spPr bwMode="auto">
        <a:xfrm>
          <a:off x="200025" y="392125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366</xdr:row>
      <xdr:rowOff>0</xdr:rowOff>
    </xdr:from>
    <xdr:to>
      <xdr:col>1</xdr:col>
      <xdr:colOff>304800</xdr:colOff>
      <xdr:row>366</xdr:row>
      <xdr:rowOff>306160</xdr:rowOff>
    </xdr:to>
    <xdr:sp macro="" textlink="">
      <xdr:nvSpPr>
        <xdr:cNvPr id="6206" name="AutoShape 62" descr="Tombstone">
          <a:extLst>
            <a:ext uri="{FF2B5EF4-FFF2-40B4-BE49-F238E27FC236}">
              <a16:creationId xmlns:a16="http://schemas.microsoft.com/office/drawing/2014/main" id="{72E68104-B72B-8551-2B9C-E15A981879B5}"/>
            </a:ext>
          </a:extLst>
        </xdr:cNvPr>
        <xdr:cNvSpPr>
          <a:spLocks noChangeAspect="1" noChangeArrowheads="1"/>
        </xdr:cNvSpPr>
      </xdr:nvSpPr>
      <xdr:spPr bwMode="auto">
        <a:xfrm>
          <a:off x="200025" y="396897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372</xdr:row>
      <xdr:rowOff>0</xdr:rowOff>
    </xdr:from>
    <xdr:to>
      <xdr:col>1</xdr:col>
      <xdr:colOff>304800</xdr:colOff>
      <xdr:row>372</xdr:row>
      <xdr:rowOff>306160</xdr:rowOff>
    </xdr:to>
    <xdr:sp macro="" textlink="">
      <xdr:nvSpPr>
        <xdr:cNvPr id="6207" name="AutoShape 63" descr="Tombstone">
          <a:extLst>
            <a:ext uri="{FF2B5EF4-FFF2-40B4-BE49-F238E27FC236}">
              <a16:creationId xmlns:a16="http://schemas.microsoft.com/office/drawing/2014/main" id="{A6507E90-C47F-EB95-AF66-B861E0BFEA88}"/>
            </a:ext>
          </a:extLst>
        </xdr:cNvPr>
        <xdr:cNvSpPr>
          <a:spLocks noChangeAspect="1" noChangeArrowheads="1"/>
        </xdr:cNvSpPr>
      </xdr:nvSpPr>
      <xdr:spPr bwMode="auto">
        <a:xfrm>
          <a:off x="200025" y="403821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378</xdr:row>
      <xdr:rowOff>0</xdr:rowOff>
    </xdr:from>
    <xdr:to>
      <xdr:col>1</xdr:col>
      <xdr:colOff>304800</xdr:colOff>
      <xdr:row>378</xdr:row>
      <xdr:rowOff>306160</xdr:rowOff>
    </xdr:to>
    <xdr:sp macro="" textlink="">
      <xdr:nvSpPr>
        <xdr:cNvPr id="6208" name="AutoShape 64" descr="Tombstone">
          <a:extLst>
            <a:ext uri="{FF2B5EF4-FFF2-40B4-BE49-F238E27FC236}">
              <a16:creationId xmlns:a16="http://schemas.microsoft.com/office/drawing/2014/main" id="{FDC8E165-A50B-082E-E2E2-171E71341F3D}"/>
            </a:ext>
          </a:extLst>
        </xdr:cNvPr>
        <xdr:cNvSpPr>
          <a:spLocks noChangeAspect="1" noChangeArrowheads="1"/>
        </xdr:cNvSpPr>
      </xdr:nvSpPr>
      <xdr:spPr bwMode="auto">
        <a:xfrm>
          <a:off x="200025" y="410556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384</xdr:row>
      <xdr:rowOff>0</xdr:rowOff>
    </xdr:from>
    <xdr:to>
      <xdr:col>1</xdr:col>
      <xdr:colOff>304800</xdr:colOff>
      <xdr:row>384</xdr:row>
      <xdr:rowOff>306160</xdr:rowOff>
    </xdr:to>
    <xdr:sp macro="" textlink="">
      <xdr:nvSpPr>
        <xdr:cNvPr id="6209" name="AutoShape 65" descr="Tombstone">
          <a:extLst>
            <a:ext uri="{FF2B5EF4-FFF2-40B4-BE49-F238E27FC236}">
              <a16:creationId xmlns:a16="http://schemas.microsoft.com/office/drawing/2014/main" id="{EF1420E2-4E0F-16E5-AB1C-3C4D93824997}"/>
            </a:ext>
          </a:extLst>
        </xdr:cNvPr>
        <xdr:cNvSpPr>
          <a:spLocks noChangeAspect="1" noChangeArrowheads="1"/>
        </xdr:cNvSpPr>
      </xdr:nvSpPr>
      <xdr:spPr bwMode="auto">
        <a:xfrm>
          <a:off x="200025" y="417099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390</xdr:row>
      <xdr:rowOff>0</xdr:rowOff>
    </xdr:from>
    <xdr:to>
      <xdr:col>1</xdr:col>
      <xdr:colOff>304800</xdr:colOff>
      <xdr:row>390</xdr:row>
      <xdr:rowOff>306160</xdr:rowOff>
    </xdr:to>
    <xdr:sp macro="" textlink="">
      <xdr:nvSpPr>
        <xdr:cNvPr id="6210" name="AutoShape 66" descr="Tombstone">
          <a:extLst>
            <a:ext uri="{FF2B5EF4-FFF2-40B4-BE49-F238E27FC236}">
              <a16:creationId xmlns:a16="http://schemas.microsoft.com/office/drawing/2014/main" id="{1C6C8475-AD8E-5546-1905-957328EE6271}"/>
            </a:ext>
          </a:extLst>
        </xdr:cNvPr>
        <xdr:cNvSpPr>
          <a:spLocks noChangeAspect="1" noChangeArrowheads="1"/>
        </xdr:cNvSpPr>
      </xdr:nvSpPr>
      <xdr:spPr bwMode="auto">
        <a:xfrm>
          <a:off x="200025" y="423833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396</xdr:row>
      <xdr:rowOff>0</xdr:rowOff>
    </xdr:from>
    <xdr:to>
      <xdr:col>1</xdr:col>
      <xdr:colOff>304800</xdr:colOff>
      <xdr:row>396</xdr:row>
      <xdr:rowOff>306160</xdr:rowOff>
    </xdr:to>
    <xdr:sp macro="" textlink="">
      <xdr:nvSpPr>
        <xdr:cNvPr id="6211" name="AutoShape 67" descr="Tombstone">
          <a:extLst>
            <a:ext uri="{FF2B5EF4-FFF2-40B4-BE49-F238E27FC236}">
              <a16:creationId xmlns:a16="http://schemas.microsoft.com/office/drawing/2014/main" id="{D59ABCFF-F2A9-6D4A-F263-FF76AC797261}"/>
            </a:ext>
          </a:extLst>
        </xdr:cNvPr>
        <xdr:cNvSpPr>
          <a:spLocks noChangeAspect="1" noChangeArrowheads="1"/>
        </xdr:cNvSpPr>
      </xdr:nvSpPr>
      <xdr:spPr bwMode="auto">
        <a:xfrm>
          <a:off x="200025" y="430568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402</xdr:row>
      <xdr:rowOff>0</xdr:rowOff>
    </xdr:from>
    <xdr:to>
      <xdr:col>1</xdr:col>
      <xdr:colOff>304800</xdr:colOff>
      <xdr:row>402</xdr:row>
      <xdr:rowOff>306160</xdr:rowOff>
    </xdr:to>
    <xdr:sp macro="" textlink="">
      <xdr:nvSpPr>
        <xdr:cNvPr id="6212" name="AutoShape 68" descr="Tombstone">
          <a:extLst>
            <a:ext uri="{FF2B5EF4-FFF2-40B4-BE49-F238E27FC236}">
              <a16:creationId xmlns:a16="http://schemas.microsoft.com/office/drawing/2014/main" id="{76B09185-52A9-3C9E-C1EB-580407DA4A6D}"/>
            </a:ext>
          </a:extLst>
        </xdr:cNvPr>
        <xdr:cNvSpPr>
          <a:spLocks noChangeAspect="1" noChangeArrowheads="1"/>
        </xdr:cNvSpPr>
      </xdr:nvSpPr>
      <xdr:spPr bwMode="auto">
        <a:xfrm>
          <a:off x="200025" y="437302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408</xdr:row>
      <xdr:rowOff>0</xdr:rowOff>
    </xdr:from>
    <xdr:to>
      <xdr:col>1</xdr:col>
      <xdr:colOff>304800</xdr:colOff>
      <xdr:row>408</xdr:row>
      <xdr:rowOff>306160</xdr:rowOff>
    </xdr:to>
    <xdr:sp macro="" textlink="">
      <xdr:nvSpPr>
        <xdr:cNvPr id="6213" name="AutoShape 69" descr="Tombstone">
          <a:extLst>
            <a:ext uri="{FF2B5EF4-FFF2-40B4-BE49-F238E27FC236}">
              <a16:creationId xmlns:a16="http://schemas.microsoft.com/office/drawing/2014/main" id="{A69C0A46-94C6-DA96-46BD-04C75B5EBF52}"/>
            </a:ext>
          </a:extLst>
        </xdr:cNvPr>
        <xdr:cNvSpPr>
          <a:spLocks noChangeAspect="1" noChangeArrowheads="1"/>
        </xdr:cNvSpPr>
      </xdr:nvSpPr>
      <xdr:spPr bwMode="auto">
        <a:xfrm>
          <a:off x="200025" y="443845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414</xdr:row>
      <xdr:rowOff>0</xdr:rowOff>
    </xdr:from>
    <xdr:to>
      <xdr:col>1</xdr:col>
      <xdr:colOff>304800</xdr:colOff>
      <xdr:row>414</xdr:row>
      <xdr:rowOff>306160</xdr:rowOff>
    </xdr:to>
    <xdr:sp macro="" textlink="">
      <xdr:nvSpPr>
        <xdr:cNvPr id="6214" name="AutoShape 70" descr="Tombstone">
          <a:extLst>
            <a:ext uri="{FF2B5EF4-FFF2-40B4-BE49-F238E27FC236}">
              <a16:creationId xmlns:a16="http://schemas.microsoft.com/office/drawing/2014/main" id="{B4B533CF-2BDD-75ED-104F-5780C652F7DB}"/>
            </a:ext>
          </a:extLst>
        </xdr:cNvPr>
        <xdr:cNvSpPr>
          <a:spLocks noChangeAspect="1" noChangeArrowheads="1"/>
        </xdr:cNvSpPr>
      </xdr:nvSpPr>
      <xdr:spPr bwMode="auto">
        <a:xfrm>
          <a:off x="200025" y="450199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420</xdr:row>
      <xdr:rowOff>0</xdr:rowOff>
    </xdr:from>
    <xdr:to>
      <xdr:col>1</xdr:col>
      <xdr:colOff>304800</xdr:colOff>
      <xdr:row>420</xdr:row>
      <xdr:rowOff>306160</xdr:rowOff>
    </xdr:to>
    <xdr:sp macro="" textlink="">
      <xdr:nvSpPr>
        <xdr:cNvPr id="6215" name="AutoShape 71" descr="Tombstone">
          <a:extLst>
            <a:ext uri="{FF2B5EF4-FFF2-40B4-BE49-F238E27FC236}">
              <a16:creationId xmlns:a16="http://schemas.microsoft.com/office/drawing/2014/main" id="{4811004B-B50B-B51F-1D8F-BF3A732C1956}"/>
            </a:ext>
          </a:extLst>
        </xdr:cNvPr>
        <xdr:cNvSpPr>
          <a:spLocks noChangeAspect="1" noChangeArrowheads="1"/>
        </xdr:cNvSpPr>
      </xdr:nvSpPr>
      <xdr:spPr bwMode="auto">
        <a:xfrm>
          <a:off x="200025" y="456742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426</xdr:row>
      <xdr:rowOff>0</xdr:rowOff>
    </xdr:from>
    <xdr:to>
      <xdr:col>1</xdr:col>
      <xdr:colOff>304800</xdr:colOff>
      <xdr:row>426</xdr:row>
      <xdr:rowOff>306160</xdr:rowOff>
    </xdr:to>
    <xdr:sp macro="" textlink="">
      <xdr:nvSpPr>
        <xdr:cNvPr id="6216" name="AutoShape 72" descr="Tombstone">
          <a:extLst>
            <a:ext uri="{FF2B5EF4-FFF2-40B4-BE49-F238E27FC236}">
              <a16:creationId xmlns:a16="http://schemas.microsoft.com/office/drawing/2014/main" id="{23C99660-B485-F0DF-1DA7-FF22266378AA}"/>
            </a:ext>
          </a:extLst>
        </xdr:cNvPr>
        <xdr:cNvSpPr>
          <a:spLocks noChangeAspect="1" noChangeArrowheads="1"/>
        </xdr:cNvSpPr>
      </xdr:nvSpPr>
      <xdr:spPr bwMode="auto">
        <a:xfrm>
          <a:off x="200025" y="463476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432</xdr:row>
      <xdr:rowOff>0</xdr:rowOff>
    </xdr:from>
    <xdr:to>
      <xdr:col>1</xdr:col>
      <xdr:colOff>304800</xdr:colOff>
      <xdr:row>432</xdr:row>
      <xdr:rowOff>306160</xdr:rowOff>
    </xdr:to>
    <xdr:sp macro="" textlink="">
      <xdr:nvSpPr>
        <xdr:cNvPr id="6217" name="AutoShape 73" descr="Tombstone">
          <a:extLst>
            <a:ext uri="{FF2B5EF4-FFF2-40B4-BE49-F238E27FC236}">
              <a16:creationId xmlns:a16="http://schemas.microsoft.com/office/drawing/2014/main" id="{EBE93F0E-643D-D051-7341-A988B7CFF025}"/>
            </a:ext>
          </a:extLst>
        </xdr:cNvPr>
        <xdr:cNvSpPr>
          <a:spLocks noChangeAspect="1" noChangeArrowheads="1"/>
        </xdr:cNvSpPr>
      </xdr:nvSpPr>
      <xdr:spPr bwMode="auto">
        <a:xfrm>
          <a:off x="200025" y="470211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438</xdr:row>
      <xdr:rowOff>0</xdr:rowOff>
    </xdr:from>
    <xdr:to>
      <xdr:col>1</xdr:col>
      <xdr:colOff>304800</xdr:colOff>
      <xdr:row>438</xdr:row>
      <xdr:rowOff>306160</xdr:rowOff>
    </xdr:to>
    <xdr:sp macro="" textlink="">
      <xdr:nvSpPr>
        <xdr:cNvPr id="6218" name="AutoShape 74" descr="Tombstone">
          <a:extLst>
            <a:ext uri="{FF2B5EF4-FFF2-40B4-BE49-F238E27FC236}">
              <a16:creationId xmlns:a16="http://schemas.microsoft.com/office/drawing/2014/main" id="{B6B25370-8486-B539-4A54-853D81BDB90B}"/>
            </a:ext>
          </a:extLst>
        </xdr:cNvPr>
        <xdr:cNvSpPr>
          <a:spLocks noChangeAspect="1" noChangeArrowheads="1"/>
        </xdr:cNvSpPr>
      </xdr:nvSpPr>
      <xdr:spPr bwMode="auto">
        <a:xfrm>
          <a:off x="200025" y="476754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444</xdr:row>
      <xdr:rowOff>0</xdr:rowOff>
    </xdr:from>
    <xdr:to>
      <xdr:col>1</xdr:col>
      <xdr:colOff>304800</xdr:colOff>
      <xdr:row>444</xdr:row>
      <xdr:rowOff>306160</xdr:rowOff>
    </xdr:to>
    <xdr:sp macro="" textlink="">
      <xdr:nvSpPr>
        <xdr:cNvPr id="6219" name="AutoShape 75" descr="Tombstone">
          <a:extLst>
            <a:ext uri="{FF2B5EF4-FFF2-40B4-BE49-F238E27FC236}">
              <a16:creationId xmlns:a16="http://schemas.microsoft.com/office/drawing/2014/main" id="{2A8DE129-984A-52A9-F3C4-924C95BE75C9}"/>
            </a:ext>
          </a:extLst>
        </xdr:cNvPr>
        <xdr:cNvSpPr>
          <a:spLocks noChangeAspect="1" noChangeArrowheads="1"/>
        </xdr:cNvSpPr>
      </xdr:nvSpPr>
      <xdr:spPr bwMode="auto">
        <a:xfrm>
          <a:off x="200025" y="48367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450</xdr:row>
      <xdr:rowOff>0</xdr:rowOff>
    </xdr:from>
    <xdr:to>
      <xdr:col>1</xdr:col>
      <xdr:colOff>304800</xdr:colOff>
      <xdr:row>450</xdr:row>
      <xdr:rowOff>306160</xdr:rowOff>
    </xdr:to>
    <xdr:sp macro="" textlink="">
      <xdr:nvSpPr>
        <xdr:cNvPr id="6220" name="AutoShape 76" descr="Tombstone">
          <a:extLst>
            <a:ext uri="{FF2B5EF4-FFF2-40B4-BE49-F238E27FC236}">
              <a16:creationId xmlns:a16="http://schemas.microsoft.com/office/drawing/2014/main" id="{CA0E65CA-F60F-50CB-A559-92A9FD6E17F8}"/>
            </a:ext>
          </a:extLst>
        </xdr:cNvPr>
        <xdr:cNvSpPr>
          <a:spLocks noChangeAspect="1" noChangeArrowheads="1"/>
        </xdr:cNvSpPr>
      </xdr:nvSpPr>
      <xdr:spPr bwMode="auto">
        <a:xfrm>
          <a:off x="200025" y="490223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456</xdr:row>
      <xdr:rowOff>0</xdr:rowOff>
    </xdr:from>
    <xdr:to>
      <xdr:col>1</xdr:col>
      <xdr:colOff>304800</xdr:colOff>
      <xdr:row>456</xdr:row>
      <xdr:rowOff>306160</xdr:rowOff>
    </xdr:to>
    <xdr:sp macro="" textlink="">
      <xdr:nvSpPr>
        <xdr:cNvPr id="6221" name="AutoShape 77" descr="Tombstone">
          <a:extLst>
            <a:ext uri="{FF2B5EF4-FFF2-40B4-BE49-F238E27FC236}">
              <a16:creationId xmlns:a16="http://schemas.microsoft.com/office/drawing/2014/main" id="{65848A8B-C79C-191F-28C3-F0BC872E8BC5}"/>
            </a:ext>
          </a:extLst>
        </xdr:cNvPr>
        <xdr:cNvSpPr>
          <a:spLocks noChangeAspect="1" noChangeArrowheads="1"/>
        </xdr:cNvSpPr>
      </xdr:nvSpPr>
      <xdr:spPr bwMode="auto">
        <a:xfrm>
          <a:off x="200025" y="496281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462</xdr:row>
      <xdr:rowOff>0</xdr:rowOff>
    </xdr:from>
    <xdr:to>
      <xdr:col>1</xdr:col>
      <xdr:colOff>304800</xdr:colOff>
      <xdr:row>462</xdr:row>
      <xdr:rowOff>306160</xdr:rowOff>
    </xdr:to>
    <xdr:sp macro="" textlink="">
      <xdr:nvSpPr>
        <xdr:cNvPr id="6222" name="AutoShape 78" descr="Tombstone">
          <a:extLst>
            <a:ext uri="{FF2B5EF4-FFF2-40B4-BE49-F238E27FC236}">
              <a16:creationId xmlns:a16="http://schemas.microsoft.com/office/drawing/2014/main" id="{6E902AFF-42BC-12D6-E9C1-130975F9D331}"/>
            </a:ext>
          </a:extLst>
        </xdr:cNvPr>
        <xdr:cNvSpPr>
          <a:spLocks noChangeAspect="1" noChangeArrowheads="1"/>
        </xdr:cNvSpPr>
      </xdr:nvSpPr>
      <xdr:spPr bwMode="auto">
        <a:xfrm>
          <a:off x="200025" y="502824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468</xdr:row>
      <xdr:rowOff>0</xdr:rowOff>
    </xdr:from>
    <xdr:to>
      <xdr:col>1</xdr:col>
      <xdr:colOff>304800</xdr:colOff>
      <xdr:row>468</xdr:row>
      <xdr:rowOff>306160</xdr:rowOff>
    </xdr:to>
    <xdr:sp macro="" textlink="">
      <xdr:nvSpPr>
        <xdr:cNvPr id="6223" name="AutoShape 79" descr="Tombstone">
          <a:extLst>
            <a:ext uri="{FF2B5EF4-FFF2-40B4-BE49-F238E27FC236}">
              <a16:creationId xmlns:a16="http://schemas.microsoft.com/office/drawing/2014/main" id="{6F43231C-2894-4198-B16C-22EB3D74240E}"/>
            </a:ext>
          </a:extLst>
        </xdr:cNvPr>
        <xdr:cNvSpPr>
          <a:spLocks noChangeAspect="1" noChangeArrowheads="1"/>
        </xdr:cNvSpPr>
      </xdr:nvSpPr>
      <xdr:spPr bwMode="auto">
        <a:xfrm>
          <a:off x="200025" y="509939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474</xdr:row>
      <xdr:rowOff>0</xdr:rowOff>
    </xdr:from>
    <xdr:to>
      <xdr:col>1</xdr:col>
      <xdr:colOff>304800</xdr:colOff>
      <xdr:row>474</xdr:row>
      <xdr:rowOff>306160</xdr:rowOff>
    </xdr:to>
    <xdr:sp macro="" textlink="">
      <xdr:nvSpPr>
        <xdr:cNvPr id="6224" name="AutoShape 80" descr="Tombstone">
          <a:extLst>
            <a:ext uri="{FF2B5EF4-FFF2-40B4-BE49-F238E27FC236}">
              <a16:creationId xmlns:a16="http://schemas.microsoft.com/office/drawing/2014/main" id="{AC6DAED1-B47C-8323-AD37-C431042030A2}"/>
            </a:ext>
          </a:extLst>
        </xdr:cNvPr>
        <xdr:cNvSpPr>
          <a:spLocks noChangeAspect="1" noChangeArrowheads="1"/>
        </xdr:cNvSpPr>
      </xdr:nvSpPr>
      <xdr:spPr bwMode="auto">
        <a:xfrm>
          <a:off x="200025" y="516483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480</xdr:row>
      <xdr:rowOff>0</xdr:rowOff>
    </xdr:from>
    <xdr:to>
      <xdr:col>1</xdr:col>
      <xdr:colOff>304800</xdr:colOff>
      <xdr:row>480</xdr:row>
      <xdr:rowOff>306160</xdr:rowOff>
    </xdr:to>
    <xdr:sp macro="" textlink="">
      <xdr:nvSpPr>
        <xdr:cNvPr id="6225" name="AutoShape 81" descr="Tombstone">
          <a:extLst>
            <a:ext uri="{FF2B5EF4-FFF2-40B4-BE49-F238E27FC236}">
              <a16:creationId xmlns:a16="http://schemas.microsoft.com/office/drawing/2014/main" id="{F9DB5B07-14C9-2601-D9FA-146D637E19B1}"/>
            </a:ext>
          </a:extLst>
        </xdr:cNvPr>
        <xdr:cNvSpPr>
          <a:spLocks noChangeAspect="1" noChangeArrowheads="1"/>
        </xdr:cNvSpPr>
      </xdr:nvSpPr>
      <xdr:spPr bwMode="auto">
        <a:xfrm>
          <a:off x="200025" y="523598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486</xdr:row>
      <xdr:rowOff>0</xdr:rowOff>
    </xdr:from>
    <xdr:to>
      <xdr:col>1</xdr:col>
      <xdr:colOff>304800</xdr:colOff>
      <xdr:row>486</xdr:row>
      <xdr:rowOff>306160</xdr:rowOff>
    </xdr:to>
    <xdr:sp macro="" textlink="">
      <xdr:nvSpPr>
        <xdr:cNvPr id="6226" name="AutoShape 82" descr="Tombstone">
          <a:extLst>
            <a:ext uri="{FF2B5EF4-FFF2-40B4-BE49-F238E27FC236}">
              <a16:creationId xmlns:a16="http://schemas.microsoft.com/office/drawing/2014/main" id="{C0E13318-990E-6150-47C1-7DCB820E3436}"/>
            </a:ext>
          </a:extLst>
        </xdr:cNvPr>
        <xdr:cNvSpPr>
          <a:spLocks noChangeAspect="1" noChangeArrowheads="1"/>
        </xdr:cNvSpPr>
      </xdr:nvSpPr>
      <xdr:spPr bwMode="auto">
        <a:xfrm>
          <a:off x="200025" y="530142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492</xdr:row>
      <xdr:rowOff>0</xdr:rowOff>
    </xdr:from>
    <xdr:to>
      <xdr:col>1</xdr:col>
      <xdr:colOff>304800</xdr:colOff>
      <xdr:row>492</xdr:row>
      <xdr:rowOff>306160</xdr:rowOff>
    </xdr:to>
    <xdr:sp macro="" textlink="">
      <xdr:nvSpPr>
        <xdr:cNvPr id="6227" name="AutoShape 83" descr="Tombstone">
          <a:extLst>
            <a:ext uri="{FF2B5EF4-FFF2-40B4-BE49-F238E27FC236}">
              <a16:creationId xmlns:a16="http://schemas.microsoft.com/office/drawing/2014/main" id="{27852AE4-565F-5432-E678-DEFD55D651D8}"/>
            </a:ext>
          </a:extLst>
        </xdr:cNvPr>
        <xdr:cNvSpPr>
          <a:spLocks noChangeAspect="1" noChangeArrowheads="1"/>
        </xdr:cNvSpPr>
      </xdr:nvSpPr>
      <xdr:spPr bwMode="auto">
        <a:xfrm>
          <a:off x="200025" y="536686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498</xdr:row>
      <xdr:rowOff>0</xdr:rowOff>
    </xdr:from>
    <xdr:to>
      <xdr:col>1</xdr:col>
      <xdr:colOff>304800</xdr:colOff>
      <xdr:row>498</xdr:row>
      <xdr:rowOff>306160</xdr:rowOff>
    </xdr:to>
    <xdr:sp macro="" textlink="">
      <xdr:nvSpPr>
        <xdr:cNvPr id="6228" name="AutoShape 84" descr="Tombstone">
          <a:extLst>
            <a:ext uri="{FF2B5EF4-FFF2-40B4-BE49-F238E27FC236}">
              <a16:creationId xmlns:a16="http://schemas.microsoft.com/office/drawing/2014/main" id="{7777AC0B-BE94-6F66-2171-BB8F982674BD}"/>
            </a:ext>
          </a:extLst>
        </xdr:cNvPr>
        <xdr:cNvSpPr>
          <a:spLocks noChangeAspect="1" noChangeArrowheads="1"/>
        </xdr:cNvSpPr>
      </xdr:nvSpPr>
      <xdr:spPr bwMode="auto">
        <a:xfrm>
          <a:off x="200025" y="543039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504</xdr:row>
      <xdr:rowOff>0</xdr:rowOff>
    </xdr:from>
    <xdr:to>
      <xdr:col>1</xdr:col>
      <xdr:colOff>304800</xdr:colOff>
      <xdr:row>504</xdr:row>
      <xdr:rowOff>306160</xdr:rowOff>
    </xdr:to>
    <xdr:sp macro="" textlink="">
      <xdr:nvSpPr>
        <xdr:cNvPr id="6229" name="AutoShape 85" descr="Tombstone">
          <a:extLst>
            <a:ext uri="{FF2B5EF4-FFF2-40B4-BE49-F238E27FC236}">
              <a16:creationId xmlns:a16="http://schemas.microsoft.com/office/drawing/2014/main" id="{19E961D0-A00B-CA05-0B9C-11EA17B72BB5}"/>
            </a:ext>
          </a:extLst>
        </xdr:cNvPr>
        <xdr:cNvSpPr>
          <a:spLocks noChangeAspect="1" noChangeArrowheads="1"/>
        </xdr:cNvSpPr>
      </xdr:nvSpPr>
      <xdr:spPr bwMode="auto">
        <a:xfrm>
          <a:off x="200025" y="549773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510</xdr:row>
      <xdr:rowOff>0</xdr:rowOff>
    </xdr:from>
    <xdr:to>
      <xdr:col>1</xdr:col>
      <xdr:colOff>304800</xdr:colOff>
      <xdr:row>510</xdr:row>
      <xdr:rowOff>306160</xdr:rowOff>
    </xdr:to>
    <xdr:sp macro="" textlink="">
      <xdr:nvSpPr>
        <xdr:cNvPr id="6230" name="AutoShape 86" descr="Tombstone">
          <a:extLst>
            <a:ext uri="{FF2B5EF4-FFF2-40B4-BE49-F238E27FC236}">
              <a16:creationId xmlns:a16="http://schemas.microsoft.com/office/drawing/2014/main" id="{91C68795-2761-A0A1-B062-729B71DE8FDB}"/>
            </a:ext>
          </a:extLst>
        </xdr:cNvPr>
        <xdr:cNvSpPr>
          <a:spLocks noChangeAspect="1" noChangeArrowheads="1"/>
        </xdr:cNvSpPr>
      </xdr:nvSpPr>
      <xdr:spPr bwMode="auto">
        <a:xfrm>
          <a:off x="200025" y="556317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516</xdr:row>
      <xdr:rowOff>0</xdr:rowOff>
    </xdr:from>
    <xdr:to>
      <xdr:col>1</xdr:col>
      <xdr:colOff>304800</xdr:colOff>
      <xdr:row>516</xdr:row>
      <xdr:rowOff>306160</xdr:rowOff>
    </xdr:to>
    <xdr:sp macro="" textlink="">
      <xdr:nvSpPr>
        <xdr:cNvPr id="6231" name="AutoShape 87" descr="Tombstone">
          <a:extLst>
            <a:ext uri="{FF2B5EF4-FFF2-40B4-BE49-F238E27FC236}">
              <a16:creationId xmlns:a16="http://schemas.microsoft.com/office/drawing/2014/main" id="{90930782-3A1A-D419-2D57-56C23453D2CE}"/>
            </a:ext>
          </a:extLst>
        </xdr:cNvPr>
        <xdr:cNvSpPr>
          <a:spLocks noChangeAspect="1" noChangeArrowheads="1"/>
        </xdr:cNvSpPr>
      </xdr:nvSpPr>
      <xdr:spPr bwMode="auto">
        <a:xfrm>
          <a:off x="200025" y="563051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522</xdr:row>
      <xdr:rowOff>0</xdr:rowOff>
    </xdr:from>
    <xdr:to>
      <xdr:col>1</xdr:col>
      <xdr:colOff>304800</xdr:colOff>
      <xdr:row>522</xdr:row>
      <xdr:rowOff>306160</xdr:rowOff>
    </xdr:to>
    <xdr:sp macro="" textlink="">
      <xdr:nvSpPr>
        <xdr:cNvPr id="6232" name="AutoShape 88" descr="Tombstone">
          <a:extLst>
            <a:ext uri="{FF2B5EF4-FFF2-40B4-BE49-F238E27FC236}">
              <a16:creationId xmlns:a16="http://schemas.microsoft.com/office/drawing/2014/main" id="{B39ABA01-E574-356C-493A-47CF78B8351D}"/>
            </a:ext>
          </a:extLst>
        </xdr:cNvPr>
        <xdr:cNvSpPr>
          <a:spLocks noChangeAspect="1" noChangeArrowheads="1"/>
        </xdr:cNvSpPr>
      </xdr:nvSpPr>
      <xdr:spPr bwMode="auto">
        <a:xfrm>
          <a:off x="200025" y="568547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528</xdr:row>
      <xdr:rowOff>0</xdr:rowOff>
    </xdr:from>
    <xdr:to>
      <xdr:col>1</xdr:col>
      <xdr:colOff>304800</xdr:colOff>
      <xdr:row>528</xdr:row>
      <xdr:rowOff>306160</xdr:rowOff>
    </xdr:to>
    <xdr:sp macro="" textlink="">
      <xdr:nvSpPr>
        <xdr:cNvPr id="6233" name="AutoShape 89" descr="Tombstone">
          <a:extLst>
            <a:ext uri="{FF2B5EF4-FFF2-40B4-BE49-F238E27FC236}">
              <a16:creationId xmlns:a16="http://schemas.microsoft.com/office/drawing/2014/main" id="{F6658D50-6E22-5CF9-1DAB-AB58FB897CBC}"/>
            </a:ext>
          </a:extLst>
        </xdr:cNvPr>
        <xdr:cNvSpPr>
          <a:spLocks noChangeAspect="1" noChangeArrowheads="1"/>
        </xdr:cNvSpPr>
      </xdr:nvSpPr>
      <xdr:spPr bwMode="auto">
        <a:xfrm>
          <a:off x="200025" y="575090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534</xdr:row>
      <xdr:rowOff>0</xdr:rowOff>
    </xdr:from>
    <xdr:to>
      <xdr:col>1</xdr:col>
      <xdr:colOff>304800</xdr:colOff>
      <xdr:row>534</xdr:row>
      <xdr:rowOff>306160</xdr:rowOff>
    </xdr:to>
    <xdr:sp macro="" textlink="">
      <xdr:nvSpPr>
        <xdr:cNvPr id="6234" name="AutoShape 90" descr="Tombstone">
          <a:extLst>
            <a:ext uri="{FF2B5EF4-FFF2-40B4-BE49-F238E27FC236}">
              <a16:creationId xmlns:a16="http://schemas.microsoft.com/office/drawing/2014/main" id="{CB8A6333-7DC8-0018-8C02-8F29A9731326}"/>
            </a:ext>
          </a:extLst>
        </xdr:cNvPr>
        <xdr:cNvSpPr>
          <a:spLocks noChangeAspect="1" noChangeArrowheads="1"/>
        </xdr:cNvSpPr>
      </xdr:nvSpPr>
      <xdr:spPr bwMode="auto">
        <a:xfrm>
          <a:off x="200025" y="581444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540</xdr:row>
      <xdr:rowOff>0</xdr:rowOff>
    </xdr:from>
    <xdr:to>
      <xdr:col>1</xdr:col>
      <xdr:colOff>304800</xdr:colOff>
      <xdr:row>540</xdr:row>
      <xdr:rowOff>306160</xdr:rowOff>
    </xdr:to>
    <xdr:sp macro="" textlink="">
      <xdr:nvSpPr>
        <xdr:cNvPr id="6235" name="AutoShape 91" descr="Tombstone">
          <a:extLst>
            <a:ext uri="{FF2B5EF4-FFF2-40B4-BE49-F238E27FC236}">
              <a16:creationId xmlns:a16="http://schemas.microsoft.com/office/drawing/2014/main" id="{D5F6AEF9-E990-E642-9C9C-9D66E2A7DC9A}"/>
            </a:ext>
          </a:extLst>
        </xdr:cNvPr>
        <xdr:cNvSpPr>
          <a:spLocks noChangeAspect="1" noChangeArrowheads="1"/>
        </xdr:cNvSpPr>
      </xdr:nvSpPr>
      <xdr:spPr bwMode="auto">
        <a:xfrm>
          <a:off x="200025" y="588178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546</xdr:row>
      <xdr:rowOff>0</xdr:rowOff>
    </xdr:from>
    <xdr:to>
      <xdr:col>1</xdr:col>
      <xdr:colOff>304800</xdr:colOff>
      <xdr:row>546</xdr:row>
      <xdr:rowOff>306160</xdr:rowOff>
    </xdr:to>
    <xdr:sp macro="" textlink="">
      <xdr:nvSpPr>
        <xdr:cNvPr id="6236" name="AutoShape 92" descr="Tombstone">
          <a:extLst>
            <a:ext uri="{FF2B5EF4-FFF2-40B4-BE49-F238E27FC236}">
              <a16:creationId xmlns:a16="http://schemas.microsoft.com/office/drawing/2014/main" id="{00DAC0E1-6F59-E5C0-03B1-8626215BA87D}"/>
            </a:ext>
          </a:extLst>
        </xdr:cNvPr>
        <xdr:cNvSpPr>
          <a:spLocks noChangeAspect="1" noChangeArrowheads="1"/>
        </xdr:cNvSpPr>
      </xdr:nvSpPr>
      <xdr:spPr bwMode="auto">
        <a:xfrm>
          <a:off x="200025" y="594912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552</xdr:row>
      <xdr:rowOff>0</xdr:rowOff>
    </xdr:from>
    <xdr:to>
      <xdr:col>1</xdr:col>
      <xdr:colOff>304800</xdr:colOff>
      <xdr:row>552</xdr:row>
      <xdr:rowOff>306160</xdr:rowOff>
    </xdr:to>
    <xdr:sp macro="" textlink="">
      <xdr:nvSpPr>
        <xdr:cNvPr id="6237" name="AutoShape 93" descr="Tombstone">
          <a:extLst>
            <a:ext uri="{FF2B5EF4-FFF2-40B4-BE49-F238E27FC236}">
              <a16:creationId xmlns:a16="http://schemas.microsoft.com/office/drawing/2014/main" id="{B936C034-7988-4A36-C9B4-99A1C753FF0C}"/>
            </a:ext>
          </a:extLst>
        </xdr:cNvPr>
        <xdr:cNvSpPr>
          <a:spLocks noChangeAspect="1" noChangeArrowheads="1"/>
        </xdr:cNvSpPr>
      </xdr:nvSpPr>
      <xdr:spPr bwMode="auto">
        <a:xfrm>
          <a:off x="200025" y="601456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558</xdr:row>
      <xdr:rowOff>0</xdr:rowOff>
    </xdr:from>
    <xdr:to>
      <xdr:col>1</xdr:col>
      <xdr:colOff>304800</xdr:colOff>
      <xdr:row>558</xdr:row>
      <xdr:rowOff>306160</xdr:rowOff>
    </xdr:to>
    <xdr:sp macro="" textlink="">
      <xdr:nvSpPr>
        <xdr:cNvPr id="6238" name="AutoShape 94" descr="Tombstone">
          <a:extLst>
            <a:ext uri="{FF2B5EF4-FFF2-40B4-BE49-F238E27FC236}">
              <a16:creationId xmlns:a16="http://schemas.microsoft.com/office/drawing/2014/main" id="{1032C1CA-2AC8-0CF2-7601-8B71291758AA}"/>
            </a:ext>
          </a:extLst>
        </xdr:cNvPr>
        <xdr:cNvSpPr>
          <a:spLocks noChangeAspect="1" noChangeArrowheads="1"/>
        </xdr:cNvSpPr>
      </xdr:nvSpPr>
      <xdr:spPr bwMode="auto">
        <a:xfrm>
          <a:off x="200025" y="607999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564</xdr:row>
      <xdr:rowOff>0</xdr:rowOff>
    </xdr:from>
    <xdr:to>
      <xdr:col>1</xdr:col>
      <xdr:colOff>304800</xdr:colOff>
      <xdr:row>564</xdr:row>
      <xdr:rowOff>306160</xdr:rowOff>
    </xdr:to>
    <xdr:sp macro="" textlink="">
      <xdr:nvSpPr>
        <xdr:cNvPr id="6239" name="AutoShape 95" descr="Tombstone">
          <a:extLst>
            <a:ext uri="{FF2B5EF4-FFF2-40B4-BE49-F238E27FC236}">
              <a16:creationId xmlns:a16="http://schemas.microsoft.com/office/drawing/2014/main" id="{A9E702DC-86ED-B5E6-6427-1EA5E2AF95A7}"/>
            </a:ext>
          </a:extLst>
        </xdr:cNvPr>
        <xdr:cNvSpPr>
          <a:spLocks noChangeAspect="1" noChangeArrowheads="1"/>
        </xdr:cNvSpPr>
      </xdr:nvSpPr>
      <xdr:spPr bwMode="auto">
        <a:xfrm>
          <a:off x="200025" y="614543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570</xdr:row>
      <xdr:rowOff>0</xdr:rowOff>
    </xdr:from>
    <xdr:to>
      <xdr:col>1</xdr:col>
      <xdr:colOff>304800</xdr:colOff>
      <xdr:row>570</xdr:row>
      <xdr:rowOff>306160</xdr:rowOff>
    </xdr:to>
    <xdr:sp macro="" textlink="">
      <xdr:nvSpPr>
        <xdr:cNvPr id="6240" name="AutoShape 96" descr="Tombstone">
          <a:extLst>
            <a:ext uri="{FF2B5EF4-FFF2-40B4-BE49-F238E27FC236}">
              <a16:creationId xmlns:a16="http://schemas.microsoft.com/office/drawing/2014/main" id="{BE070766-551C-E9BD-97D1-F79B1A7CEE91}"/>
            </a:ext>
          </a:extLst>
        </xdr:cNvPr>
        <xdr:cNvSpPr>
          <a:spLocks noChangeAspect="1" noChangeArrowheads="1"/>
        </xdr:cNvSpPr>
      </xdr:nvSpPr>
      <xdr:spPr bwMode="auto">
        <a:xfrm>
          <a:off x="200025" y="620410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576</xdr:row>
      <xdr:rowOff>0</xdr:rowOff>
    </xdr:from>
    <xdr:to>
      <xdr:col>1</xdr:col>
      <xdr:colOff>304800</xdr:colOff>
      <xdr:row>576</xdr:row>
      <xdr:rowOff>306160</xdr:rowOff>
    </xdr:to>
    <xdr:sp macro="" textlink="">
      <xdr:nvSpPr>
        <xdr:cNvPr id="6241" name="AutoShape 97" descr="Tombstone">
          <a:extLst>
            <a:ext uri="{FF2B5EF4-FFF2-40B4-BE49-F238E27FC236}">
              <a16:creationId xmlns:a16="http://schemas.microsoft.com/office/drawing/2014/main" id="{55DC4BDE-F2F5-11C5-7A57-35EDBCBF5E52}"/>
            </a:ext>
          </a:extLst>
        </xdr:cNvPr>
        <xdr:cNvSpPr>
          <a:spLocks noChangeAspect="1" noChangeArrowheads="1"/>
        </xdr:cNvSpPr>
      </xdr:nvSpPr>
      <xdr:spPr bwMode="auto">
        <a:xfrm>
          <a:off x="200025" y="626954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582</xdr:row>
      <xdr:rowOff>0</xdr:rowOff>
    </xdr:from>
    <xdr:to>
      <xdr:col>1</xdr:col>
      <xdr:colOff>304800</xdr:colOff>
      <xdr:row>582</xdr:row>
      <xdr:rowOff>306160</xdr:rowOff>
    </xdr:to>
    <xdr:sp macro="" textlink="">
      <xdr:nvSpPr>
        <xdr:cNvPr id="6242" name="AutoShape 98" descr="Tombstone">
          <a:extLst>
            <a:ext uri="{FF2B5EF4-FFF2-40B4-BE49-F238E27FC236}">
              <a16:creationId xmlns:a16="http://schemas.microsoft.com/office/drawing/2014/main" id="{16CDB9EF-B34D-EA28-2632-7780B91F3D14}"/>
            </a:ext>
          </a:extLst>
        </xdr:cNvPr>
        <xdr:cNvSpPr>
          <a:spLocks noChangeAspect="1" noChangeArrowheads="1"/>
        </xdr:cNvSpPr>
      </xdr:nvSpPr>
      <xdr:spPr bwMode="auto">
        <a:xfrm>
          <a:off x="200025" y="633688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588</xdr:row>
      <xdr:rowOff>0</xdr:rowOff>
    </xdr:from>
    <xdr:to>
      <xdr:col>1</xdr:col>
      <xdr:colOff>304800</xdr:colOff>
      <xdr:row>588</xdr:row>
      <xdr:rowOff>306160</xdr:rowOff>
    </xdr:to>
    <xdr:sp macro="" textlink="">
      <xdr:nvSpPr>
        <xdr:cNvPr id="6243" name="AutoShape 99" descr="Tombstone">
          <a:extLst>
            <a:ext uri="{FF2B5EF4-FFF2-40B4-BE49-F238E27FC236}">
              <a16:creationId xmlns:a16="http://schemas.microsoft.com/office/drawing/2014/main" id="{9C7C6824-E39A-4B22-8850-898684C0149C}"/>
            </a:ext>
          </a:extLst>
        </xdr:cNvPr>
        <xdr:cNvSpPr>
          <a:spLocks noChangeAspect="1" noChangeArrowheads="1"/>
        </xdr:cNvSpPr>
      </xdr:nvSpPr>
      <xdr:spPr bwMode="auto">
        <a:xfrm>
          <a:off x="200025" y="64042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594</xdr:row>
      <xdr:rowOff>0</xdr:rowOff>
    </xdr:from>
    <xdr:to>
      <xdr:col>1</xdr:col>
      <xdr:colOff>304800</xdr:colOff>
      <xdr:row>594</xdr:row>
      <xdr:rowOff>306160</xdr:rowOff>
    </xdr:to>
    <xdr:sp macro="" textlink="">
      <xdr:nvSpPr>
        <xdr:cNvPr id="6244" name="AutoShape 100" descr="Tombstone">
          <a:extLst>
            <a:ext uri="{FF2B5EF4-FFF2-40B4-BE49-F238E27FC236}">
              <a16:creationId xmlns:a16="http://schemas.microsoft.com/office/drawing/2014/main" id="{A08E8774-E343-01D0-1F50-83CAD3C83FBD}"/>
            </a:ext>
          </a:extLst>
        </xdr:cNvPr>
        <xdr:cNvSpPr>
          <a:spLocks noChangeAspect="1" noChangeArrowheads="1"/>
        </xdr:cNvSpPr>
      </xdr:nvSpPr>
      <xdr:spPr bwMode="auto">
        <a:xfrm>
          <a:off x="200025" y="647157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600</xdr:row>
      <xdr:rowOff>0</xdr:rowOff>
    </xdr:from>
    <xdr:to>
      <xdr:col>1</xdr:col>
      <xdr:colOff>304800</xdr:colOff>
      <xdr:row>600</xdr:row>
      <xdr:rowOff>306160</xdr:rowOff>
    </xdr:to>
    <xdr:sp macro="" textlink="">
      <xdr:nvSpPr>
        <xdr:cNvPr id="6245" name="AutoShape 101" descr="Tombstone">
          <a:extLst>
            <a:ext uri="{FF2B5EF4-FFF2-40B4-BE49-F238E27FC236}">
              <a16:creationId xmlns:a16="http://schemas.microsoft.com/office/drawing/2014/main" id="{CC6EDE81-2A82-3ADD-8AAC-B9687B44835B}"/>
            </a:ext>
          </a:extLst>
        </xdr:cNvPr>
        <xdr:cNvSpPr>
          <a:spLocks noChangeAspect="1" noChangeArrowheads="1"/>
        </xdr:cNvSpPr>
      </xdr:nvSpPr>
      <xdr:spPr bwMode="auto">
        <a:xfrm>
          <a:off x="200025" y="65389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606</xdr:row>
      <xdr:rowOff>0</xdr:rowOff>
    </xdr:from>
    <xdr:to>
      <xdr:col>1</xdr:col>
      <xdr:colOff>304800</xdr:colOff>
      <xdr:row>606</xdr:row>
      <xdr:rowOff>306160</xdr:rowOff>
    </xdr:to>
    <xdr:sp macro="" textlink="">
      <xdr:nvSpPr>
        <xdr:cNvPr id="6246" name="AutoShape 102" descr="Tombstone">
          <a:extLst>
            <a:ext uri="{FF2B5EF4-FFF2-40B4-BE49-F238E27FC236}">
              <a16:creationId xmlns:a16="http://schemas.microsoft.com/office/drawing/2014/main" id="{60EE297F-F7A1-71AE-CDBB-7B787EAD62F4}"/>
            </a:ext>
          </a:extLst>
        </xdr:cNvPr>
        <xdr:cNvSpPr>
          <a:spLocks noChangeAspect="1" noChangeArrowheads="1"/>
        </xdr:cNvSpPr>
      </xdr:nvSpPr>
      <xdr:spPr bwMode="auto">
        <a:xfrm>
          <a:off x="200025" y="660434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612</xdr:row>
      <xdr:rowOff>0</xdr:rowOff>
    </xdr:from>
    <xdr:to>
      <xdr:col>1</xdr:col>
      <xdr:colOff>304800</xdr:colOff>
      <xdr:row>612</xdr:row>
      <xdr:rowOff>306160</xdr:rowOff>
    </xdr:to>
    <xdr:sp macro="" textlink="">
      <xdr:nvSpPr>
        <xdr:cNvPr id="6247" name="AutoShape 103" descr="Tombstone">
          <a:extLst>
            <a:ext uri="{FF2B5EF4-FFF2-40B4-BE49-F238E27FC236}">
              <a16:creationId xmlns:a16="http://schemas.microsoft.com/office/drawing/2014/main" id="{3E33D9AD-1A4B-6E0C-9DC6-3BBA8013010B}"/>
            </a:ext>
          </a:extLst>
        </xdr:cNvPr>
        <xdr:cNvSpPr>
          <a:spLocks noChangeAspect="1" noChangeArrowheads="1"/>
        </xdr:cNvSpPr>
      </xdr:nvSpPr>
      <xdr:spPr bwMode="auto">
        <a:xfrm>
          <a:off x="200025" y="666978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618</xdr:row>
      <xdr:rowOff>0</xdr:rowOff>
    </xdr:from>
    <xdr:to>
      <xdr:col>1</xdr:col>
      <xdr:colOff>304800</xdr:colOff>
      <xdr:row>618</xdr:row>
      <xdr:rowOff>306160</xdr:rowOff>
    </xdr:to>
    <xdr:sp macro="" textlink="">
      <xdr:nvSpPr>
        <xdr:cNvPr id="6248" name="AutoShape 104" descr="Tombstone">
          <a:extLst>
            <a:ext uri="{FF2B5EF4-FFF2-40B4-BE49-F238E27FC236}">
              <a16:creationId xmlns:a16="http://schemas.microsoft.com/office/drawing/2014/main" id="{FADAF0A3-1AE4-4A4D-ABA2-C9A6BB2776E5}"/>
            </a:ext>
          </a:extLst>
        </xdr:cNvPr>
        <xdr:cNvSpPr>
          <a:spLocks noChangeAspect="1" noChangeArrowheads="1"/>
        </xdr:cNvSpPr>
      </xdr:nvSpPr>
      <xdr:spPr bwMode="auto">
        <a:xfrm>
          <a:off x="200025" y="673522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624</xdr:row>
      <xdr:rowOff>0</xdr:rowOff>
    </xdr:from>
    <xdr:to>
      <xdr:col>1</xdr:col>
      <xdr:colOff>304800</xdr:colOff>
      <xdr:row>624</xdr:row>
      <xdr:rowOff>306160</xdr:rowOff>
    </xdr:to>
    <xdr:sp macro="" textlink="">
      <xdr:nvSpPr>
        <xdr:cNvPr id="6249" name="AutoShape 105" descr="Tombstone">
          <a:extLst>
            <a:ext uri="{FF2B5EF4-FFF2-40B4-BE49-F238E27FC236}">
              <a16:creationId xmlns:a16="http://schemas.microsoft.com/office/drawing/2014/main" id="{CE809134-58C5-C0B7-971E-AC34FAF5211E}"/>
            </a:ext>
          </a:extLst>
        </xdr:cNvPr>
        <xdr:cNvSpPr>
          <a:spLocks noChangeAspect="1" noChangeArrowheads="1"/>
        </xdr:cNvSpPr>
      </xdr:nvSpPr>
      <xdr:spPr bwMode="auto">
        <a:xfrm>
          <a:off x="200025" y="679875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630</xdr:row>
      <xdr:rowOff>0</xdr:rowOff>
    </xdr:from>
    <xdr:to>
      <xdr:col>1</xdr:col>
      <xdr:colOff>304800</xdr:colOff>
      <xdr:row>630</xdr:row>
      <xdr:rowOff>306160</xdr:rowOff>
    </xdr:to>
    <xdr:sp macro="" textlink="">
      <xdr:nvSpPr>
        <xdr:cNvPr id="6250" name="AutoShape 106" descr="Tombstone">
          <a:extLst>
            <a:ext uri="{FF2B5EF4-FFF2-40B4-BE49-F238E27FC236}">
              <a16:creationId xmlns:a16="http://schemas.microsoft.com/office/drawing/2014/main" id="{C6C27974-81F1-CA7D-27B1-F3F07071510A}"/>
            </a:ext>
          </a:extLst>
        </xdr:cNvPr>
        <xdr:cNvSpPr>
          <a:spLocks noChangeAspect="1" noChangeArrowheads="1"/>
        </xdr:cNvSpPr>
      </xdr:nvSpPr>
      <xdr:spPr bwMode="auto">
        <a:xfrm>
          <a:off x="200025" y="686419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636</xdr:row>
      <xdr:rowOff>0</xdr:rowOff>
    </xdr:from>
    <xdr:to>
      <xdr:col>1</xdr:col>
      <xdr:colOff>304800</xdr:colOff>
      <xdr:row>636</xdr:row>
      <xdr:rowOff>306160</xdr:rowOff>
    </xdr:to>
    <xdr:sp macro="" textlink="">
      <xdr:nvSpPr>
        <xdr:cNvPr id="6251" name="AutoShape 107" descr="Tombstone">
          <a:extLst>
            <a:ext uri="{FF2B5EF4-FFF2-40B4-BE49-F238E27FC236}">
              <a16:creationId xmlns:a16="http://schemas.microsoft.com/office/drawing/2014/main" id="{30D130FA-E7A8-013B-3E2F-8CF0383BDEAE}"/>
            </a:ext>
          </a:extLst>
        </xdr:cNvPr>
        <xdr:cNvSpPr>
          <a:spLocks noChangeAspect="1" noChangeArrowheads="1"/>
        </xdr:cNvSpPr>
      </xdr:nvSpPr>
      <xdr:spPr bwMode="auto">
        <a:xfrm>
          <a:off x="200025" y="693153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642</xdr:row>
      <xdr:rowOff>0</xdr:rowOff>
    </xdr:from>
    <xdr:to>
      <xdr:col>1</xdr:col>
      <xdr:colOff>304800</xdr:colOff>
      <xdr:row>642</xdr:row>
      <xdr:rowOff>306160</xdr:rowOff>
    </xdr:to>
    <xdr:sp macro="" textlink="">
      <xdr:nvSpPr>
        <xdr:cNvPr id="6252" name="AutoShape 108" descr="Tombstone">
          <a:extLst>
            <a:ext uri="{FF2B5EF4-FFF2-40B4-BE49-F238E27FC236}">
              <a16:creationId xmlns:a16="http://schemas.microsoft.com/office/drawing/2014/main" id="{FC502771-57F1-A045-753A-3DB03BF28322}"/>
            </a:ext>
          </a:extLst>
        </xdr:cNvPr>
        <xdr:cNvSpPr>
          <a:spLocks noChangeAspect="1" noChangeArrowheads="1"/>
        </xdr:cNvSpPr>
      </xdr:nvSpPr>
      <xdr:spPr bwMode="auto">
        <a:xfrm>
          <a:off x="200025" y="699696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648</xdr:row>
      <xdr:rowOff>0</xdr:rowOff>
    </xdr:from>
    <xdr:to>
      <xdr:col>1</xdr:col>
      <xdr:colOff>304800</xdr:colOff>
      <xdr:row>648</xdr:row>
      <xdr:rowOff>306160</xdr:rowOff>
    </xdr:to>
    <xdr:sp macro="" textlink="">
      <xdr:nvSpPr>
        <xdr:cNvPr id="6253" name="AutoShape 109" descr="Tombstone">
          <a:extLst>
            <a:ext uri="{FF2B5EF4-FFF2-40B4-BE49-F238E27FC236}">
              <a16:creationId xmlns:a16="http://schemas.microsoft.com/office/drawing/2014/main" id="{839E7FFF-2121-22D0-2E29-0893B6E84AFC}"/>
            </a:ext>
          </a:extLst>
        </xdr:cNvPr>
        <xdr:cNvSpPr>
          <a:spLocks noChangeAspect="1" noChangeArrowheads="1"/>
        </xdr:cNvSpPr>
      </xdr:nvSpPr>
      <xdr:spPr bwMode="auto">
        <a:xfrm>
          <a:off x="200025" y="706240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654</xdr:row>
      <xdr:rowOff>0</xdr:rowOff>
    </xdr:from>
    <xdr:to>
      <xdr:col>1</xdr:col>
      <xdr:colOff>304800</xdr:colOff>
      <xdr:row>654</xdr:row>
      <xdr:rowOff>306160</xdr:rowOff>
    </xdr:to>
    <xdr:sp macro="" textlink="">
      <xdr:nvSpPr>
        <xdr:cNvPr id="6254" name="AutoShape 110" descr="Tombstone">
          <a:extLst>
            <a:ext uri="{FF2B5EF4-FFF2-40B4-BE49-F238E27FC236}">
              <a16:creationId xmlns:a16="http://schemas.microsoft.com/office/drawing/2014/main" id="{278CE530-EE26-4A03-5BE3-8E750EED17C0}"/>
            </a:ext>
          </a:extLst>
        </xdr:cNvPr>
        <xdr:cNvSpPr>
          <a:spLocks noChangeAspect="1" noChangeArrowheads="1"/>
        </xdr:cNvSpPr>
      </xdr:nvSpPr>
      <xdr:spPr bwMode="auto">
        <a:xfrm>
          <a:off x="200025" y="712974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660</xdr:row>
      <xdr:rowOff>0</xdr:rowOff>
    </xdr:from>
    <xdr:to>
      <xdr:col>1</xdr:col>
      <xdr:colOff>304800</xdr:colOff>
      <xdr:row>660</xdr:row>
      <xdr:rowOff>306160</xdr:rowOff>
    </xdr:to>
    <xdr:sp macro="" textlink="">
      <xdr:nvSpPr>
        <xdr:cNvPr id="6255" name="AutoShape 111" descr="Tombstone">
          <a:extLst>
            <a:ext uri="{FF2B5EF4-FFF2-40B4-BE49-F238E27FC236}">
              <a16:creationId xmlns:a16="http://schemas.microsoft.com/office/drawing/2014/main" id="{2D45A7A1-7151-DB7D-1A11-7B5115CFEF89}"/>
            </a:ext>
          </a:extLst>
        </xdr:cNvPr>
        <xdr:cNvSpPr>
          <a:spLocks noChangeAspect="1" noChangeArrowheads="1"/>
        </xdr:cNvSpPr>
      </xdr:nvSpPr>
      <xdr:spPr bwMode="auto">
        <a:xfrm>
          <a:off x="200025" y="71951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666</xdr:row>
      <xdr:rowOff>0</xdr:rowOff>
    </xdr:from>
    <xdr:to>
      <xdr:col>1</xdr:col>
      <xdr:colOff>304800</xdr:colOff>
      <xdr:row>666</xdr:row>
      <xdr:rowOff>306160</xdr:rowOff>
    </xdr:to>
    <xdr:sp macro="" textlink="">
      <xdr:nvSpPr>
        <xdr:cNvPr id="6256" name="AutoShape 112" descr="Tombstone">
          <a:extLst>
            <a:ext uri="{FF2B5EF4-FFF2-40B4-BE49-F238E27FC236}">
              <a16:creationId xmlns:a16="http://schemas.microsoft.com/office/drawing/2014/main" id="{DF4ABD7D-5A9F-C83E-B213-FF7BE2A05EE6}"/>
            </a:ext>
          </a:extLst>
        </xdr:cNvPr>
        <xdr:cNvSpPr>
          <a:spLocks noChangeAspect="1" noChangeArrowheads="1"/>
        </xdr:cNvSpPr>
      </xdr:nvSpPr>
      <xdr:spPr bwMode="auto">
        <a:xfrm>
          <a:off x="200025" y="726252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672</xdr:row>
      <xdr:rowOff>0</xdr:rowOff>
    </xdr:from>
    <xdr:to>
      <xdr:col>1</xdr:col>
      <xdr:colOff>304800</xdr:colOff>
      <xdr:row>672</xdr:row>
      <xdr:rowOff>306160</xdr:rowOff>
    </xdr:to>
    <xdr:sp macro="" textlink="">
      <xdr:nvSpPr>
        <xdr:cNvPr id="6257" name="AutoShape 113" descr="Tombstone">
          <a:extLst>
            <a:ext uri="{FF2B5EF4-FFF2-40B4-BE49-F238E27FC236}">
              <a16:creationId xmlns:a16="http://schemas.microsoft.com/office/drawing/2014/main" id="{1B7EAA7A-FDA1-B9D2-BA8E-9A80192237C5}"/>
            </a:ext>
          </a:extLst>
        </xdr:cNvPr>
        <xdr:cNvSpPr>
          <a:spLocks noChangeAspect="1" noChangeArrowheads="1"/>
        </xdr:cNvSpPr>
      </xdr:nvSpPr>
      <xdr:spPr bwMode="auto">
        <a:xfrm>
          <a:off x="200025" y="733177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678</xdr:row>
      <xdr:rowOff>0</xdr:rowOff>
    </xdr:from>
    <xdr:to>
      <xdr:col>1</xdr:col>
      <xdr:colOff>304800</xdr:colOff>
      <xdr:row>678</xdr:row>
      <xdr:rowOff>306160</xdr:rowOff>
    </xdr:to>
    <xdr:sp macro="" textlink="">
      <xdr:nvSpPr>
        <xdr:cNvPr id="6258" name="AutoShape 114" descr="Tombstone">
          <a:extLst>
            <a:ext uri="{FF2B5EF4-FFF2-40B4-BE49-F238E27FC236}">
              <a16:creationId xmlns:a16="http://schemas.microsoft.com/office/drawing/2014/main" id="{2295F204-07E3-9C53-A9CD-F03D014D2CE2}"/>
            </a:ext>
          </a:extLst>
        </xdr:cNvPr>
        <xdr:cNvSpPr>
          <a:spLocks noChangeAspect="1" noChangeArrowheads="1"/>
        </xdr:cNvSpPr>
      </xdr:nvSpPr>
      <xdr:spPr bwMode="auto">
        <a:xfrm>
          <a:off x="200025" y="739911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684</xdr:row>
      <xdr:rowOff>0</xdr:rowOff>
    </xdr:from>
    <xdr:to>
      <xdr:col>1</xdr:col>
      <xdr:colOff>304800</xdr:colOff>
      <xdr:row>684</xdr:row>
      <xdr:rowOff>306160</xdr:rowOff>
    </xdr:to>
    <xdr:sp macro="" textlink="">
      <xdr:nvSpPr>
        <xdr:cNvPr id="6259" name="AutoShape 115" descr="Tombstone">
          <a:extLst>
            <a:ext uri="{FF2B5EF4-FFF2-40B4-BE49-F238E27FC236}">
              <a16:creationId xmlns:a16="http://schemas.microsoft.com/office/drawing/2014/main" id="{900CC579-9673-298E-2DF2-A5FA3CC49AFC}"/>
            </a:ext>
          </a:extLst>
        </xdr:cNvPr>
        <xdr:cNvSpPr>
          <a:spLocks noChangeAspect="1" noChangeArrowheads="1"/>
        </xdr:cNvSpPr>
      </xdr:nvSpPr>
      <xdr:spPr bwMode="auto">
        <a:xfrm>
          <a:off x="200025" y="746455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690</xdr:row>
      <xdr:rowOff>0</xdr:rowOff>
    </xdr:from>
    <xdr:to>
      <xdr:col>1</xdr:col>
      <xdr:colOff>304800</xdr:colOff>
      <xdr:row>690</xdr:row>
      <xdr:rowOff>306160</xdr:rowOff>
    </xdr:to>
    <xdr:sp macro="" textlink="">
      <xdr:nvSpPr>
        <xdr:cNvPr id="6260" name="AutoShape 116" descr="Tombstone">
          <a:extLst>
            <a:ext uri="{FF2B5EF4-FFF2-40B4-BE49-F238E27FC236}">
              <a16:creationId xmlns:a16="http://schemas.microsoft.com/office/drawing/2014/main" id="{116EF647-8684-04A9-3936-EFBA2382D79C}"/>
            </a:ext>
          </a:extLst>
        </xdr:cNvPr>
        <xdr:cNvSpPr>
          <a:spLocks noChangeAspect="1" noChangeArrowheads="1"/>
        </xdr:cNvSpPr>
      </xdr:nvSpPr>
      <xdr:spPr bwMode="auto">
        <a:xfrm>
          <a:off x="200025" y="752998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696</xdr:row>
      <xdr:rowOff>0</xdr:rowOff>
    </xdr:from>
    <xdr:to>
      <xdr:col>1</xdr:col>
      <xdr:colOff>304800</xdr:colOff>
      <xdr:row>696</xdr:row>
      <xdr:rowOff>306160</xdr:rowOff>
    </xdr:to>
    <xdr:sp macro="" textlink="">
      <xdr:nvSpPr>
        <xdr:cNvPr id="6261" name="AutoShape 117" descr="Tombstone">
          <a:extLst>
            <a:ext uri="{FF2B5EF4-FFF2-40B4-BE49-F238E27FC236}">
              <a16:creationId xmlns:a16="http://schemas.microsoft.com/office/drawing/2014/main" id="{F5AC8CF7-DFC6-E753-E5CE-82CF80B87401}"/>
            </a:ext>
          </a:extLst>
        </xdr:cNvPr>
        <xdr:cNvSpPr>
          <a:spLocks noChangeAspect="1" noChangeArrowheads="1"/>
        </xdr:cNvSpPr>
      </xdr:nvSpPr>
      <xdr:spPr bwMode="auto">
        <a:xfrm>
          <a:off x="200025" y="759542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702</xdr:row>
      <xdr:rowOff>0</xdr:rowOff>
    </xdr:from>
    <xdr:to>
      <xdr:col>1</xdr:col>
      <xdr:colOff>304800</xdr:colOff>
      <xdr:row>702</xdr:row>
      <xdr:rowOff>306160</xdr:rowOff>
    </xdr:to>
    <xdr:sp macro="" textlink="">
      <xdr:nvSpPr>
        <xdr:cNvPr id="6262" name="AutoShape 118" descr="Tombstone">
          <a:extLst>
            <a:ext uri="{FF2B5EF4-FFF2-40B4-BE49-F238E27FC236}">
              <a16:creationId xmlns:a16="http://schemas.microsoft.com/office/drawing/2014/main" id="{86638305-93A5-A72E-4D71-8C40908EBFBC}"/>
            </a:ext>
          </a:extLst>
        </xdr:cNvPr>
        <xdr:cNvSpPr>
          <a:spLocks noChangeAspect="1" noChangeArrowheads="1"/>
        </xdr:cNvSpPr>
      </xdr:nvSpPr>
      <xdr:spPr bwMode="auto">
        <a:xfrm>
          <a:off x="200025" y="765409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708</xdr:row>
      <xdr:rowOff>0</xdr:rowOff>
    </xdr:from>
    <xdr:to>
      <xdr:col>1</xdr:col>
      <xdr:colOff>304800</xdr:colOff>
      <xdr:row>708</xdr:row>
      <xdr:rowOff>306160</xdr:rowOff>
    </xdr:to>
    <xdr:sp macro="" textlink="">
      <xdr:nvSpPr>
        <xdr:cNvPr id="6263" name="AutoShape 119" descr="Tombstone">
          <a:extLst>
            <a:ext uri="{FF2B5EF4-FFF2-40B4-BE49-F238E27FC236}">
              <a16:creationId xmlns:a16="http://schemas.microsoft.com/office/drawing/2014/main" id="{6D7077B4-D30A-D4DF-4A49-7AFEE7C98DF4}"/>
            </a:ext>
          </a:extLst>
        </xdr:cNvPr>
        <xdr:cNvSpPr>
          <a:spLocks noChangeAspect="1" noChangeArrowheads="1"/>
        </xdr:cNvSpPr>
      </xdr:nvSpPr>
      <xdr:spPr bwMode="auto">
        <a:xfrm>
          <a:off x="200025" y="771953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714</xdr:row>
      <xdr:rowOff>0</xdr:rowOff>
    </xdr:from>
    <xdr:to>
      <xdr:col>1</xdr:col>
      <xdr:colOff>304800</xdr:colOff>
      <xdr:row>714</xdr:row>
      <xdr:rowOff>306160</xdr:rowOff>
    </xdr:to>
    <xdr:sp macro="" textlink="">
      <xdr:nvSpPr>
        <xdr:cNvPr id="6264" name="AutoShape 120" descr="Tombstone">
          <a:extLst>
            <a:ext uri="{FF2B5EF4-FFF2-40B4-BE49-F238E27FC236}">
              <a16:creationId xmlns:a16="http://schemas.microsoft.com/office/drawing/2014/main" id="{528BF3D5-7521-A2F6-4BEF-ADA1421DA51D}"/>
            </a:ext>
          </a:extLst>
        </xdr:cNvPr>
        <xdr:cNvSpPr>
          <a:spLocks noChangeAspect="1" noChangeArrowheads="1"/>
        </xdr:cNvSpPr>
      </xdr:nvSpPr>
      <xdr:spPr bwMode="auto">
        <a:xfrm>
          <a:off x="200025" y="77849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720</xdr:row>
      <xdr:rowOff>0</xdr:rowOff>
    </xdr:from>
    <xdr:to>
      <xdr:col>1</xdr:col>
      <xdr:colOff>304800</xdr:colOff>
      <xdr:row>720</xdr:row>
      <xdr:rowOff>306160</xdr:rowOff>
    </xdr:to>
    <xdr:sp macro="" textlink="">
      <xdr:nvSpPr>
        <xdr:cNvPr id="6265" name="AutoShape 121" descr="Tombstone">
          <a:extLst>
            <a:ext uri="{FF2B5EF4-FFF2-40B4-BE49-F238E27FC236}">
              <a16:creationId xmlns:a16="http://schemas.microsoft.com/office/drawing/2014/main" id="{72D2A017-51AF-BBD0-7CF7-2088C0230E1E}"/>
            </a:ext>
          </a:extLst>
        </xdr:cNvPr>
        <xdr:cNvSpPr>
          <a:spLocks noChangeAspect="1" noChangeArrowheads="1"/>
        </xdr:cNvSpPr>
      </xdr:nvSpPr>
      <xdr:spPr bwMode="auto">
        <a:xfrm>
          <a:off x="200025" y="784850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726</xdr:row>
      <xdr:rowOff>0</xdr:rowOff>
    </xdr:from>
    <xdr:to>
      <xdr:col>1</xdr:col>
      <xdr:colOff>304800</xdr:colOff>
      <xdr:row>726</xdr:row>
      <xdr:rowOff>306160</xdr:rowOff>
    </xdr:to>
    <xdr:sp macro="" textlink="">
      <xdr:nvSpPr>
        <xdr:cNvPr id="6266" name="AutoShape 122" descr="Tombstone">
          <a:extLst>
            <a:ext uri="{FF2B5EF4-FFF2-40B4-BE49-F238E27FC236}">
              <a16:creationId xmlns:a16="http://schemas.microsoft.com/office/drawing/2014/main" id="{CDD44B7F-2F8E-3CCD-032C-4C433ECDCB46}"/>
            </a:ext>
          </a:extLst>
        </xdr:cNvPr>
        <xdr:cNvSpPr>
          <a:spLocks noChangeAspect="1" noChangeArrowheads="1"/>
        </xdr:cNvSpPr>
      </xdr:nvSpPr>
      <xdr:spPr bwMode="auto">
        <a:xfrm>
          <a:off x="200025" y="791260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732</xdr:row>
      <xdr:rowOff>0</xdr:rowOff>
    </xdr:from>
    <xdr:to>
      <xdr:col>1</xdr:col>
      <xdr:colOff>304800</xdr:colOff>
      <xdr:row>732</xdr:row>
      <xdr:rowOff>306160</xdr:rowOff>
    </xdr:to>
    <xdr:sp macro="" textlink="">
      <xdr:nvSpPr>
        <xdr:cNvPr id="6267" name="AutoShape 123" descr="Tombstone">
          <a:extLst>
            <a:ext uri="{FF2B5EF4-FFF2-40B4-BE49-F238E27FC236}">
              <a16:creationId xmlns:a16="http://schemas.microsoft.com/office/drawing/2014/main" id="{BB092579-A13C-434D-760C-82402B6B82FB}"/>
            </a:ext>
          </a:extLst>
        </xdr:cNvPr>
        <xdr:cNvSpPr>
          <a:spLocks noChangeAspect="1" noChangeArrowheads="1"/>
        </xdr:cNvSpPr>
      </xdr:nvSpPr>
      <xdr:spPr bwMode="auto">
        <a:xfrm>
          <a:off x="200025" y="798185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738</xdr:row>
      <xdr:rowOff>0</xdr:rowOff>
    </xdr:from>
    <xdr:to>
      <xdr:col>1</xdr:col>
      <xdr:colOff>304800</xdr:colOff>
      <xdr:row>738</xdr:row>
      <xdr:rowOff>306160</xdr:rowOff>
    </xdr:to>
    <xdr:sp macro="" textlink="">
      <xdr:nvSpPr>
        <xdr:cNvPr id="6268" name="AutoShape 124" descr="Tombstone">
          <a:extLst>
            <a:ext uri="{FF2B5EF4-FFF2-40B4-BE49-F238E27FC236}">
              <a16:creationId xmlns:a16="http://schemas.microsoft.com/office/drawing/2014/main" id="{F00E3C78-E2B6-B39D-24F9-B6A0D23E85B5}"/>
            </a:ext>
          </a:extLst>
        </xdr:cNvPr>
        <xdr:cNvSpPr>
          <a:spLocks noChangeAspect="1" noChangeArrowheads="1"/>
        </xdr:cNvSpPr>
      </xdr:nvSpPr>
      <xdr:spPr bwMode="auto">
        <a:xfrm>
          <a:off x="200025" y="805300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744</xdr:row>
      <xdr:rowOff>0</xdr:rowOff>
    </xdr:from>
    <xdr:to>
      <xdr:col>1</xdr:col>
      <xdr:colOff>304800</xdr:colOff>
      <xdr:row>744</xdr:row>
      <xdr:rowOff>306160</xdr:rowOff>
    </xdr:to>
    <xdr:sp macro="" textlink="">
      <xdr:nvSpPr>
        <xdr:cNvPr id="6269" name="AutoShape 125" descr="Tombstone">
          <a:extLst>
            <a:ext uri="{FF2B5EF4-FFF2-40B4-BE49-F238E27FC236}">
              <a16:creationId xmlns:a16="http://schemas.microsoft.com/office/drawing/2014/main" id="{7A777732-05C8-2163-B63D-893583D283DA}"/>
            </a:ext>
          </a:extLst>
        </xdr:cNvPr>
        <xdr:cNvSpPr>
          <a:spLocks noChangeAspect="1" noChangeArrowheads="1"/>
        </xdr:cNvSpPr>
      </xdr:nvSpPr>
      <xdr:spPr bwMode="auto">
        <a:xfrm>
          <a:off x="200025" y="810806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750</xdr:row>
      <xdr:rowOff>0</xdr:rowOff>
    </xdr:from>
    <xdr:to>
      <xdr:col>1</xdr:col>
      <xdr:colOff>304800</xdr:colOff>
      <xdr:row>750</xdr:row>
      <xdr:rowOff>306160</xdr:rowOff>
    </xdr:to>
    <xdr:sp macro="" textlink="">
      <xdr:nvSpPr>
        <xdr:cNvPr id="6270" name="AutoShape 126" descr="Tombstone">
          <a:extLst>
            <a:ext uri="{FF2B5EF4-FFF2-40B4-BE49-F238E27FC236}">
              <a16:creationId xmlns:a16="http://schemas.microsoft.com/office/drawing/2014/main" id="{ECB1512F-B4B6-C12A-D2F6-237FA9DCB9AF}"/>
            </a:ext>
          </a:extLst>
        </xdr:cNvPr>
        <xdr:cNvSpPr>
          <a:spLocks noChangeAspect="1" noChangeArrowheads="1"/>
        </xdr:cNvSpPr>
      </xdr:nvSpPr>
      <xdr:spPr bwMode="auto">
        <a:xfrm>
          <a:off x="200025" y="815216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756</xdr:row>
      <xdr:rowOff>0</xdr:rowOff>
    </xdr:from>
    <xdr:to>
      <xdr:col>1</xdr:col>
      <xdr:colOff>304800</xdr:colOff>
      <xdr:row>756</xdr:row>
      <xdr:rowOff>306160</xdr:rowOff>
    </xdr:to>
    <xdr:sp macro="" textlink="">
      <xdr:nvSpPr>
        <xdr:cNvPr id="6271" name="AutoShape 127" descr="Tombstone">
          <a:extLst>
            <a:ext uri="{FF2B5EF4-FFF2-40B4-BE49-F238E27FC236}">
              <a16:creationId xmlns:a16="http://schemas.microsoft.com/office/drawing/2014/main" id="{8EEB74C9-D74C-681A-C9DA-360CD8E57B2D}"/>
            </a:ext>
          </a:extLst>
        </xdr:cNvPr>
        <xdr:cNvSpPr>
          <a:spLocks noChangeAspect="1" noChangeArrowheads="1"/>
        </xdr:cNvSpPr>
      </xdr:nvSpPr>
      <xdr:spPr bwMode="auto">
        <a:xfrm>
          <a:off x="200025" y="820921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762</xdr:row>
      <xdr:rowOff>0</xdr:rowOff>
    </xdr:from>
    <xdr:to>
      <xdr:col>1</xdr:col>
      <xdr:colOff>304800</xdr:colOff>
      <xdr:row>762</xdr:row>
      <xdr:rowOff>306160</xdr:rowOff>
    </xdr:to>
    <xdr:sp macro="" textlink="">
      <xdr:nvSpPr>
        <xdr:cNvPr id="6272" name="AutoShape 128" descr="Tombstone">
          <a:extLst>
            <a:ext uri="{FF2B5EF4-FFF2-40B4-BE49-F238E27FC236}">
              <a16:creationId xmlns:a16="http://schemas.microsoft.com/office/drawing/2014/main" id="{395FFEE5-35F5-F873-E46A-4F66BB40FC3A}"/>
            </a:ext>
          </a:extLst>
        </xdr:cNvPr>
        <xdr:cNvSpPr>
          <a:spLocks noChangeAspect="1" noChangeArrowheads="1"/>
        </xdr:cNvSpPr>
      </xdr:nvSpPr>
      <xdr:spPr bwMode="auto">
        <a:xfrm>
          <a:off x="200025" y="827655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768</xdr:row>
      <xdr:rowOff>0</xdr:rowOff>
    </xdr:from>
    <xdr:to>
      <xdr:col>1</xdr:col>
      <xdr:colOff>304800</xdr:colOff>
      <xdr:row>768</xdr:row>
      <xdr:rowOff>306160</xdr:rowOff>
    </xdr:to>
    <xdr:sp macro="" textlink="">
      <xdr:nvSpPr>
        <xdr:cNvPr id="6273" name="AutoShape 129" descr="Tombstone">
          <a:extLst>
            <a:ext uri="{FF2B5EF4-FFF2-40B4-BE49-F238E27FC236}">
              <a16:creationId xmlns:a16="http://schemas.microsoft.com/office/drawing/2014/main" id="{062433E6-76F7-1548-EE33-C54831649880}"/>
            </a:ext>
          </a:extLst>
        </xdr:cNvPr>
        <xdr:cNvSpPr>
          <a:spLocks noChangeAspect="1" noChangeArrowheads="1"/>
        </xdr:cNvSpPr>
      </xdr:nvSpPr>
      <xdr:spPr bwMode="auto">
        <a:xfrm>
          <a:off x="200025" y="83419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774</xdr:row>
      <xdr:rowOff>0</xdr:rowOff>
    </xdr:from>
    <xdr:to>
      <xdr:col>1</xdr:col>
      <xdr:colOff>304800</xdr:colOff>
      <xdr:row>774</xdr:row>
      <xdr:rowOff>306160</xdr:rowOff>
    </xdr:to>
    <xdr:sp macro="" textlink="">
      <xdr:nvSpPr>
        <xdr:cNvPr id="6274" name="AutoShape 130" descr="Tombstone">
          <a:extLst>
            <a:ext uri="{FF2B5EF4-FFF2-40B4-BE49-F238E27FC236}">
              <a16:creationId xmlns:a16="http://schemas.microsoft.com/office/drawing/2014/main" id="{0AE7229B-51CB-4D2F-8EDA-87BCC70ED1D9}"/>
            </a:ext>
          </a:extLst>
        </xdr:cNvPr>
        <xdr:cNvSpPr>
          <a:spLocks noChangeAspect="1" noChangeArrowheads="1"/>
        </xdr:cNvSpPr>
      </xdr:nvSpPr>
      <xdr:spPr bwMode="auto">
        <a:xfrm>
          <a:off x="200025" y="841505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780</xdr:row>
      <xdr:rowOff>0</xdr:rowOff>
    </xdr:from>
    <xdr:to>
      <xdr:col>1</xdr:col>
      <xdr:colOff>304800</xdr:colOff>
      <xdr:row>780</xdr:row>
      <xdr:rowOff>306160</xdr:rowOff>
    </xdr:to>
    <xdr:sp macro="" textlink="">
      <xdr:nvSpPr>
        <xdr:cNvPr id="6275" name="AutoShape 131" descr="Tombstone">
          <a:extLst>
            <a:ext uri="{FF2B5EF4-FFF2-40B4-BE49-F238E27FC236}">
              <a16:creationId xmlns:a16="http://schemas.microsoft.com/office/drawing/2014/main" id="{7073C0D4-76CB-E9F8-B46F-C55740890E9D}"/>
            </a:ext>
          </a:extLst>
        </xdr:cNvPr>
        <xdr:cNvSpPr>
          <a:spLocks noChangeAspect="1" noChangeArrowheads="1"/>
        </xdr:cNvSpPr>
      </xdr:nvSpPr>
      <xdr:spPr bwMode="auto">
        <a:xfrm>
          <a:off x="200025" y="848429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786</xdr:row>
      <xdr:rowOff>0</xdr:rowOff>
    </xdr:from>
    <xdr:to>
      <xdr:col>1</xdr:col>
      <xdr:colOff>304800</xdr:colOff>
      <xdr:row>786</xdr:row>
      <xdr:rowOff>306160</xdr:rowOff>
    </xdr:to>
    <xdr:sp macro="" textlink="">
      <xdr:nvSpPr>
        <xdr:cNvPr id="6276" name="AutoShape 132" descr="Tombstone">
          <a:extLst>
            <a:ext uri="{FF2B5EF4-FFF2-40B4-BE49-F238E27FC236}">
              <a16:creationId xmlns:a16="http://schemas.microsoft.com/office/drawing/2014/main" id="{7FE792E5-342D-5133-D5BF-DFA6C0338B19}"/>
            </a:ext>
          </a:extLst>
        </xdr:cNvPr>
        <xdr:cNvSpPr>
          <a:spLocks noChangeAspect="1" noChangeArrowheads="1"/>
        </xdr:cNvSpPr>
      </xdr:nvSpPr>
      <xdr:spPr bwMode="auto">
        <a:xfrm>
          <a:off x="200025" y="85516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792</xdr:row>
      <xdr:rowOff>0</xdr:rowOff>
    </xdr:from>
    <xdr:to>
      <xdr:col>1</xdr:col>
      <xdr:colOff>304800</xdr:colOff>
      <xdr:row>792</xdr:row>
      <xdr:rowOff>306160</xdr:rowOff>
    </xdr:to>
    <xdr:sp macro="" textlink="">
      <xdr:nvSpPr>
        <xdr:cNvPr id="6277" name="AutoShape 133" descr="Tombstone">
          <a:extLst>
            <a:ext uri="{FF2B5EF4-FFF2-40B4-BE49-F238E27FC236}">
              <a16:creationId xmlns:a16="http://schemas.microsoft.com/office/drawing/2014/main" id="{3400FB04-9767-4F1B-0ED2-5039F2A62956}"/>
            </a:ext>
          </a:extLst>
        </xdr:cNvPr>
        <xdr:cNvSpPr>
          <a:spLocks noChangeAspect="1" noChangeArrowheads="1"/>
        </xdr:cNvSpPr>
      </xdr:nvSpPr>
      <xdr:spPr bwMode="auto">
        <a:xfrm>
          <a:off x="200025" y="86189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798</xdr:row>
      <xdr:rowOff>0</xdr:rowOff>
    </xdr:from>
    <xdr:to>
      <xdr:col>1</xdr:col>
      <xdr:colOff>304800</xdr:colOff>
      <xdr:row>798</xdr:row>
      <xdr:rowOff>306160</xdr:rowOff>
    </xdr:to>
    <xdr:sp macro="" textlink="">
      <xdr:nvSpPr>
        <xdr:cNvPr id="6278" name="AutoShape 134" descr="Tombstone">
          <a:extLst>
            <a:ext uri="{FF2B5EF4-FFF2-40B4-BE49-F238E27FC236}">
              <a16:creationId xmlns:a16="http://schemas.microsoft.com/office/drawing/2014/main" id="{6C2FD228-4DD0-8552-08E5-7A77F2E37A89}"/>
            </a:ext>
          </a:extLst>
        </xdr:cNvPr>
        <xdr:cNvSpPr>
          <a:spLocks noChangeAspect="1" noChangeArrowheads="1"/>
        </xdr:cNvSpPr>
      </xdr:nvSpPr>
      <xdr:spPr bwMode="auto">
        <a:xfrm>
          <a:off x="200025" y="868689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804</xdr:row>
      <xdr:rowOff>0</xdr:rowOff>
    </xdr:from>
    <xdr:to>
      <xdr:col>1</xdr:col>
      <xdr:colOff>304800</xdr:colOff>
      <xdr:row>804</xdr:row>
      <xdr:rowOff>306160</xdr:rowOff>
    </xdr:to>
    <xdr:sp macro="" textlink="">
      <xdr:nvSpPr>
        <xdr:cNvPr id="6279" name="AutoShape 135" descr="Tombstone">
          <a:extLst>
            <a:ext uri="{FF2B5EF4-FFF2-40B4-BE49-F238E27FC236}">
              <a16:creationId xmlns:a16="http://schemas.microsoft.com/office/drawing/2014/main" id="{8B7E076D-6A26-EB3F-9B55-9168E74D902B}"/>
            </a:ext>
          </a:extLst>
        </xdr:cNvPr>
        <xdr:cNvSpPr>
          <a:spLocks noChangeAspect="1" noChangeArrowheads="1"/>
        </xdr:cNvSpPr>
      </xdr:nvSpPr>
      <xdr:spPr bwMode="auto">
        <a:xfrm>
          <a:off x="200025" y="875614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810</xdr:row>
      <xdr:rowOff>0</xdr:rowOff>
    </xdr:from>
    <xdr:to>
      <xdr:col>1</xdr:col>
      <xdr:colOff>304800</xdr:colOff>
      <xdr:row>810</xdr:row>
      <xdr:rowOff>306160</xdr:rowOff>
    </xdr:to>
    <xdr:sp macro="" textlink="">
      <xdr:nvSpPr>
        <xdr:cNvPr id="6280" name="AutoShape 136" descr="Tombstone">
          <a:extLst>
            <a:ext uri="{FF2B5EF4-FFF2-40B4-BE49-F238E27FC236}">
              <a16:creationId xmlns:a16="http://schemas.microsoft.com/office/drawing/2014/main" id="{BB4904D6-297D-75DD-880A-ECB2A6D134B5}"/>
            </a:ext>
          </a:extLst>
        </xdr:cNvPr>
        <xdr:cNvSpPr>
          <a:spLocks noChangeAspect="1" noChangeArrowheads="1"/>
        </xdr:cNvSpPr>
      </xdr:nvSpPr>
      <xdr:spPr bwMode="auto">
        <a:xfrm>
          <a:off x="200025" y="882348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816</xdr:row>
      <xdr:rowOff>0</xdr:rowOff>
    </xdr:from>
    <xdr:to>
      <xdr:col>1</xdr:col>
      <xdr:colOff>304800</xdr:colOff>
      <xdr:row>816</xdr:row>
      <xdr:rowOff>306160</xdr:rowOff>
    </xdr:to>
    <xdr:sp macro="" textlink="">
      <xdr:nvSpPr>
        <xdr:cNvPr id="6281" name="AutoShape 137" descr="Tombstone">
          <a:extLst>
            <a:ext uri="{FF2B5EF4-FFF2-40B4-BE49-F238E27FC236}">
              <a16:creationId xmlns:a16="http://schemas.microsoft.com/office/drawing/2014/main" id="{4A5A6C41-FCBC-C8FB-6C7F-182B01533856}"/>
            </a:ext>
          </a:extLst>
        </xdr:cNvPr>
        <xdr:cNvSpPr>
          <a:spLocks noChangeAspect="1" noChangeArrowheads="1"/>
        </xdr:cNvSpPr>
      </xdr:nvSpPr>
      <xdr:spPr bwMode="auto">
        <a:xfrm>
          <a:off x="200025" y="889082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822</xdr:row>
      <xdr:rowOff>0</xdr:rowOff>
    </xdr:from>
    <xdr:to>
      <xdr:col>1</xdr:col>
      <xdr:colOff>304800</xdr:colOff>
      <xdr:row>822</xdr:row>
      <xdr:rowOff>306160</xdr:rowOff>
    </xdr:to>
    <xdr:sp macro="" textlink="">
      <xdr:nvSpPr>
        <xdr:cNvPr id="6282" name="AutoShape 138" descr="Tombstone">
          <a:extLst>
            <a:ext uri="{FF2B5EF4-FFF2-40B4-BE49-F238E27FC236}">
              <a16:creationId xmlns:a16="http://schemas.microsoft.com/office/drawing/2014/main" id="{CF0F7AED-D8F8-5D66-E787-72605ED47A6A}"/>
            </a:ext>
          </a:extLst>
        </xdr:cNvPr>
        <xdr:cNvSpPr>
          <a:spLocks noChangeAspect="1" noChangeArrowheads="1"/>
        </xdr:cNvSpPr>
      </xdr:nvSpPr>
      <xdr:spPr bwMode="auto">
        <a:xfrm>
          <a:off x="200025" y="895435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828</xdr:row>
      <xdr:rowOff>0</xdr:rowOff>
    </xdr:from>
    <xdr:to>
      <xdr:col>1</xdr:col>
      <xdr:colOff>304800</xdr:colOff>
      <xdr:row>828</xdr:row>
      <xdr:rowOff>306160</xdr:rowOff>
    </xdr:to>
    <xdr:sp macro="" textlink="">
      <xdr:nvSpPr>
        <xdr:cNvPr id="6283" name="AutoShape 139" descr="Tombstone">
          <a:extLst>
            <a:ext uri="{FF2B5EF4-FFF2-40B4-BE49-F238E27FC236}">
              <a16:creationId xmlns:a16="http://schemas.microsoft.com/office/drawing/2014/main" id="{208902EA-AF08-13C9-494E-BB775F391A2F}"/>
            </a:ext>
          </a:extLst>
        </xdr:cNvPr>
        <xdr:cNvSpPr>
          <a:spLocks noChangeAspect="1" noChangeArrowheads="1"/>
        </xdr:cNvSpPr>
      </xdr:nvSpPr>
      <xdr:spPr bwMode="auto">
        <a:xfrm>
          <a:off x="200025" y="90178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834</xdr:row>
      <xdr:rowOff>0</xdr:rowOff>
    </xdr:from>
    <xdr:to>
      <xdr:col>1</xdr:col>
      <xdr:colOff>304800</xdr:colOff>
      <xdr:row>834</xdr:row>
      <xdr:rowOff>306160</xdr:rowOff>
    </xdr:to>
    <xdr:sp macro="" textlink="">
      <xdr:nvSpPr>
        <xdr:cNvPr id="6284" name="AutoShape 140" descr="Tombstone">
          <a:extLst>
            <a:ext uri="{FF2B5EF4-FFF2-40B4-BE49-F238E27FC236}">
              <a16:creationId xmlns:a16="http://schemas.microsoft.com/office/drawing/2014/main" id="{0AC71DFE-B678-1786-6C77-AC4AF119A7C2}"/>
            </a:ext>
          </a:extLst>
        </xdr:cNvPr>
        <xdr:cNvSpPr>
          <a:spLocks noChangeAspect="1" noChangeArrowheads="1"/>
        </xdr:cNvSpPr>
      </xdr:nvSpPr>
      <xdr:spPr bwMode="auto">
        <a:xfrm>
          <a:off x="200025" y="907837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840</xdr:row>
      <xdr:rowOff>0</xdr:rowOff>
    </xdr:from>
    <xdr:to>
      <xdr:col>1</xdr:col>
      <xdr:colOff>304800</xdr:colOff>
      <xdr:row>840</xdr:row>
      <xdr:rowOff>306160</xdr:rowOff>
    </xdr:to>
    <xdr:sp macro="" textlink="">
      <xdr:nvSpPr>
        <xdr:cNvPr id="6285" name="AutoShape 141" descr="Tombstone">
          <a:extLst>
            <a:ext uri="{FF2B5EF4-FFF2-40B4-BE49-F238E27FC236}">
              <a16:creationId xmlns:a16="http://schemas.microsoft.com/office/drawing/2014/main" id="{6F837C7A-FDEF-6BD3-6566-3ED811A6526F}"/>
            </a:ext>
          </a:extLst>
        </xdr:cNvPr>
        <xdr:cNvSpPr>
          <a:spLocks noChangeAspect="1" noChangeArrowheads="1"/>
        </xdr:cNvSpPr>
      </xdr:nvSpPr>
      <xdr:spPr bwMode="auto">
        <a:xfrm>
          <a:off x="200025" y="914952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846</xdr:row>
      <xdr:rowOff>0</xdr:rowOff>
    </xdr:from>
    <xdr:to>
      <xdr:col>1</xdr:col>
      <xdr:colOff>304800</xdr:colOff>
      <xdr:row>846</xdr:row>
      <xdr:rowOff>306160</xdr:rowOff>
    </xdr:to>
    <xdr:sp macro="" textlink="">
      <xdr:nvSpPr>
        <xdr:cNvPr id="6286" name="AutoShape 142" descr="Tombstone">
          <a:extLst>
            <a:ext uri="{FF2B5EF4-FFF2-40B4-BE49-F238E27FC236}">
              <a16:creationId xmlns:a16="http://schemas.microsoft.com/office/drawing/2014/main" id="{6356B373-2475-E497-3880-8B10F914D3BE}"/>
            </a:ext>
          </a:extLst>
        </xdr:cNvPr>
        <xdr:cNvSpPr>
          <a:spLocks noChangeAspect="1" noChangeArrowheads="1"/>
        </xdr:cNvSpPr>
      </xdr:nvSpPr>
      <xdr:spPr bwMode="auto">
        <a:xfrm>
          <a:off x="200025" y="920657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852</xdr:row>
      <xdr:rowOff>0</xdr:rowOff>
    </xdr:from>
    <xdr:to>
      <xdr:col>1</xdr:col>
      <xdr:colOff>304800</xdr:colOff>
      <xdr:row>852</xdr:row>
      <xdr:rowOff>306160</xdr:rowOff>
    </xdr:to>
    <xdr:sp macro="" textlink="">
      <xdr:nvSpPr>
        <xdr:cNvPr id="6287" name="AutoShape 143" descr="Tombstone">
          <a:extLst>
            <a:ext uri="{FF2B5EF4-FFF2-40B4-BE49-F238E27FC236}">
              <a16:creationId xmlns:a16="http://schemas.microsoft.com/office/drawing/2014/main" id="{3BB86274-062B-2885-365D-6DFBD861E8E0}"/>
            </a:ext>
          </a:extLst>
        </xdr:cNvPr>
        <xdr:cNvSpPr>
          <a:spLocks noChangeAspect="1" noChangeArrowheads="1"/>
        </xdr:cNvSpPr>
      </xdr:nvSpPr>
      <xdr:spPr bwMode="auto">
        <a:xfrm>
          <a:off x="200025" y="925982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858</xdr:row>
      <xdr:rowOff>0</xdr:rowOff>
    </xdr:from>
    <xdr:to>
      <xdr:col>1</xdr:col>
      <xdr:colOff>304800</xdr:colOff>
      <xdr:row>858</xdr:row>
      <xdr:rowOff>306160</xdr:rowOff>
    </xdr:to>
    <xdr:sp macro="" textlink="">
      <xdr:nvSpPr>
        <xdr:cNvPr id="6288" name="AutoShape 144" descr="Tombstone">
          <a:extLst>
            <a:ext uri="{FF2B5EF4-FFF2-40B4-BE49-F238E27FC236}">
              <a16:creationId xmlns:a16="http://schemas.microsoft.com/office/drawing/2014/main" id="{330C33AB-71C3-A459-759D-30E087EAE817}"/>
            </a:ext>
          </a:extLst>
        </xdr:cNvPr>
        <xdr:cNvSpPr>
          <a:spLocks noChangeAspect="1" noChangeArrowheads="1"/>
        </xdr:cNvSpPr>
      </xdr:nvSpPr>
      <xdr:spPr bwMode="auto">
        <a:xfrm>
          <a:off x="200025" y="932907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864</xdr:row>
      <xdr:rowOff>0</xdr:rowOff>
    </xdr:from>
    <xdr:to>
      <xdr:col>1</xdr:col>
      <xdr:colOff>304800</xdr:colOff>
      <xdr:row>864</xdr:row>
      <xdr:rowOff>306160</xdr:rowOff>
    </xdr:to>
    <xdr:sp macro="" textlink="">
      <xdr:nvSpPr>
        <xdr:cNvPr id="6289" name="AutoShape 145" descr="Tombstone">
          <a:extLst>
            <a:ext uri="{FF2B5EF4-FFF2-40B4-BE49-F238E27FC236}">
              <a16:creationId xmlns:a16="http://schemas.microsoft.com/office/drawing/2014/main" id="{81FF0980-FE6B-6C24-D5CD-1793A230DB36}"/>
            </a:ext>
          </a:extLst>
        </xdr:cNvPr>
        <xdr:cNvSpPr>
          <a:spLocks noChangeAspect="1" noChangeArrowheads="1"/>
        </xdr:cNvSpPr>
      </xdr:nvSpPr>
      <xdr:spPr bwMode="auto">
        <a:xfrm>
          <a:off x="200025" y="93964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870</xdr:row>
      <xdr:rowOff>0</xdr:rowOff>
    </xdr:from>
    <xdr:to>
      <xdr:col>1</xdr:col>
      <xdr:colOff>304800</xdr:colOff>
      <xdr:row>870</xdr:row>
      <xdr:rowOff>306160</xdr:rowOff>
    </xdr:to>
    <xdr:sp macro="" textlink="">
      <xdr:nvSpPr>
        <xdr:cNvPr id="6290" name="AutoShape 146" descr="Tombstone">
          <a:extLst>
            <a:ext uri="{FF2B5EF4-FFF2-40B4-BE49-F238E27FC236}">
              <a16:creationId xmlns:a16="http://schemas.microsoft.com/office/drawing/2014/main" id="{FD134D0C-CF7E-2F99-D7B1-D71FC80BAB6C}"/>
            </a:ext>
          </a:extLst>
        </xdr:cNvPr>
        <xdr:cNvSpPr>
          <a:spLocks noChangeAspect="1" noChangeArrowheads="1"/>
        </xdr:cNvSpPr>
      </xdr:nvSpPr>
      <xdr:spPr bwMode="auto">
        <a:xfrm>
          <a:off x="200025" y="946061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876</xdr:row>
      <xdr:rowOff>0</xdr:rowOff>
    </xdr:from>
    <xdr:to>
      <xdr:col>1</xdr:col>
      <xdr:colOff>304800</xdr:colOff>
      <xdr:row>876</xdr:row>
      <xdr:rowOff>306160</xdr:rowOff>
    </xdr:to>
    <xdr:sp macro="" textlink="">
      <xdr:nvSpPr>
        <xdr:cNvPr id="6291" name="AutoShape 147" descr="Tombstone">
          <a:extLst>
            <a:ext uri="{FF2B5EF4-FFF2-40B4-BE49-F238E27FC236}">
              <a16:creationId xmlns:a16="http://schemas.microsoft.com/office/drawing/2014/main" id="{7DB24C47-D995-E86A-52B3-07562AE77488}"/>
            </a:ext>
          </a:extLst>
        </xdr:cNvPr>
        <xdr:cNvSpPr>
          <a:spLocks noChangeAspect="1" noChangeArrowheads="1"/>
        </xdr:cNvSpPr>
      </xdr:nvSpPr>
      <xdr:spPr bwMode="auto">
        <a:xfrm>
          <a:off x="200025" y="952795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882</xdr:row>
      <xdr:rowOff>0</xdr:rowOff>
    </xdr:from>
    <xdr:to>
      <xdr:col>1</xdr:col>
      <xdr:colOff>304800</xdr:colOff>
      <xdr:row>882</xdr:row>
      <xdr:rowOff>306160</xdr:rowOff>
    </xdr:to>
    <xdr:sp macro="" textlink="">
      <xdr:nvSpPr>
        <xdr:cNvPr id="6292" name="AutoShape 148" descr="Tombstone">
          <a:extLst>
            <a:ext uri="{FF2B5EF4-FFF2-40B4-BE49-F238E27FC236}">
              <a16:creationId xmlns:a16="http://schemas.microsoft.com/office/drawing/2014/main" id="{19FBF920-7156-85FF-E1C2-3CB13094A2CF}"/>
            </a:ext>
          </a:extLst>
        </xdr:cNvPr>
        <xdr:cNvSpPr>
          <a:spLocks noChangeAspect="1" noChangeArrowheads="1"/>
        </xdr:cNvSpPr>
      </xdr:nvSpPr>
      <xdr:spPr bwMode="auto">
        <a:xfrm>
          <a:off x="200025" y="958481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888</xdr:row>
      <xdr:rowOff>0</xdr:rowOff>
    </xdr:from>
    <xdr:to>
      <xdr:col>1</xdr:col>
      <xdr:colOff>304800</xdr:colOff>
      <xdr:row>888</xdr:row>
      <xdr:rowOff>306160</xdr:rowOff>
    </xdr:to>
    <xdr:sp macro="" textlink="">
      <xdr:nvSpPr>
        <xdr:cNvPr id="6293" name="AutoShape 149" descr="Tombstone">
          <a:extLst>
            <a:ext uri="{FF2B5EF4-FFF2-40B4-BE49-F238E27FC236}">
              <a16:creationId xmlns:a16="http://schemas.microsoft.com/office/drawing/2014/main" id="{EFDD8515-35C2-E3C2-2E0C-BC3F309A2670}"/>
            </a:ext>
          </a:extLst>
        </xdr:cNvPr>
        <xdr:cNvSpPr>
          <a:spLocks noChangeAspect="1" noChangeArrowheads="1"/>
        </xdr:cNvSpPr>
      </xdr:nvSpPr>
      <xdr:spPr bwMode="auto">
        <a:xfrm>
          <a:off x="200025" y="964711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894</xdr:row>
      <xdr:rowOff>0</xdr:rowOff>
    </xdr:from>
    <xdr:to>
      <xdr:col>1</xdr:col>
      <xdr:colOff>304800</xdr:colOff>
      <xdr:row>894</xdr:row>
      <xdr:rowOff>306160</xdr:rowOff>
    </xdr:to>
    <xdr:sp macro="" textlink="">
      <xdr:nvSpPr>
        <xdr:cNvPr id="6294" name="AutoShape 150" descr="Tombstone">
          <a:extLst>
            <a:ext uri="{FF2B5EF4-FFF2-40B4-BE49-F238E27FC236}">
              <a16:creationId xmlns:a16="http://schemas.microsoft.com/office/drawing/2014/main" id="{FC8C7689-C4AE-1CB6-BF2C-B15500915860}"/>
            </a:ext>
          </a:extLst>
        </xdr:cNvPr>
        <xdr:cNvSpPr>
          <a:spLocks noChangeAspect="1" noChangeArrowheads="1"/>
        </xdr:cNvSpPr>
      </xdr:nvSpPr>
      <xdr:spPr bwMode="auto">
        <a:xfrm>
          <a:off x="200025" y="971311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900</xdr:row>
      <xdr:rowOff>0</xdr:rowOff>
    </xdr:from>
    <xdr:to>
      <xdr:col>1</xdr:col>
      <xdr:colOff>304800</xdr:colOff>
      <xdr:row>900</xdr:row>
      <xdr:rowOff>306160</xdr:rowOff>
    </xdr:to>
    <xdr:sp macro="" textlink="">
      <xdr:nvSpPr>
        <xdr:cNvPr id="6295" name="AutoShape 151" descr="Tombstone">
          <a:extLst>
            <a:ext uri="{FF2B5EF4-FFF2-40B4-BE49-F238E27FC236}">
              <a16:creationId xmlns:a16="http://schemas.microsoft.com/office/drawing/2014/main" id="{1FD53CDE-44BE-B405-99B0-1341BBDA17B7}"/>
            </a:ext>
          </a:extLst>
        </xdr:cNvPr>
        <xdr:cNvSpPr>
          <a:spLocks noChangeAspect="1" noChangeArrowheads="1"/>
        </xdr:cNvSpPr>
      </xdr:nvSpPr>
      <xdr:spPr bwMode="auto">
        <a:xfrm>
          <a:off x="200025" y="978046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906</xdr:row>
      <xdr:rowOff>0</xdr:rowOff>
    </xdr:from>
    <xdr:to>
      <xdr:col>1</xdr:col>
      <xdr:colOff>304800</xdr:colOff>
      <xdr:row>906</xdr:row>
      <xdr:rowOff>306160</xdr:rowOff>
    </xdr:to>
    <xdr:sp macro="" textlink="">
      <xdr:nvSpPr>
        <xdr:cNvPr id="6296" name="AutoShape 152" descr="Tombstone">
          <a:extLst>
            <a:ext uri="{FF2B5EF4-FFF2-40B4-BE49-F238E27FC236}">
              <a16:creationId xmlns:a16="http://schemas.microsoft.com/office/drawing/2014/main" id="{6C094F45-F13F-AB21-F023-701853642A2A}"/>
            </a:ext>
          </a:extLst>
        </xdr:cNvPr>
        <xdr:cNvSpPr>
          <a:spLocks noChangeAspect="1" noChangeArrowheads="1"/>
        </xdr:cNvSpPr>
      </xdr:nvSpPr>
      <xdr:spPr bwMode="auto">
        <a:xfrm>
          <a:off x="200025" y="982646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912</xdr:row>
      <xdr:rowOff>0</xdr:rowOff>
    </xdr:from>
    <xdr:to>
      <xdr:col>1</xdr:col>
      <xdr:colOff>304800</xdr:colOff>
      <xdr:row>912</xdr:row>
      <xdr:rowOff>306160</xdr:rowOff>
    </xdr:to>
    <xdr:sp macro="" textlink="">
      <xdr:nvSpPr>
        <xdr:cNvPr id="6297" name="AutoShape 153" descr="Tombstone">
          <a:extLst>
            <a:ext uri="{FF2B5EF4-FFF2-40B4-BE49-F238E27FC236}">
              <a16:creationId xmlns:a16="http://schemas.microsoft.com/office/drawing/2014/main" id="{38153617-3AA2-202D-AA24-E25BC2981692}"/>
            </a:ext>
          </a:extLst>
        </xdr:cNvPr>
        <xdr:cNvSpPr>
          <a:spLocks noChangeAspect="1" noChangeArrowheads="1"/>
        </xdr:cNvSpPr>
      </xdr:nvSpPr>
      <xdr:spPr bwMode="auto">
        <a:xfrm>
          <a:off x="200025" y="988999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918</xdr:row>
      <xdr:rowOff>0</xdr:rowOff>
    </xdr:from>
    <xdr:to>
      <xdr:col>1</xdr:col>
      <xdr:colOff>304800</xdr:colOff>
      <xdr:row>918</xdr:row>
      <xdr:rowOff>306160</xdr:rowOff>
    </xdr:to>
    <xdr:sp macro="" textlink="">
      <xdr:nvSpPr>
        <xdr:cNvPr id="6298" name="AutoShape 154" descr="Tombstone">
          <a:extLst>
            <a:ext uri="{FF2B5EF4-FFF2-40B4-BE49-F238E27FC236}">
              <a16:creationId xmlns:a16="http://schemas.microsoft.com/office/drawing/2014/main" id="{05369433-67AE-50D7-27B5-56A398E303C5}"/>
            </a:ext>
          </a:extLst>
        </xdr:cNvPr>
        <xdr:cNvSpPr>
          <a:spLocks noChangeAspect="1" noChangeArrowheads="1"/>
        </xdr:cNvSpPr>
      </xdr:nvSpPr>
      <xdr:spPr bwMode="auto">
        <a:xfrm>
          <a:off x="200025" y="995733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924</xdr:row>
      <xdr:rowOff>0</xdr:rowOff>
    </xdr:from>
    <xdr:to>
      <xdr:col>1</xdr:col>
      <xdr:colOff>304800</xdr:colOff>
      <xdr:row>924</xdr:row>
      <xdr:rowOff>306160</xdr:rowOff>
    </xdr:to>
    <xdr:sp macro="" textlink="">
      <xdr:nvSpPr>
        <xdr:cNvPr id="6299" name="AutoShape 155" descr="Tombstone">
          <a:extLst>
            <a:ext uri="{FF2B5EF4-FFF2-40B4-BE49-F238E27FC236}">
              <a16:creationId xmlns:a16="http://schemas.microsoft.com/office/drawing/2014/main" id="{440A729C-ABB6-6871-A9C9-8A808391F2C7}"/>
            </a:ext>
          </a:extLst>
        </xdr:cNvPr>
        <xdr:cNvSpPr>
          <a:spLocks noChangeAspect="1" noChangeArrowheads="1"/>
        </xdr:cNvSpPr>
      </xdr:nvSpPr>
      <xdr:spPr bwMode="auto">
        <a:xfrm>
          <a:off x="200025" y="1002277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930</xdr:row>
      <xdr:rowOff>0</xdr:rowOff>
    </xdr:from>
    <xdr:to>
      <xdr:col>1</xdr:col>
      <xdr:colOff>304800</xdr:colOff>
      <xdr:row>930</xdr:row>
      <xdr:rowOff>306160</xdr:rowOff>
    </xdr:to>
    <xdr:sp macro="" textlink="">
      <xdr:nvSpPr>
        <xdr:cNvPr id="6300" name="AutoShape 156" descr="Tombstone">
          <a:extLst>
            <a:ext uri="{FF2B5EF4-FFF2-40B4-BE49-F238E27FC236}">
              <a16:creationId xmlns:a16="http://schemas.microsoft.com/office/drawing/2014/main" id="{76CA9AA0-9AE8-B00E-E432-382F9CE7D702}"/>
            </a:ext>
          </a:extLst>
        </xdr:cNvPr>
        <xdr:cNvSpPr>
          <a:spLocks noChangeAspect="1" noChangeArrowheads="1"/>
        </xdr:cNvSpPr>
      </xdr:nvSpPr>
      <xdr:spPr bwMode="auto">
        <a:xfrm>
          <a:off x="200025" y="1007421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936</xdr:row>
      <xdr:rowOff>0</xdr:rowOff>
    </xdr:from>
    <xdr:to>
      <xdr:col>1</xdr:col>
      <xdr:colOff>304800</xdr:colOff>
      <xdr:row>936</xdr:row>
      <xdr:rowOff>306160</xdr:rowOff>
    </xdr:to>
    <xdr:sp macro="" textlink="">
      <xdr:nvSpPr>
        <xdr:cNvPr id="6301" name="AutoShape 157" descr="Tombstone">
          <a:extLst>
            <a:ext uri="{FF2B5EF4-FFF2-40B4-BE49-F238E27FC236}">
              <a16:creationId xmlns:a16="http://schemas.microsoft.com/office/drawing/2014/main" id="{B4DECE3B-BA21-4BEC-7008-88F0AAA6863E}"/>
            </a:ext>
          </a:extLst>
        </xdr:cNvPr>
        <xdr:cNvSpPr>
          <a:spLocks noChangeAspect="1" noChangeArrowheads="1"/>
        </xdr:cNvSpPr>
      </xdr:nvSpPr>
      <xdr:spPr bwMode="auto">
        <a:xfrm>
          <a:off x="200025" y="1014155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942</xdr:row>
      <xdr:rowOff>0</xdr:rowOff>
    </xdr:from>
    <xdr:to>
      <xdr:col>1</xdr:col>
      <xdr:colOff>304800</xdr:colOff>
      <xdr:row>942</xdr:row>
      <xdr:rowOff>306160</xdr:rowOff>
    </xdr:to>
    <xdr:sp macro="" textlink="">
      <xdr:nvSpPr>
        <xdr:cNvPr id="6302" name="AutoShape 158" descr="Tombstone">
          <a:extLst>
            <a:ext uri="{FF2B5EF4-FFF2-40B4-BE49-F238E27FC236}">
              <a16:creationId xmlns:a16="http://schemas.microsoft.com/office/drawing/2014/main" id="{3456BB54-9EFF-35A8-DD23-3BB883134409}"/>
            </a:ext>
          </a:extLst>
        </xdr:cNvPr>
        <xdr:cNvSpPr>
          <a:spLocks noChangeAspect="1" noChangeArrowheads="1"/>
        </xdr:cNvSpPr>
      </xdr:nvSpPr>
      <xdr:spPr bwMode="auto">
        <a:xfrm>
          <a:off x="200025" y="102088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948</xdr:row>
      <xdr:rowOff>0</xdr:rowOff>
    </xdr:from>
    <xdr:to>
      <xdr:col>1</xdr:col>
      <xdr:colOff>304800</xdr:colOff>
      <xdr:row>948</xdr:row>
      <xdr:rowOff>306160</xdr:rowOff>
    </xdr:to>
    <xdr:sp macro="" textlink="">
      <xdr:nvSpPr>
        <xdr:cNvPr id="6303" name="AutoShape 159" descr="Tombstone">
          <a:extLst>
            <a:ext uri="{FF2B5EF4-FFF2-40B4-BE49-F238E27FC236}">
              <a16:creationId xmlns:a16="http://schemas.microsoft.com/office/drawing/2014/main" id="{B66AD2E3-12C2-3154-6223-34C6AD87EBE5}"/>
            </a:ext>
          </a:extLst>
        </xdr:cNvPr>
        <xdr:cNvSpPr>
          <a:spLocks noChangeAspect="1" noChangeArrowheads="1"/>
        </xdr:cNvSpPr>
      </xdr:nvSpPr>
      <xdr:spPr bwMode="auto">
        <a:xfrm>
          <a:off x="200025" y="1027433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954</xdr:row>
      <xdr:rowOff>0</xdr:rowOff>
    </xdr:from>
    <xdr:to>
      <xdr:col>1</xdr:col>
      <xdr:colOff>304800</xdr:colOff>
      <xdr:row>954</xdr:row>
      <xdr:rowOff>306160</xdr:rowOff>
    </xdr:to>
    <xdr:sp macro="" textlink="">
      <xdr:nvSpPr>
        <xdr:cNvPr id="6304" name="AutoShape 160" descr="Tombstone">
          <a:extLst>
            <a:ext uri="{FF2B5EF4-FFF2-40B4-BE49-F238E27FC236}">
              <a16:creationId xmlns:a16="http://schemas.microsoft.com/office/drawing/2014/main" id="{EE036065-3A8B-7B68-9A4F-1368B8A6749D}"/>
            </a:ext>
          </a:extLst>
        </xdr:cNvPr>
        <xdr:cNvSpPr>
          <a:spLocks noChangeAspect="1" noChangeArrowheads="1"/>
        </xdr:cNvSpPr>
      </xdr:nvSpPr>
      <xdr:spPr bwMode="auto">
        <a:xfrm>
          <a:off x="200025" y="1032938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960</xdr:row>
      <xdr:rowOff>0</xdr:rowOff>
    </xdr:from>
    <xdr:to>
      <xdr:col>1</xdr:col>
      <xdr:colOff>304800</xdr:colOff>
      <xdr:row>960</xdr:row>
      <xdr:rowOff>306160</xdr:rowOff>
    </xdr:to>
    <xdr:sp macro="" textlink="">
      <xdr:nvSpPr>
        <xdr:cNvPr id="6305" name="AutoShape 161" descr="Tombstone">
          <a:extLst>
            <a:ext uri="{FF2B5EF4-FFF2-40B4-BE49-F238E27FC236}">
              <a16:creationId xmlns:a16="http://schemas.microsoft.com/office/drawing/2014/main" id="{E97D5583-95E3-3AE1-40BD-FE244A02822E}"/>
            </a:ext>
          </a:extLst>
        </xdr:cNvPr>
        <xdr:cNvSpPr>
          <a:spLocks noChangeAspect="1" noChangeArrowheads="1"/>
        </xdr:cNvSpPr>
      </xdr:nvSpPr>
      <xdr:spPr bwMode="auto">
        <a:xfrm>
          <a:off x="200025" y="1038091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966</xdr:row>
      <xdr:rowOff>0</xdr:rowOff>
    </xdr:from>
    <xdr:to>
      <xdr:col>1</xdr:col>
      <xdr:colOff>304800</xdr:colOff>
      <xdr:row>966</xdr:row>
      <xdr:rowOff>306160</xdr:rowOff>
    </xdr:to>
    <xdr:sp macro="" textlink="">
      <xdr:nvSpPr>
        <xdr:cNvPr id="6306" name="AutoShape 162" descr="Tombstone">
          <a:extLst>
            <a:ext uri="{FF2B5EF4-FFF2-40B4-BE49-F238E27FC236}">
              <a16:creationId xmlns:a16="http://schemas.microsoft.com/office/drawing/2014/main" id="{475556FA-A127-F120-1155-A4DE31AF542C}"/>
            </a:ext>
          </a:extLst>
        </xdr:cNvPr>
        <xdr:cNvSpPr>
          <a:spLocks noChangeAspect="1" noChangeArrowheads="1"/>
        </xdr:cNvSpPr>
      </xdr:nvSpPr>
      <xdr:spPr bwMode="auto">
        <a:xfrm>
          <a:off x="200025" y="1044444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972</xdr:row>
      <xdr:rowOff>0</xdr:rowOff>
    </xdr:from>
    <xdr:to>
      <xdr:col>1</xdr:col>
      <xdr:colOff>304800</xdr:colOff>
      <xdr:row>972</xdr:row>
      <xdr:rowOff>306160</xdr:rowOff>
    </xdr:to>
    <xdr:sp macro="" textlink="">
      <xdr:nvSpPr>
        <xdr:cNvPr id="6307" name="AutoShape 163" descr="Tombstone">
          <a:extLst>
            <a:ext uri="{FF2B5EF4-FFF2-40B4-BE49-F238E27FC236}">
              <a16:creationId xmlns:a16="http://schemas.microsoft.com/office/drawing/2014/main" id="{4F5BEC23-C626-26FC-A53A-4E87751E4091}"/>
            </a:ext>
          </a:extLst>
        </xdr:cNvPr>
        <xdr:cNvSpPr>
          <a:spLocks noChangeAspect="1" noChangeArrowheads="1"/>
        </xdr:cNvSpPr>
      </xdr:nvSpPr>
      <xdr:spPr bwMode="auto">
        <a:xfrm>
          <a:off x="200025" y="1050312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978</xdr:row>
      <xdr:rowOff>0</xdr:rowOff>
    </xdr:from>
    <xdr:to>
      <xdr:col>1</xdr:col>
      <xdr:colOff>304800</xdr:colOff>
      <xdr:row>978</xdr:row>
      <xdr:rowOff>306160</xdr:rowOff>
    </xdr:to>
    <xdr:sp macro="" textlink="">
      <xdr:nvSpPr>
        <xdr:cNvPr id="6308" name="AutoShape 164" descr="Tombstone">
          <a:extLst>
            <a:ext uri="{FF2B5EF4-FFF2-40B4-BE49-F238E27FC236}">
              <a16:creationId xmlns:a16="http://schemas.microsoft.com/office/drawing/2014/main" id="{F253C905-FD73-2C1F-33A8-EEBC05A38A19}"/>
            </a:ext>
          </a:extLst>
        </xdr:cNvPr>
        <xdr:cNvSpPr>
          <a:spLocks noChangeAspect="1" noChangeArrowheads="1"/>
        </xdr:cNvSpPr>
      </xdr:nvSpPr>
      <xdr:spPr bwMode="auto">
        <a:xfrm>
          <a:off x="200025" y="1056665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984</xdr:row>
      <xdr:rowOff>0</xdr:rowOff>
    </xdr:from>
    <xdr:to>
      <xdr:col>1</xdr:col>
      <xdr:colOff>304800</xdr:colOff>
      <xdr:row>984</xdr:row>
      <xdr:rowOff>306160</xdr:rowOff>
    </xdr:to>
    <xdr:sp macro="" textlink="">
      <xdr:nvSpPr>
        <xdr:cNvPr id="6309" name="AutoShape 165" descr="Tombstone">
          <a:extLst>
            <a:ext uri="{FF2B5EF4-FFF2-40B4-BE49-F238E27FC236}">
              <a16:creationId xmlns:a16="http://schemas.microsoft.com/office/drawing/2014/main" id="{3FD0398D-2B01-0DDF-CA68-5192988CD3ED}"/>
            </a:ext>
          </a:extLst>
        </xdr:cNvPr>
        <xdr:cNvSpPr>
          <a:spLocks noChangeAspect="1" noChangeArrowheads="1"/>
        </xdr:cNvSpPr>
      </xdr:nvSpPr>
      <xdr:spPr bwMode="auto">
        <a:xfrm>
          <a:off x="200025" y="1062351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990</xdr:row>
      <xdr:rowOff>0</xdr:rowOff>
    </xdr:from>
    <xdr:to>
      <xdr:col>1</xdr:col>
      <xdr:colOff>304800</xdr:colOff>
      <xdr:row>990</xdr:row>
      <xdr:rowOff>306160</xdr:rowOff>
    </xdr:to>
    <xdr:sp macro="" textlink="">
      <xdr:nvSpPr>
        <xdr:cNvPr id="6310" name="AutoShape 166" descr="Tombstone">
          <a:extLst>
            <a:ext uri="{FF2B5EF4-FFF2-40B4-BE49-F238E27FC236}">
              <a16:creationId xmlns:a16="http://schemas.microsoft.com/office/drawing/2014/main" id="{12CA403F-C776-E9B7-75B0-80AA21732A00}"/>
            </a:ext>
          </a:extLst>
        </xdr:cNvPr>
        <xdr:cNvSpPr>
          <a:spLocks noChangeAspect="1" noChangeArrowheads="1"/>
        </xdr:cNvSpPr>
      </xdr:nvSpPr>
      <xdr:spPr bwMode="auto">
        <a:xfrm>
          <a:off x="200025" y="106946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996</xdr:row>
      <xdr:rowOff>0</xdr:rowOff>
    </xdr:from>
    <xdr:to>
      <xdr:col>1</xdr:col>
      <xdr:colOff>304800</xdr:colOff>
      <xdr:row>996</xdr:row>
      <xdr:rowOff>306160</xdr:rowOff>
    </xdr:to>
    <xdr:sp macro="" textlink="">
      <xdr:nvSpPr>
        <xdr:cNvPr id="6311" name="AutoShape 167" descr="Tombstone">
          <a:extLst>
            <a:ext uri="{FF2B5EF4-FFF2-40B4-BE49-F238E27FC236}">
              <a16:creationId xmlns:a16="http://schemas.microsoft.com/office/drawing/2014/main" id="{16608582-9C6F-B90F-7061-ADC55FFDE344}"/>
            </a:ext>
          </a:extLst>
        </xdr:cNvPr>
        <xdr:cNvSpPr>
          <a:spLocks noChangeAspect="1" noChangeArrowheads="1"/>
        </xdr:cNvSpPr>
      </xdr:nvSpPr>
      <xdr:spPr bwMode="auto">
        <a:xfrm>
          <a:off x="200025" y="1074791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1002</xdr:row>
      <xdr:rowOff>0</xdr:rowOff>
    </xdr:from>
    <xdr:to>
      <xdr:col>1</xdr:col>
      <xdr:colOff>304800</xdr:colOff>
      <xdr:row>1002</xdr:row>
      <xdr:rowOff>306160</xdr:rowOff>
    </xdr:to>
    <xdr:sp macro="" textlink="">
      <xdr:nvSpPr>
        <xdr:cNvPr id="6312" name="AutoShape 168" descr="Tombstone">
          <a:extLst>
            <a:ext uri="{FF2B5EF4-FFF2-40B4-BE49-F238E27FC236}">
              <a16:creationId xmlns:a16="http://schemas.microsoft.com/office/drawing/2014/main" id="{48B6303C-1AB8-D94A-6CED-EE9F7478839B}"/>
            </a:ext>
          </a:extLst>
        </xdr:cNvPr>
        <xdr:cNvSpPr>
          <a:spLocks noChangeAspect="1" noChangeArrowheads="1"/>
        </xdr:cNvSpPr>
      </xdr:nvSpPr>
      <xdr:spPr bwMode="auto">
        <a:xfrm>
          <a:off x="200025" y="1081525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1008</xdr:row>
      <xdr:rowOff>0</xdr:rowOff>
    </xdr:from>
    <xdr:to>
      <xdr:col>1</xdr:col>
      <xdr:colOff>304800</xdr:colOff>
      <xdr:row>1008</xdr:row>
      <xdr:rowOff>306160</xdr:rowOff>
    </xdr:to>
    <xdr:sp macro="" textlink="">
      <xdr:nvSpPr>
        <xdr:cNvPr id="6313" name="AutoShape 169" descr="Tombstone">
          <a:extLst>
            <a:ext uri="{FF2B5EF4-FFF2-40B4-BE49-F238E27FC236}">
              <a16:creationId xmlns:a16="http://schemas.microsoft.com/office/drawing/2014/main" id="{3F381C3B-A4FF-C17D-0892-F30210B426F2}"/>
            </a:ext>
          </a:extLst>
        </xdr:cNvPr>
        <xdr:cNvSpPr>
          <a:spLocks noChangeAspect="1" noChangeArrowheads="1"/>
        </xdr:cNvSpPr>
      </xdr:nvSpPr>
      <xdr:spPr bwMode="auto">
        <a:xfrm>
          <a:off x="200025" y="1088069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1014</xdr:row>
      <xdr:rowOff>0</xdr:rowOff>
    </xdr:from>
    <xdr:to>
      <xdr:col>1</xdr:col>
      <xdr:colOff>304800</xdr:colOff>
      <xdr:row>1014</xdr:row>
      <xdr:rowOff>306160</xdr:rowOff>
    </xdr:to>
    <xdr:sp macro="" textlink="">
      <xdr:nvSpPr>
        <xdr:cNvPr id="6314" name="AutoShape 170" descr="Tombstone">
          <a:extLst>
            <a:ext uri="{FF2B5EF4-FFF2-40B4-BE49-F238E27FC236}">
              <a16:creationId xmlns:a16="http://schemas.microsoft.com/office/drawing/2014/main" id="{AE751EFE-E3FA-EE67-FB38-61B525833DA5}"/>
            </a:ext>
          </a:extLst>
        </xdr:cNvPr>
        <xdr:cNvSpPr>
          <a:spLocks noChangeAspect="1" noChangeArrowheads="1"/>
        </xdr:cNvSpPr>
      </xdr:nvSpPr>
      <xdr:spPr bwMode="auto">
        <a:xfrm>
          <a:off x="200025" y="109442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1020</xdr:row>
      <xdr:rowOff>0</xdr:rowOff>
    </xdr:from>
    <xdr:to>
      <xdr:col>1</xdr:col>
      <xdr:colOff>304800</xdr:colOff>
      <xdr:row>1020</xdr:row>
      <xdr:rowOff>306160</xdr:rowOff>
    </xdr:to>
    <xdr:sp macro="" textlink="">
      <xdr:nvSpPr>
        <xdr:cNvPr id="6315" name="AutoShape 171" descr="Tombstone">
          <a:extLst>
            <a:ext uri="{FF2B5EF4-FFF2-40B4-BE49-F238E27FC236}">
              <a16:creationId xmlns:a16="http://schemas.microsoft.com/office/drawing/2014/main" id="{6D03553A-865C-57AA-7FBA-83CA3C6B7ECD}"/>
            </a:ext>
          </a:extLst>
        </xdr:cNvPr>
        <xdr:cNvSpPr>
          <a:spLocks noChangeAspect="1" noChangeArrowheads="1"/>
        </xdr:cNvSpPr>
      </xdr:nvSpPr>
      <xdr:spPr bwMode="auto">
        <a:xfrm>
          <a:off x="200025" y="1100775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1026</xdr:row>
      <xdr:rowOff>0</xdr:rowOff>
    </xdr:from>
    <xdr:to>
      <xdr:col>1</xdr:col>
      <xdr:colOff>304800</xdr:colOff>
      <xdr:row>1026</xdr:row>
      <xdr:rowOff>306160</xdr:rowOff>
    </xdr:to>
    <xdr:sp macro="" textlink="">
      <xdr:nvSpPr>
        <xdr:cNvPr id="6316" name="AutoShape 172" descr="Tombstone">
          <a:extLst>
            <a:ext uri="{FF2B5EF4-FFF2-40B4-BE49-F238E27FC236}">
              <a16:creationId xmlns:a16="http://schemas.microsoft.com/office/drawing/2014/main" id="{6C023F94-A5A6-10DA-6CD6-45F948719284}"/>
            </a:ext>
          </a:extLst>
        </xdr:cNvPr>
        <xdr:cNvSpPr>
          <a:spLocks noChangeAspect="1" noChangeArrowheads="1"/>
        </xdr:cNvSpPr>
      </xdr:nvSpPr>
      <xdr:spPr bwMode="auto">
        <a:xfrm>
          <a:off x="200025" y="1107319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1032</xdr:row>
      <xdr:rowOff>0</xdr:rowOff>
    </xdr:from>
    <xdr:to>
      <xdr:col>1</xdr:col>
      <xdr:colOff>304800</xdr:colOff>
      <xdr:row>1032</xdr:row>
      <xdr:rowOff>306160</xdr:rowOff>
    </xdr:to>
    <xdr:sp macro="" textlink="">
      <xdr:nvSpPr>
        <xdr:cNvPr id="6317" name="AutoShape 173" descr="Tombstone">
          <a:extLst>
            <a:ext uri="{FF2B5EF4-FFF2-40B4-BE49-F238E27FC236}">
              <a16:creationId xmlns:a16="http://schemas.microsoft.com/office/drawing/2014/main" id="{92E3CB94-007B-5A60-9D9D-4E2D103A08FA}"/>
            </a:ext>
          </a:extLst>
        </xdr:cNvPr>
        <xdr:cNvSpPr>
          <a:spLocks noChangeAspect="1" noChangeArrowheads="1"/>
        </xdr:cNvSpPr>
      </xdr:nvSpPr>
      <xdr:spPr bwMode="auto">
        <a:xfrm>
          <a:off x="200025" y="111367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1038</xdr:row>
      <xdr:rowOff>0</xdr:rowOff>
    </xdr:from>
    <xdr:to>
      <xdr:col>1</xdr:col>
      <xdr:colOff>304800</xdr:colOff>
      <xdr:row>1038</xdr:row>
      <xdr:rowOff>306160</xdr:rowOff>
    </xdr:to>
    <xdr:sp macro="" textlink="">
      <xdr:nvSpPr>
        <xdr:cNvPr id="6318" name="AutoShape 174" descr="Tombstone">
          <a:extLst>
            <a:ext uri="{FF2B5EF4-FFF2-40B4-BE49-F238E27FC236}">
              <a16:creationId xmlns:a16="http://schemas.microsoft.com/office/drawing/2014/main" id="{5AC852A4-9616-6D08-FCA7-6E3276498C3C}"/>
            </a:ext>
          </a:extLst>
        </xdr:cNvPr>
        <xdr:cNvSpPr>
          <a:spLocks noChangeAspect="1" noChangeArrowheads="1"/>
        </xdr:cNvSpPr>
      </xdr:nvSpPr>
      <xdr:spPr bwMode="auto">
        <a:xfrm>
          <a:off x="200025" y="1120025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1044</xdr:row>
      <xdr:rowOff>0</xdr:rowOff>
    </xdr:from>
    <xdr:to>
      <xdr:col>1</xdr:col>
      <xdr:colOff>304800</xdr:colOff>
      <xdr:row>1044</xdr:row>
      <xdr:rowOff>306160</xdr:rowOff>
    </xdr:to>
    <xdr:sp macro="" textlink="">
      <xdr:nvSpPr>
        <xdr:cNvPr id="6319" name="AutoShape 175" descr="Tombstone">
          <a:extLst>
            <a:ext uri="{FF2B5EF4-FFF2-40B4-BE49-F238E27FC236}">
              <a16:creationId xmlns:a16="http://schemas.microsoft.com/office/drawing/2014/main" id="{466F06AC-7717-77C4-8330-6F61494D3AA0}"/>
            </a:ext>
          </a:extLst>
        </xdr:cNvPr>
        <xdr:cNvSpPr>
          <a:spLocks noChangeAspect="1" noChangeArrowheads="1"/>
        </xdr:cNvSpPr>
      </xdr:nvSpPr>
      <xdr:spPr bwMode="auto">
        <a:xfrm>
          <a:off x="200025" y="112656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1050</xdr:row>
      <xdr:rowOff>0</xdr:rowOff>
    </xdr:from>
    <xdr:to>
      <xdr:col>1</xdr:col>
      <xdr:colOff>304800</xdr:colOff>
      <xdr:row>1050</xdr:row>
      <xdr:rowOff>306160</xdr:rowOff>
    </xdr:to>
    <xdr:sp macro="" textlink="">
      <xdr:nvSpPr>
        <xdr:cNvPr id="6320" name="AutoShape 176" descr="Tombstone">
          <a:extLst>
            <a:ext uri="{FF2B5EF4-FFF2-40B4-BE49-F238E27FC236}">
              <a16:creationId xmlns:a16="http://schemas.microsoft.com/office/drawing/2014/main" id="{B6A6361D-8210-A2C4-D21E-ADF8B532ED9F}"/>
            </a:ext>
          </a:extLst>
        </xdr:cNvPr>
        <xdr:cNvSpPr>
          <a:spLocks noChangeAspect="1" noChangeArrowheads="1"/>
        </xdr:cNvSpPr>
      </xdr:nvSpPr>
      <xdr:spPr bwMode="auto">
        <a:xfrm>
          <a:off x="200025" y="1133494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1056</xdr:row>
      <xdr:rowOff>0</xdr:rowOff>
    </xdr:from>
    <xdr:to>
      <xdr:col>1</xdr:col>
      <xdr:colOff>304800</xdr:colOff>
      <xdr:row>1056</xdr:row>
      <xdr:rowOff>306160</xdr:rowOff>
    </xdr:to>
    <xdr:sp macro="" textlink="">
      <xdr:nvSpPr>
        <xdr:cNvPr id="6321" name="AutoShape 177" descr="Tombstone">
          <a:extLst>
            <a:ext uri="{FF2B5EF4-FFF2-40B4-BE49-F238E27FC236}">
              <a16:creationId xmlns:a16="http://schemas.microsoft.com/office/drawing/2014/main" id="{B959C471-E95C-393C-2A3B-7EE006247804}"/>
            </a:ext>
          </a:extLst>
        </xdr:cNvPr>
        <xdr:cNvSpPr>
          <a:spLocks noChangeAspect="1" noChangeArrowheads="1"/>
        </xdr:cNvSpPr>
      </xdr:nvSpPr>
      <xdr:spPr bwMode="auto">
        <a:xfrm>
          <a:off x="200025" y="1138447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1062</xdr:row>
      <xdr:rowOff>0</xdr:rowOff>
    </xdr:from>
    <xdr:to>
      <xdr:col>1</xdr:col>
      <xdr:colOff>304800</xdr:colOff>
      <xdr:row>1062</xdr:row>
      <xdr:rowOff>306160</xdr:rowOff>
    </xdr:to>
    <xdr:sp macro="" textlink="">
      <xdr:nvSpPr>
        <xdr:cNvPr id="6322" name="AutoShape 178" descr="Tombstone">
          <a:extLst>
            <a:ext uri="{FF2B5EF4-FFF2-40B4-BE49-F238E27FC236}">
              <a16:creationId xmlns:a16="http://schemas.microsoft.com/office/drawing/2014/main" id="{379E406B-9948-C228-98D2-514FBB6F4053}"/>
            </a:ext>
          </a:extLst>
        </xdr:cNvPr>
        <xdr:cNvSpPr>
          <a:spLocks noChangeAspect="1" noChangeArrowheads="1"/>
        </xdr:cNvSpPr>
      </xdr:nvSpPr>
      <xdr:spPr bwMode="auto">
        <a:xfrm>
          <a:off x="200025" y="1145181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1068</xdr:row>
      <xdr:rowOff>0</xdr:rowOff>
    </xdr:from>
    <xdr:to>
      <xdr:col>1</xdr:col>
      <xdr:colOff>304800</xdr:colOff>
      <xdr:row>1068</xdr:row>
      <xdr:rowOff>306160</xdr:rowOff>
    </xdr:to>
    <xdr:sp macro="" textlink="">
      <xdr:nvSpPr>
        <xdr:cNvPr id="6323" name="AutoShape 179" descr="Tombstone">
          <a:extLst>
            <a:ext uri="{FF2B5EF4-FFF2-40B4-BE49-F238E27FC236}">
              <a16:creationId xmlns:a16="http://schemas.microsoft.com/office/drawing/2014/main" id="{A2494AB8-0639-7915-45B9-E17EDCE63C77}"/>
            </a:ext>
          </a:extLst>
        </xdr:cNvPr>
        <xdr:cNvSpPr>
          <a:spLocks noChangeAspect="1" noChangeArrowheads="1"/>
        </xdr:cNvSpPr>
      </xdr:nvSpPr>
      <xdr:spPr bwMode="auto">
        <a:xfrm>
          <a:off x="200025" y="1151534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1074</xdr:row>
      <xdr:rowOff>0</xdr:rowOff>
    </xdr:from>
    <xdr:to>
      <xdr:col>1</xdr:col>
      <xdr:colOff>304800</xdr:colOff>
      <xdr:row>1074</xdr:row>
      <xdr:rowOff>306160</xdr:rowOff>
    </xdr:to>
    <xdr:sp macro="" textlink="">
      <xdr:nvSpPr>
        <xdr:cNvPr id="6324" name="AutoShape 180" descr="Tombstone">
          <a:extLst>
            <a:ext uri="{FF2B5EF4-FFF2-40B4-BE49-F238E27FC236}">
              <a16:creationId xmlns:a16="http://schemas.microsoft.com/office/drawing/2014/main" id="{8C65C850-B9EE-66E7-FCD2-F591ED963C9D}"/>
            </a:ext>
          </a:extLst>
        </xdr:cNvPr>
        <xdr:cNvSpPr>
          <a:spLocks noChangeAspect="1" noChangeArrowheads="1"/>
        </xdr:cNvSpPr>
      </xdr:nvSpPr>
      <xdr:spPr bwMode="auto">
        <a:xfrm>
          <a:off x="200025" y="1158078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1080</xdr:row>
      <xdr:rowOff>0</xdr:rowOff>
    </xdr:from>
    <xdr:to>
      <xdr:col>1</xdr:col>
      <xdr:colOff>304800</xdr:colOff>
      <xdr:row>1080</xdr:row>
      <xdr:rowOff>306160</xdr:rowOff>
    </xdr:to>
    <xdr:sp macro="" textlink="">
      <xdr:nvSpPr>
        <xdr:cNvPr id="6325" name="AutoShape 181" descr="Tombstone">
          <a:extLst>
            <a:ext uri="{FF2B5EF4-FFF2-40B4-BE49-F238E27FC236}">
              <a16:creationId xmlns:a16="http://schemas.microsoft.com/office/drawing/2014/main" id="{88D5E867-966F-D7F6-6F69-713083B45886}"/>
            </a:ext>
          </a:extLst>
        </xdr:cNvPr>
        <xdr:cNvSpPr>
          <a:spLocks noChangeAspect="1" noChangeArrowheads="1"/>
        </xdr:cNvSpPr>
      </xdr:nvSpPr>
      <xdr:spPr bwMode="auto">
        <a:xfrm>
          <a:off x="200025" y="1163783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1086</xdr:row>
      <xdr:rowOff>0</xdr:rowOff>
    </xdr:from>
    <xdr:to>
      <xdr:col>1</xdr:col>
      <xdr:colOff>304800</xdr:colOff>
      <xdr:row>1086</xdr:row>
      <xdr:rowOff>306160</xdr:rowOff>
    </xdr:to>
    <xdr:sp macro="" textlink="">
      <xdr:nvSpPr>
        <xdr:cNvPr id="6326" name="AutoShape 182" descr="Tombstone">
          <a:extLst>
            <a:ext uri="{FF2B5EF4-FFF2-40B4-BE49-F238E27FC236}">
              <a16:creationId xmlns:a16="http://schemas.microsoft.com/office/drawing/2014/main" id="{4A941040-BA53-56FF-48CB-F6EC9167FA94}"/>
            </a:ext>
          </a:extLst>
        </xdr:cNvPr>
        <xdr:cNvSpPr>
          <a:spLocks noChangeAspect="1" noChangeArrowheads="1"/>
        </xdr:cNvSpPr>
      </xdr:nvSpPr>
      <xdr:spPr bwMode="auto">
        <a:xfrm>
          <a:off x="200025" y="1170708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1092</xdr:row>
      <xdr:rowOff>0</xdr:rowOff>
    </xdr:from>
    <xdr:to>
      <xdr:col>1</xdr:col>
      <xdr:colOff>304800</xdr:colOff>
      <xdr:row>1092</xdr:row>
      <xdr:rowOff>306160</xdr:rowOff>
    </xdr:to>
    <xdr:sp macro="" textlink="">
      <xdr:nvSpPr>
        <xdr:cNvPr id="6327" name="AutoShape 183" descr="Tombstone">
          <a:extLst>
            <a:ext uri="{FF2B5EF4-FFF2-40B4-BE49-F238E27FC236}">
              <a16:creationId xmlns:a16="http://schemas.microsoft.com/office/drawing/2014/main" id="{666DB48A-E82E-2098-5140-430C9664C974}"/>
            </a:ext>
          </a:extLst>
        </xdr:cNvPr>
        <xdr:cNvSpPr>
          <a:spLocks noChangeAspect="1" noChangeArrowheads="1"/>
        </xdr:cNvSpPr>
      </xdr:nvSpPr>
      <xdr:spPr bwMode="auto">
        <a:xfrm>
          <a:off x="200025" y="1177061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1098</xdr:row>
      <xdr:rowOff>0</xdr:rowOff>
    </xdr:from>
    <xdr:to>
      <xdr:col>1</xdr:col>
      <xdr:colOff>304800</xdr:colOff>
      <xdr:row>1098</xdr:row>
      <xdr:rowOff>306160</xdr:rowOff>
    </xdr:to>
    <xdr:sp macro="" textlink="">
      <xdr:nvSpPr>
        <xdr:cNvPr id="6328" name="AutoShape 184" descr="Tombstone">
          <a:extLst>
            <a:ext uri="{FF2B5EF4-FFF2-40B4-BE49-F238E27FC236}">
              <a16:creationId xmlns:a16="http://schemas.microsoft.com/office/drawing/2014/main" id="{BBCAE304-04BC-747C-0025-D9B0046ACCD8}"/>
            </a:ext>
          </a:extLst>
        </xdr:cNvPr>
        <xdr:cNvSpPr>
          <a:spLocks noChangeAspect="1" noChangeArrowheads="1"/>
        </xdr:cNvSpPr>
      </xdr:nvSpPr>
      <xdr:spPr bwMode="auto">
        <a:xfrm>
          <a:off x="200025" y="1183281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1104</xdr:row>
      <xdr:rowOff>0</xdr:rowOff>
    </xdr:from>
    <xdr:to>
      <xdr:col>1</xdr:col>
      <xdr:colOff>304800</xdr:colOff>
      <xdr:row>1104</xdr:row>
      <xdr:rowOff>306160</xdr:rowOff>
    </xdr:to>
    <xdr:sp macro="" textlink="">
      <xdr:nvSpPr>
        <xdr:cNvPr id="6329" name="AutoShape 185" descr="Tombstone">
          <a:extLst>
            <a:ext uri="{FF2B5EF4-FFF2-40B4-BE49-F238E27FC236}">
              <a16:creationId xmlns:a16="http://schemas.microsoft.com/office/drawing/2014/main" id="{B1F8B956-5373-9499-D6E5-D0592B4AF82B}"/>
            </a:ext>
          </a:extLst>
        </xdr:cNvPr>
        <xdr:cNvSpPr>
          <a:spLocks noChangeAspect="1" noChangeArrowheads="1"/>
        </xdr:cNvSpPr>
      </xdr:nvSpPr>
      <xdr:spPr bwMode="auto">
        <a:xfrm>
          <a:off x="200025" y="1190015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1110</xdr:row>
      <xdr:rowOff>0</xdr:rowOff>
    </xdr:from>
    <xdr:to>
      <xdr:col>1</xdr:col>
      <xdr:colOff>304800</xdr:colOff>
      <xdr:row>1110</xdr:row>
      <xdr:rowOff>306160</xdr:rowOff>
    </xdr:to>
    <xdr:sp macro="" textlink="">
      <xdr:nvSpPr>
        <xdr:cNvPr id="6330" name="AutoShape 186" descr="Tombstone">
          <a:extLst>
            <a:ext uri="{FF2B5EF4-FFF2-40B4-BE49-F238E27FC236}">
              <a16:creationId xmlns:a16="http://schemas.microsoft.com/office/drawing/2014/main" id="{2119623B-F01D-8BDD-E607-52A3B4310AD8}"/>
            </a:ext>
          </a:extLst>
        </xdr:cNvPr>
        <xdr:cNvSpPr>
          <a:spLocks noChangeAspect="1" noChangeArrowheads="1"/>
        </xdr:cNvSpPr>
      </xdr:nvSpPr>
      <xdr:spPr bwMode="auto">
        <a:xfrm>
          <a:off x="200025" y="1196425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1116</xdr:row>
      <xdr:rowOff>0</xdr:rowOff>
    </xdr:from>
    <xdr:to>
      <xdr:col>1</xdr:col>
      <xdr:colOff>304800</xdr:colOff>
      <xdr:row>1116</xdr:row>
      <xdr:rowOff>306160</xdr:rowOff>
    </xdr:to>
    <xdr:sp macro="" textlink="">
      <xdr:nvSpPr>
        <xdr:cNvPr id="6331" name="AutoShape 187" descr="Tombstone">
          <a:extLst>
            <a:ext uri="{FF2B5EF4-FFF2-40B4-BE49-F238E27FC236}">
              <a16:creationId xmlns:a16="http://schemas.microsoft.com/office/drawing/2014/main" id="{DD2B7338-302B-8BB9-293C-9C4EEFDF5270}"/>
            </a:ext>
          </a:extLst>
        </xdr:cNvPr>
        <xdr:cNvSpPr>
          <a:spLocks noChangeAspect="1" noChangeArrowheads="1"/>
        </xdr:cNvSpPr>
      </xdr:nvSpPr>
      <xdr:spPr bwMode="auto">
        <a:xfrm>
          <a:off x="200025" y="1203159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1122</xdr:row>
      <xdr:rowOff>0</xdr:rowOff>
    </xdr:from>
    <xdr:to>
      <xdr:col>1</xdr:col>
      <xdr:colOff>304800</xdr:colOff>
      <xdr:row>1122</xdr:row>
      <xdr:rowOff>306160</xdr:rowOff>
    </xdr:to>
    <xdr:sp macro="" textlink="">
      <xdr:nvSpPr>
        <xdr:cNvPr id="6332" name="AutoShape 188" descr="Tombstone">
          <a:extLst>
            <a:ext uri="{FF2B5EF4-FFF2-40B4-BE49-F238E27FC236}">
              <a16:creationId xmlns:a16="http://schemas.microsoft.com/office/drawing/2014/main" id="{AC9C68BD-4D1A-D638-674A-1907CA18FF81}"/>
            </a:ext>
          </a:extLst>
        </xdr:cNvPr>
        <xdr:cNvSpPr>
          <a:spLocks noChangeAspect="1" noChangeArrowheads="1"/>
        </xdr:cNvSpPr>
      </xdr:nvSpPr>
      <xdr:spPr bwMode="auto">
        <a:xfrm>
          <a:off x="200025" y="1209703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1128</xdr:row>
      <xdr:rowOff>0</xdr:rowOff>
    </xdr:from>
    <xdr:to>
      <xdr:col>1</xdr:col>
      <xdr:colOff>304800</xdr:colOff>
      <xdr:row>1128</xdr:row>
      <xdr:rowOff>306160</xdr:rowOff>
    </xdr:to>
    <xdr:sp macro="" textlink="">
      <xdr:nvSpPr>
        <xdr:cNvPr id="6333" name="AutoShape 189" descr="Tombstone">
          <a:extLst>
            <a:ext uri="{FF2B5EF4-FFF2-40B4-BE49-F238E27FC236}">
              <a16:creationId xmlns:a16="http://schemas.microsoft.com/office/drawing/2014/main" id="{95F5B3F9-A1E0-3129-8BAB-5745A04F4D90}"/>
            </a:ext>
          </a:extLst>
        </xdr:cNvPr>
        <xdr:cNvSpPr>
          <a:spLocks noChangeAspect="1" noChangeArrowheads="1"/>
        </xdr:cNvSpPr>
      </xdr:nvSpPr>
      <xdr:spPr bwMode="auto">
        <a:xfrm>
          <a:off x="200025" y="1216247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1134</xdr:row>
      <xdr:rowOff>0</xdr:rowOff>
    </xdr:from>
    <xdr:to>
      <xdr:col>1</xdr:col>
      <xdr:colOff>304800</xdr:colOff>
      <xdr:row>1134</xdr:row>
      <xdr:rowOff>306160</xdr:rowOff>
    </xdr:to>
    <xdr:sp macro="" textlink="">
      <xdr:nvSpPr>
        <xdr:cNvPr id="6334" name="AutoShape 190" descr="Tombstone">
          <a:extLst>
            <a:ext uri="{FF2B5EF4-FFF2-40B4-BE49-F238E27FC236}">
              <a16:creationId xmlns:a16="http://schemas.microsoft.com/office/drawing/2014/main" id="{138ACC72-F7CC-7F9B-93F7-B1B3BDB27ADB}"/>
            </a:ext>
          </a:extLst>
        </xdr:cNvPr>
        <xdr:cNvSpPr>
          <a:spLocks noChangeAspect="1" noChangeArrowheads="1"/>
        </xdr:cNvSpPr>
      </xdr:nvSpPr>
      <xdr:spPr bwMode="auto">
        <a:xfrm>
          <a:off x="200025" y="1222981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1140</xdr:row>
      <xdr:rowOff>0</xdr:rowOff>
    </xdr:from>
    <xdr:to>
      <xdr:col>1</xdr:col>
      <xdr:colOff>304800</xdr:colOff>
      <xdr:row>1140</xdr:row>
      <xdr:rowOff>306160</xdr:rowOff>
    </xdr:to>
    <xdr:sp macro="" textlink="">
      <xdr:nvSpPr>
        <xdr:cNvPr id="6335" name="AutoShape 191" descr="Tombstone">
          <a:extLst>
            <a:ext uri="{FF2B5EF4-FFF2-40B4-BE49-F238E27FC236}">
              <a16:creationId xmlns:a16="http://schemas.microsoft.com/office/drawing/2014/main" id="{A9BC929D-974A-E2E1-FD91-0EB30B3D7145}"/>
            </a:ext>
          </a:extLst>
        </xdr:cNvPr>
        <xdr:cNvSpPr>
          <a:spLocks noChangeAspect="1" noChangeArrowheads="1"/>
        </xdr:cNvSpPr>
      </xdr:nvSpPr>
      <xdr:spPr bwMode="auto">
        <a:xfrm>
          <a:off x="200025" y="1229334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1146</xdr:row>
      <xdr:rowOff>0</xdr:rowOff>
    </xdr:from>
    <xdr:to>
      <xdr:col>1</xdr:col>
      <xdr:colOff>304800</xdr:colOff>
      <xdr:row>1146</xdr:row>
      <xdr:rowOff>306160</xdr:rowOff>
    </xdr:to>
    <xdr:sp macro="" textlink="">
      <xdr:nvSpPr>
        <xdr:cNvPr id="6336" name="AutoShape 192" descr="Tombstone">
          <a:extLst>
            <a:ext uri="{FF2B5EF4-FFF2-40B4-BE49-F238E27FC236}">
              <a16:creationId xmlns:a16="http://schemas.microsoft.com/office/drawing/2014/main" id="{ACBBE3C7-F0A9-1D10-0D4D-52548BC53FAD}"/>
            </a:ext>
          </a:extLst>
        </xdr:cNvPr>
        <xdr:cNvSpPr>
          <a:spLocks noChangeAspect="1" noChangeArrowheads="1"/>
        </xdr:cNvSpPr>
      </xdr:nvSpPr>
      <xdr:spPr bwMode="auto">
        <a:xfrm>
          <a:off x="200025" y="1235935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1152</xdr:row>
      <xdr:rowOff>0</xdr:rowOff>
    </xdr:from>
    <xdr:to>
      <xdr:col>1</xdr:col>
      <xdr:colOff>304800</xdr:colOff>
      <xdr:row>1152</xdr:row>
      <xdr:rowOff>306160</xdr:rowOff>
    </xdr:to>
    <xdr:sp macro="" textlink="">
      <xdr:nvSpPr>
        <xdr:cNvPr id="6337" name="AutoShape 193" descr="Tombstone">
          <a:extLst>
            <a:ext uri="{FF2B5EF4-FFF2-40B4-BE49-F238E27FC236}">
              <a16:creationId xmlns:a16="http://schemas.microsoft.com/office/drawing/2014/main" id="{BB30CACE-CDE4-64B6-A310-AF8ED58FC94F}"/>
            </a:ext>
          </a:extLst>
        </xdr:cNvPr>
        <xdr:cNvSpPr>
          <a:spLocks noChangeAspect="1" noChangeArrowheads="1"/>
        </xdr:cNvSpPr>
      </xdr:nvSpPr>
      <xdr:spPr bwMode="auto">
        <a:xfrm>
          <a:off x="200025" y="124286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1158</xdr:row>
      <xdr:rowOff>0</xdr:rowOff>
    </xdr:from>
    <xdr:to>
      <xdr:col>1</xdr:col>
      <xdr:colOff>304800</xdr:colOff>
      <xdr:row>1158</xdr:row>
      <xdr:rowOff>306160</xdr:rowOff>
    </xdr:to>
    <xdr:sp macro="" textlink="">
      <xdr:nvSpPr>
        <xdr:cNvPr id="6338" name="AutoShape 194" descr="Tombstone">
          <a:extLst>
            <a:ext uri="{FF2B5EF4-FFF2-40B4-BE49-F238E27FC236}">
              <a16:creationId xmlns:a16="http://schemas.microsoft.com/office/drawing/2014/main" id="{791294DE-AFB7-8631-1342-3ED7521350FB}"/>
            </a:ext>
          </a:extLst>
        </xdr:cNvPr>
        <xdr:cNvSpPr>
          <a:spLocks noChangeAspect="1" noChangeArrowheads="1"/>
        </xdr:cNvSpPr>
      </xdr:nvSpPr>
      <xdr:spPr bwMode="auto">
        <a:xfrm>
          <a:off x="200025" y="1249403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1164</xdr:row>
      <xdr:rowOff>0</xdr:rowOff>
    </xdr:from>
    <xdr:to>
      <xdr:col>1</xdr:col>
      <xdr:colOff>304800</xdr:colOff>
      <xdr:row>1164</xdr:row>
      <xdr:rowOff>306160</xdr:rowOff>
    </xdr:to>
    <xdr:sp macro="" textlink="">
      <xdr:nvSpPr>
        <xdr:cNvPr id="6339" name="AutoShape 195" descr="Tombstone">
          <a:extLst>
            <a:ext uri="{FF2B5EF4-FFF2-40B4-BE49-F238E27FC236}">
              <a16:creationId xmlns:a16="http://schemas.microsoft.com/office/drawing/2014/main" id="{D2533EDB-96E9-4B86-A56A-3799C5367FE6}"/>
            </a:ext>
          </a:extLst>
        </xdr:cNvPr>
        <xdr:cNvSpPr>
          <a:spLocks noChangeAspect="1" noChangeArrowheads="1"/>
        </xdr:cNvSpPr>
      </xdr:nvSpPr>
      <xdr:spPr bwMode="auto">
        <a:xfrm>
          <a:off x="200025" y="1255756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1170</xdr:row>
      <xdr:rowOff>0</xdr:rowOff>
    </xdr:from>
    <xdr:to>
      <xdr:col>1</xdr:col>
      <xdr:colOff>304800</xdr:colOff>
      <xdr:row>1170</xdr:row>
      <xdr:rowOff>306160</xdr:rowOff>
    </xdr:to>
    <xdr:sp macro="" textlink="">
      <xdr:nvSpPr>
        <xdr:cNvPr id="6340" name="AutoShape 196" descr="Tombstone">
          <a:extLst>
            <a:ext uri="{FF2B5EF4-FFF2-40B4-BE49-F238E27FC236}">
              <a16:creationId xmlns:a16="http://schemas.microsoft.com/office/drawing/2014/main" id="{5E9B5047-693D-5A2B-95F9-A595AA363184}"/>
            </a:ext>
          </a:extLst>
        </xdr:cNvPr>
        <xdr:cNvSpPr>
          <a:spLocks noChangeAspect="1" noChangeArrowheads="1"/>
        </xdr:cNvSpPr>
      </xdr:nvSpPr>
      <xdr:spPr bwMode="auto">
        <a:xfrm>
          <a:off x="200025" y="1262300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1176</xdr:row>
      <xdr:rowOff>0</xdr:rowOff>
    </xdr:from>
    <xdr:to>
      <xdr:col>1</xdr:col>
      <xdr:colOff>304800</xdr:colOff>
      <xdr:row>1176</xdr:row>
      <xdr:rowOff>306160</xdr:rowOff>
    </xdr:to>
    <xdr:sp macro="" textlink="">
      <xdr:nvSpPr>
        <xdr:cNvPr id="6341" name="AutoShape 197" descr="Tombstone">
          <a:extLst>
            <a:ext uri="{FF2B5EF4-FFF2-40B4-BE49-F238E27FC236}">
              <a16:creationId xmlns:a16="http://schemas.microsoft.com/office/drawing/2014/main" id="{F25BB179-752C-2EA7-F76B-E7B5FED0721B}"/>
            </a:ext>
          </a:extLst>
        </xdr:cNvPr>
        <xdr:cNvSpPr>
          <a:spLocks noChangeAspect="1" noChangeArrowheads="1"/>
        </xdr:cNvSpPr>
      </xdr:nvSpPr>
      <xdr:spPr bwMode="auto">
        <a:xfrm>
          <a:off x="200025" y="1268844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1182</xdr:row>
      <xdr:rowOff>0</xdr:rowOff>
    </xdr:from>
    <xdr:to>
      <xdr:col>1</xdr:col>
      <xdr:colOff>304800</xdr:colOff>
      <xdr:row>1182</xdr:row>
      <xdr:rowOff>306160</xdr:rowOff>
    </xdr:to>
    <xdr:sp macro="" textlink="">
      <xdr:nvSpPr>
        <xdr:cNvPr id="6342" name="AutoShape 198" descr="Tombstone">
          <a:extLst>
            <a:ext uri="{FF2B5EF4-FFF2-40B4-BE49-F238E27FC236}">
              <a16:creationId xmlns:a16="http://schemas.microsoft.com/office/drawing/2014/main" id="{AC25F3C0-EDFB-11BF-3A88-38D3ECAD5DFC}"/>
            </a:ext>
          </a:extLst>
        </xdr:cNvPr>
        <xdr:cNvSpPr>
          <a:spLocks noChangeAspect="1" noChangeArrowheads="1"/>
        </xdr:cNvSpPr>
      </xdr:nvSpPr>
      <xdr:spPr bwMode="auto">
        <a:xfrm>
          <a:off x="200025" y="1275768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1188</xdr:row>
      <xdr:rowOff>0</xdr:rowOff>
    </xdr:from>
    <xdr:to>
      <xdr:col>1</xdr:col>
      <xdr:colOff>304800</xdr:colOff>
      <xdr:row>1188</xdr:row>
      <xdr:rowOff>306160</xdr:rowOff>
    </xdr:to>
    <xdr:sp macro="" textlink="">
      <xdr:nvSpPr>
        <xdr:cNvPr id="6343" name="AutoShape 199" descr="Tombstone">
          <a:extLst>
            <a:ext uri="{FF2B5EF4-FFF2-40B4-BE49-F238E27FC236}">
              <a16:creationId xmlns:a16="http://schemas.microsoft.com/office/drawing/2014/main" id="{F2178BDC-D170-D222-61AD-6355E3F62248}"/>
            </a:ext>
          </a:extLst>
        </xdr:cNvPr>
        <xdr:cNvSpPr>
          <a:spLocks noChangeAspect="1" noChangeArrowheads="1"/>
        </xdr:cNvSpPr>
      </xdr:nvSpPr>
      <xdr:spPr bwMode="auto">
        <a:xfrm>
          <a:off x="200025" y="1282503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1194</xdr:row>
      <xdr:rowOff>0</xdr:rowOff>
    </xdr:from>
    <xdr:to>
      <xdr:col>1</xdr:col>
      <xdr:colOff>304800</xdr:colOff>
      <xdr:row>1194</xdr:row>
      <xdr:rowOff>306160</xdr:rowOff>
    </xdr:to>
    <xdr:sp macro="" textlink="">
      <xdr:nvSpPr>
        <xdr:cNvPr id="6344" name="AutoShape 200" descr="Tombstone">
          <a:extLst>
            <a:ext uri="{FF2B5EF4-FFF2-40B4-BE49-F238E27FC236}">
              <a16:creationId xmlns:a16="http://schemas.microsoft.com/office/drawing/2014/main" id="{379AB6C8-39E4-585C-5B62-427D63A82FA3}"/>
            </a:ext>
          </a:extLst>
        </xdr:cNvPr>
        <xdr:cNvSpPr>
          <a:spLocks noChangeAspect="1" noChangeArrowheads="1"/>
        </xdr:cNvSpPr>
      </xdr:nvSpPr>
      <xdr:spPr bwMode="auto">
        <a:xfrm>
          <a:off x="200025" y="1289046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1200</xdr:row>
      <xdr:rowOff>0</xdr:rowOff>
    </xdr:from>
    <xdr:to>
      <xdr:col>1</xdr:col>
      <xdr:colOff>304800</xdr:colOff>
      <xdr:row>1200</xdr:row>
      <xdr:rowOff>306160</xdr:rowOff>
    </xdr:to>
    <xdr:sp macro="" textlink="">
      <xdr:nvSpPr>
        <xdr:cNvPr id="6345" name="AutoShape 201" descr="Tombstone">
          <a:extLst>
            <a:ext uri="{FF2B5EF4-FFF2-40B4-BE49-F238E27FC236}">
              <a16:creationId xmlns:a16="http://schemas.microsoft.com/office/drawing/2014/main" id="{48B40E92-A2DA-3B70-2B32-B4D8EF4BB4AA}"/>
            </a:ext>
          </a:extLst>
        </xdr:cNvPr>
        <xdr:cNvSpPr>
          <a:spLocks noChangeAspect="1" noChangeArrowheads="1"/>
        </xdr:cNvSpPr>
      </xdr:nvSpPr>
      <xdr:spPr bwMode="auto">
        <a:xfrm>
          <a:off x="200025" y="12955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1206</xdr:row>
      <xdr:rowOff>0</xdr:rowOff>
    </xdr:from>
    <xdr:to>
      <xdr:col>1</xdr:col>
      <xdr:colOff>304800</xdr:colOff>
      <xdr:row>1206</xdr:row>
      <xdr:rowOff>306160</xdr:rowOff>
    </xdr:to>
    <xdr:sp macro="" textlink="">
      <xdr:nvSpPr>
        <xdr:cNvPr id="6346" name="AutoShape 202" descr="Tombstone">
          <a:extLst>
            <a:ext uri="{FF2B5EF4-FFF2-40B4-BE49-F238E27FC236}">
              <a16:creationId xmlns:a16="http://schemas.microsoft.com/office/drawing/2014/main" id="{A370E43C-4B12-7DC3-41D0-AF05AA10CC91}"/>
            </a:ext>
          </a:extLst>
        </xdr:cNvPr>
        <xdr:cNvSpPr>
          <a:spLocks noChangeAspect="1" noChangeArrowheads="1"/>
        </xdr:cNvSpPr>
      </xdr:nvSpPr>
      <xdr:spPr bwMode="auto">
        <a:xfrm>
          <a:off x="200025" y="1301276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1212</xdr:row>
      <xdr:rowOff>0</xdr:rowOff>
    </xdr:from>
    <xdr:to>
      <xdr:col>1</xdr:col>
      <xdr:colOff>304800</xdr:colOff>
      <xdr:row>1212</xdr:row>
      <xdr:rowOff>306160</xdr:rowOff>
    </xdr:to>
    <xdr:sp macro="" textlink="">
      <xdr:nvSpPr>
        <xdr:cNvPr id="6347" name="AutoShape 203" descr="Tombstone">
          <a:extLst>
            <a:ext uri="{FF2B5EF4-FFF2-40B4-BE49-F238E27FC236}">
              <a16:creationId xmlns:a16="http://schemas.microsoft.com/office/drawing/2014/main" id="{B1EB9CE8-883F-CAE8-B2D6-78CEFA96CA8F}"/>
            </a:ext>
          </a:extLst>
        </xdr:cNvPr>
        <xdr:cNvSpPr>
          <a:spLocks noChangeAspect="1" noChangeArrowheads="1"/>
        </xdr:cNvSpPr>
      </xdr:nvSpPr>
      <xdr:spPr bwMode="auto">
        <a:xfrm>
          <a:off x="200025" y="1308011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1218</xdr:row>
      <xdr:rowOff>0</xdr:rowOff>
    </xdr:from>
    <xdr:to>
      <xdr:col>1</xdr:col>
      <xdr:colOff>304800</xdr:colOff>
      <xdr:row>1218</xdr:row>
      <xdr:rowOff>306160</xdr:rowOff>
    </xdr:to>
    <xdr:sp macro="" textlink="">
      <xdr:nvSpPr>
        <xdr:cNvPr id="6348" name="AutoShape 204" descr="Tombstone">
          <a:extLst>
            <a:ext uri="{FF2B5EF4-FFF2-40B4-BE49-F238E27FC236}">
              <a16:creationId xmlns:a16="http://schemas.microsoft.com/office/drawing/2014/main" id="{CFB3AD9C-87DB-D5F7-7A20-860249C27CE9}"/>
            </a:ext>
          </a:extLst>
        </xdr:cNvPr>
        <xdr:cNvSpPr>
          <a:spLocks noChangeAspect="1" noChangeArrowheads="1"/>
        </xdr:cNvSpPr>
      </xdr:nvSpPr>
      <xdr:spPr bwMode="auto">
        <a:xfrm>
          <a:off x="200025" y="1313516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1224</xdr:row>
      <xdr:rowOff>0</xdr:rowOff>
    </xdr:from>
    <xdr:to>
      <xdr:col>1</xdr:col>
      <xdr:colOff>304800</xdr:colOff>
      <xdr:row>1224</xdr:row>
      <xdr:rowOff>306160</xdr:rowOff>
    </xdr:to>
    <xdr:sp macro="" textlink="">
      <xdr:nvSpPr>
        <xdr:cNvPr id="6349" name="AutoShape 205" descr="Tombstone">
          <a:extLst>
            <a:ext uri="{FF2B5EF4-FFF2-40B4-BE49-F238E27FC236}">
              <a16:creationId xmlns:a16="http://schemas.microsoft.com/office/drawing/2014/main" id="{2A50A699-9D4F-9A3B-EED1-DC1730689792}"/>
            </a:ext>
          </a:extLst>
        </xdr:cNvPr>
        <xdr:cNvSpPr>
          <a:spLocks noChangeAspect="1" noChangeArrowheads="1"/>
        </xdr:cNvSpPr>
      </xdr:nvSpPr>
      <xdr:spPr bwMode="auto">
        <a:xfrm>
          <a:off x="200025" y="1319869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1230</xdr:row>
      <xdr:rowOff>0</xdr:rowOff>
    </xdr:from>
    <xdr:to>
      <xdr:col>1</xdr:col>
      <xdr:colOff>304800</xdr:colOff>
      <xdr:row>1230</xdr:row>
      <xdr:rowOff>306160</xdr:rowOff>
    </xdr:to>
    <xdr:sp macro="" textlink="">
      <xdr:nvSpPr>
        <xdr:cNvPr id="6350" name="AutoShape 206" descr="Tombstone">
          <a:extLst>
            <a:ext uri="{FF2B5EF4-FFF2-40B4-BE49-F238E27FC236}">
              <a16:creationId xmlns:a16="http://schemas.microsoft.com/office/drawing/2014/main" id="{D7BFC396-1872-D16B-D79C-568DDDB193FC}"/>
            </a:ext>
          </a:extLst>
        </xdr:cNvPr>
        <xdr:cNvSpPr>
          <a:spLocks noChangeAspect="1" noChangeArrowheads="1"/>
        </xdr:cNvSpPr>
      </xdr:nvSpPr>
      <xdr:spPr bwMode="auto">
        <a:xfrm>
          <a:off x="200025" y="1326413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1236</xdr:row>
      <xdr:rowOff>0</xdr:rowOff>
    </xdr:from>
    <xdr:to>
      <xdr:col>1</xdr:col>
      <xdr:colOff>304800</xdr:colOff>
      <xdr:row>1236</xdr:row>
      <xdr:rowOff>306160</xdr:rowOff>
    </xdr:to>
    <xdr:sp macro="" textlink="">
      <xdr:nvSpPr>
        <xdr:cNvPr id="6351" name="AutoShape 207" descr="Tombstone">
          <a:extLst>
            <a:ext uri="{FF2B5EF4-FFF2-40B4-BE49-F238E27FC236}">
              <a16:creationId xmlns:a16="http://schemas.microsoft.com/office/drawing/2014/main" id="{388ED73D-ADEA-60EB-5E41-9E4C21232C6F}"/>
            </a:ext>
          </a:extLst>
        </xdr:cNvPr>
        <xdr:cNvSpPr>
          <a:spLocks noChangeAspect="1" noChangeArrowheads="1"/>
        </xdr:cNvSpPr>
      </xdr:nvSpPr>
      <xdr:spPr bwMode="auto">
        <a:xfrm>
          <a:off x="200025" y="1332957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1242</xdr:row>
      <xdr:rowOff>0</xdr:rowOff>
    </xdr:from>
    <xdr:to>
      <xdr:col>1</xdr:col>
      <xdr:colOff>304800</xdr:colOff>
      <xdr:row>1242</xdr:row>
      <xdr:rowOff>306160</xdr:rowOff>
    </xdr:to>
    <xdr:sp macro="" textlink="">
      <xdr:nvSpPr>
        <xdr:cNvPr id="6352" name="AutoShape 208" descr="Tombstone">
          <a:extLst>
            <a:ext uri="{FF2B5EF4-FFF2-40B4-BE49-F238E27FC236}">
              <a16:creationId xmlns:a16="http://schemas.microsoft.com/office/drawing/2014/main" id="{E59A005C-EF0F-4A20-7C2D-705CBAEE13A0}"/>
            </a:ext>
          </a:extLst>
        </xdr:cNvPr>
        <xdr:cNvSpPr>
          <a:spLocks noChangeAspect="1" noChangeArrowheads="1"/>
        </xdr:cNvSpPr>
      </xdr:nvSpPr>
      <xdr:spPr bwMode="auto">
        <a:xfrm>
          <a:off x="200025" y="133969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1248</xdr:row>
      <xdr:rowOff>0</xdr:rowOff>
    </xdr:from>
    <xdr:to>
      <xdr:col>1</xdr:col>
      <xdr:colOff>304800</xdr:colOff>
      <xdr:row>1248</xdr:row>
      <xdr:rowOff>306160</xdr:rowOff>
    </xdr:to>
    <xdr:sp macro="" textlink="">
      <xdr:nvSpPr>
        <xdr:cNvPr id="6353" name="AutoShape 209" descr="Tombstone">
          <a:extLst>
            <a:ext uri="{FF2B5EF4-FFF2-40B4-BE49-F238E27FC236}">
              <a16:creationId xmlns:a16="http://schemas.microsoft.com/office/drawing/2014/main" id="{161A950E-AC8D-5BB5-C527-7E52E887A5AA}"/>
            </a:ext>
          </a:extLst>
        </xdr:cNvPr>
        <xdr:cNvSpPr>
          <a:spLocks noChangeAspect="1" noChangeArrowheads="1"/>
        </xdr:cNvSpPr>
      </xdr:nvSpPr>
      <xdr:spPr bwMode="auto">
        <a:xfrm>
          <a:off x="200025" y="1346234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1254</xdr:row>
      <xdr:rowOff>0</xdr:rowOff>
    </xdr:from>
    <xdr:to>
      <xdr:col>1</xdr:col>
      <xdr:colOff>304800</xdr:colOff>
      <xdr:row>1254</xdr:row>
      <xdr:rowOff>306160</xdr:rowOff>
    </xdr:to>
    <xdr:sp macro="" textlink="">
      <xdr:nvSpPr>
        <xdr:cNvPr id="6354" name="AutoShape 210" descr="Tombstone">
          <a:extLst>
            <a:ext uri="{FF2B5EF4-FFF2-40B4-BE49-F238E27FC236}">
              <a16:creationId xmlns:a16="http://schemas.microsoft.com/office/drawing/2014/main" id="{91F4B05D-9696-2399-24A5-783F6CB7FEAB}"/>
            </a:ext>
          </a:extLst>
        </xdr:cNvPr>
        <xdr:cNvSpPr>
          <a:spLocks noChangeAspect="1" noChangeArrowheads="1"/>
        </xdr:cNvSpPr>
      </xdr:nvSpPr>
      <xdr:spPr bwMode="auto">
        <a:xfrm>
          <a:off x="200025" y="1351549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1260</xdr:row>
      <xdr:rowOff>0</xdr:rowOff>
    </xdr:from>
    <xdr:to>
      <xdr:col>1</xdr:col>
      <xdr:colOff>304800</xdr:colOff>
      <xdr:row>1260</xdr:row>
      <xdr:rowOff>306160</xdr:rowOff>
    </xdr:to>
    <xdr:sp macro="" textlink="">
      <xdr:nvSpPr>
        <xdr:cNvPr id="6355" name="AutoShape 211" descr="Tombstone">
          <a:extLst>
            <a:ext uri="{FF2B5EF4-FFF2-40B4-BE49-F238E27FC236}">
              <a16:creationId xmlns:a16="http://schemas.microsoft.com/office/drawing/2014/main" id="{82A8787A-0D0D-FEA7-6D2C-DA9FAB7CC5DE}"/>
            </a:ext>
          </a:extLst>
        </xdr:cNvPr>
        <xdr:cNvSpPr>
          <a:spLocks noChangeAspect="1" noChangeArrowheads="1"/>
        </xdr:cNvSpPr>
      </xdr:nvSpPr>
      <xdr:spPr bwMode="auto">
        <a:xfrm>
          <a:off x="200025" y="1358093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1266</xdr:row>
      <xdr:rowOff>0</xdr:rowOff>
    </xdr:from>
    <xdr:to>
      <xdr:col>1</xdr:col>
      <xdr:colOff>304800</xdr:colOff>
      <xdr:row>1266</xdr:row>
      <xdr:rowOff>306160</xdr:rowOff>
    </xdr:to>
    <xdr:sp macro="" textlink="">
      <xdr:nvSpPr>
        <xdr:cNvPr id="6356" name="AutoShape 212" descr="Tombstone">
          <a:extLst>
            <a:ext uri="{FF2B5EF4-FFF2-40B4-BE49-F238E27FC236}">
              <a16:creationId xmlns:a16="http://schemas.microsoft.com/office/drawing/2014/main" id="{69ED9439-29BE-E7E7-D6DA-E470B2839CE5}"/>
            </a:ext>
          </a:extLst>
        </xdr:cNvPr>
        <xdr:cNvSpPr>
          <a:spLocks noChangeAspect="1" noChangeArrowheads="1"/>
        </xdr:cNvSpPr>
      </xdr:nvSpPr>
      <xdr:spPr bwMode="auto">
        <a:xfrm>
          <a:off x="200025" y="1362694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1272</xdr:row>
      <xdr:rowOff>0</xdr:rowOff>
    </xdr:from>
    <xdr:to>
      <xdr:col>1</xdr:col>
      <xdr:colOff>304800</xdr:colOff>
      <xdr:row>1272</xdr:row>
      <xdr:rowOff>306160</xdr:rowOff>
    </xdr:to>
    <xdr:sp macro="" textlink="">
      <xdr:nvSpPr>
        <xdr:cNvPr id="6357" name="AutoShape 213" descr="Tombstone">
          <a:extLst>
            <a:ext uri="{FF2B5EF4-FFF2-40B4-BE49-F238E27FC236}">
              <a16:creationId xmlns:a16="http://schemas.microsoft.com/office/drawing/2014/main" id="{03C64F14-CA30-C9EF-02E9-C8118C0020DA}"/>
            </a:ext>
          </a:extLst>
        </xdr:cNvPr>
        <xdr:cNvSpPr>
          <a:spLocks noChangeAspect="1" noChangeArrowheads="1"/>
        </xdr:cNvSpPr>
      </xdr:nvSpPr>
      <xdr:spPr bwMode="auto">
        <a:xfrm>
          <a:off x="200025" y="136904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1278</xdr:row>
      <xdr:rowOff>0</xdr:rowOff>
    </xdr:from>
    <xdr:to>
      <xdr:col>1</xdr:col>
      <xdr:colOff>304800</xdr:colOff>
      <xdr:row>1278</xdr:row>
      <xdr:rowOff>306160</xdr:rowOff>
    </xdr:to>
    <xdr:sp macro="" textlink="">
      <xdr:nvSpPr>
        <xdr:cNvPr id="6358" name="AutoShape 214" descr="Tombstone">
          <a:extLst>
            <a:ext uri="{FF2B5EF4-FFF2-40B4-BE49-F238E27FC236}">
              <a16:creationId xmlns:a16="http://schemas.microsoft.com/office/drawing/2014/main" id="{0AE14650-B86E-2CE4-3791-D1966EFB2C4F}"/>
            </a:ext>
          </a:extLst>
        </xdr:cNvPr>
        <xdr:cNvSpPr>
          <a:spLocks noChangeAspect="1" noChangeArrowheads="1"/>
        </xdr:cNvSpPr>
      </xdr:nvSpPr>
      <xdr:spPr bwMode="auto">
        <a:xfrm>
          <a:off x="200025" y="1375400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1284</xdr:row>
      <xdr:rowOff>0</xdr:rowOff>
    </xdr:from>
    <xdr:to>
      <xdr:col>1</xdr:col>
      <xdr:colOff>304800</xdr:colOff>
      <xdr:row>1284</xdr:row>
      <xdr:rowOff>306160</xdr:rowOff>
    </xdr:to>
    <xdr:sp macro="" textlink="">
      <xdr:nvSpPr>
        <xdr:cNvPr id="6359" name="AutoShape 215" descr="Tombstone">
          <a:extLst>
            <a:ext uri="{FF2B5EF4-FFF2-40B4-BE49-F238E27FC236}">
              <a16:creationId xmlns:a16="http://schemas.microsoft.com/office/drawing/2014/main" id="{A96F5AFB-F0E1-6AA2-9FB1-A3BE614F66F9}"/>
            </a:ext>
          </a:extLst>
        </xdr:cNvPr>
        <xdr:cNvSpPr>
          <a:spLocks noChangeAspect="1" noChangeArrowheads="1"/>
        </xdr:cNvSpPr>
      </xdr:nvSpPr>
      <xdr:spPr bwMode="auto">
        <a:xfrm>
          <a:off x="200025" y="1381629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1290</xdr:row>
      <xdr:rowOff>0</xdr:rowOff>
    </xdr:from>
    <xdr:to>
      <xdr:col>1</xdr:col>
      <xdr:colOff>304800</xdr:colOff>
      <xdr:row>1290</xdr:row>
      <xdr:rowOff>306160</xdr:rowOff>
    </xdr:to>
    <xdr:sp macro="" textlink="">
      <xdr:nvSpPr>
        <xdr:cNvPr id="6360" name="AutoShape 216" descr="Tombstone">
          <a:extLst>
            <a:ext uri="{FF2B5EF4-FFF2-40B4-BE49-F238E27FC236}">
              <a16:creationId xmlns:a16="http://schemas.microsoft.com/office/drawing/2014/main" id="{19C1CA50-21E3-70F8-9532-F039F65AA33E}"/>
            </a:ext>
          </a:extLst>
        </xdr:cNvPr>
        <xdr:cNvSpPr>
          <a:spLocks noChangeAspect="1" noChangeArrowheads="1"/>
        </xdr:cNvSpPr>
      </xdr:nvSpPr>
      <xdr:spPr bwMode="auto">
        <a:xfrm>
          <a:off x="200025" y="1388040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1296</xdr:row>
      <xdr:rowOff>0</xdr:rowOff>
    </xdr:from>
    <xdr:to>
      <xdr:col>1</xdr:col>
      <xdr:colOff>304800</xdr:colOff>
      <xdr:row>1296</xdr:row>
      <xdr:rowOff>306160</xdr:rowOff>
    </xdr:to>
    <xdr:sp macro="" textlink="">
      <xdr:nvSpPr>
        <xdr:cNvPr id="6361" name="AutoShape 217" descr="Tombstone">
          <a:extLst>
            <a:ext uri="{FF2B5EF4-FFF2-40B4-BE49-F238E27FC236}">
              <a16:creationId xmlns:a16="http://schemas.microsoft.com/office/drawing/2014/main" id="{538537DD-6FDC-3D11-C32A-D5EFEE87E2E2}"/>
            </a:ext>
          </a:extLst>
        </xdr:cNvPr>
        <xdr:cNvSpPr>
          <a:spLocks noChangeAspect="1" noChangeArrowheads="1"/>
        </xdr:cNvSpPr>
      </xdr:nvSpPr>
      <xdr:spPr bwMode="auto">
        <a:xfrm>
          <a:off x="200025" y="139458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1302</xdr:row>
      <xdr:rowOff>0</xdr:rowOff>
    </xdr:from>
    <xdr:to>
      <xdr:col>1</xdr:col>
      <xdr:colOff>304800</xdr:colOff>
      <xdr:row>1302</xdr:row>
      <xdr:rowOff>306160</xdr:rowOff>
    </xdr:to>
    <xdr:sp macro="" textlink="">
      <xdr:nvSpPr>
        <xdr:cNvPr id="6362" name="AutoShape 218" descr="Tombstone">
          <a:extLst>
            <a:ext uri="{FF2B5EF4-FFF2-40B4-BE49-F238E27FC236}">
              <a16:creationId xmlns:a16="http://schemas.microsoft.com/office/drawing/2014/main" id="{46923045-8E8A-342E-4DA1-8D32578F68AA}"/>
            </a:ext>
          </a:extLst>
        </xdr:cNvPr>
        <xdr:cNvSpPr>
          <a:spLocks noChangeAspect="1" noChangeArrowheads="1"/>
        </xdr:cNvSpPr>
      </xdr:nvSpPr>
      <xdr:spPr bwMode="auto">
        <a:xfrm>
          <a:off x="200025" y="140131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1308</xdr:row>
      <xdr:rowOff>0</xdr:rowOff>
    </xdr:from>
    <xdr:to>
      <xdr:col>1</xdr:col>
      <xdr:colOff>304800</xdr:colOff>
      <xdr:row>1308</xdr:row>
      <xdr:rowOff>306160</xdr:rowOff>
    </xdr:to>
    <xdr:sp macro="" textlink="">
      <xdr:nvSpPr>
        <xdr:cNvPr id="6363" name="AutoShape 219" descr="Tombstone">
          <a:extLst>
            <a:ext uri="{FF2B5EF4-FFF2-40B4-BE49-F238E27FC236}">
              <a16:creationId xmlns:a16="http://schemas.microsoft.com/office/drawing/2014/main" id="{35A042D5-30B7-FAAC-B061-DEF4273EA24F}"/>
            </a:ext>
          </a:extLst>
        </xdr:cNvPr>
        <xdr:cNvSpPr>
          <a:spLocks noChangeAspect="1" noChangeArrowheads="1"/>
        </xdr:cNvSpPr>
      </xdr:nvSpPr>
      <xdr:spPr bwMode="auto">
        <a:xfrm>
          <a:off x="200025" y="1407671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1314</xdr:row>
      <xdr:rowOff>0</xdr:rowOff>
    </xdr:from>
    <xdr:to>
      <xdr:col>1</xdr:col>
      <xdr:colOff>304800</xdr:colOff>
      <xdr:row>1314</xdr:row>
      <xdr:rowOff>306160</xdr:rowOff>
    </xdr:to>
    <xdr:sp macro="" textlink="">
      <xdr:nvSpPr>
        <xdr:cNvPr id="6364" name="AutoShape 220" descr="Tombstone">
          <a:extLst>
            <a:ext uri="{FF2B5EF4-FFF2-40B4-BE49-F238E27FC236}">
              <a16:creationId xmlns:a16="http://schemas.microsoft.com/office/drawing/2014/main" id="{D9F374E8-534F-472E-67D3-F1474E549E67}"/>
            </a:ext>
          </a:extLst>
        </xdr:cNvPr>
        <xdr:cNvSpPr>
          <a:spLocks noChangeAspect="1" noChangeArrowheads="1"/>
        </xdr:cNvSpPr>
      </xdr:nvSpPr>
      <xdr:spPr bwMode="auto">
        <a:xfrm>
          <a:off x="200025" y="1414214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1320</xdr:row>
      <xdr:rowOff>0</xdr:rowOff>
    </xdr:from>
    <xdr:to>
      <xdr:col>1</xdr:col>
      <xdr:colOff>304800</xdr:colOff>
      <xdr:row>1320</xdr:row>
      <xdr:rowOff>306160</xdr:rowOff>
    </xdr:to>
    <xdr:sp macro="" textlink="">
      <xdr:nvSpPr>
        <xdr:cNvPr id="6365" name="AutoShape 221" descr="Tombstone">
          <a:extLst>
            <a:ext uri="{FF2B5EF4-FFF2-40B4-BE49-F238E27FC236}">
              <a16:creationId xmlns:a16="http://schemas.microsoft.com/office/drawing/2014/main" id="{E84E8003-5F88-7F3D-17F5-67136F7275F4}"/>
            </a:ext>
          </a:extLst>
        </xdr:cNvPr>
        <xdr:cNvSpPr>
          <a:spLocks noChangeAspect="1" noChangeArrowheads="1"/>
        </xdr:cNvSpPr>
      </xdr:nvSpPr>
      <xdr:spPr bwMode="auto">
        <a:xfrm>
          <a:off x="200025" y="141972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1326</xdr:row>
      <xdr:rowOff>0</xdr:rowOff>
    </xdr:from>
    <xdr:to>
      <xdr:col>1</xdr:col>
      <xdr:colOff>304800</xdr:colOff>
      <xdr:row>1326</xdr:row>
      <xdr:rowOff>306160</xdr:rowOff>
    </xdr:to>
    <xdr:sp macro="" textlink="">
      <xdr:nvSpPr>
        <xdr:cNvPr id="6366" name="AutoShape 222" descr="Tombstone">
          <a:extLst>
            <a:ext uri="{FF2B5EF4-FFF2-40B4-BE49-F238E27FC236}">
              <a16:creationId xmlns:a16="http://schemas.microsoft.com/office/drawing/2014/main" id="{90D361B4-3C6C-901F-0AC7-05BEE2FBC59B}"/>
            </a:ext>
          </a:extLst>
        </xdr:cNvPr>
        <xdr:cNvSpPr>
          <a:spLocks noChangeAspect="1" noChangeArrowheads="1"/>
        </xdr:cNvSpPr>
      </xdr:nvSpPr>
      <xdr:spPr bwMode="auto">
        <a:xfrm>
          <a:off x="200025" y="1426454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1332</xdr:row>
      <xdr:rowOff>0</xdr:rowOff>
    </xdr:from>
    <xdr:to>
      <xdr:col>1</xdr:col>
      <xdr:colOff>304800</xdr:colOff>
      <xdr:row>1332</xdr:row>
      <xdr:rowOff>306160</xdr:rowOff>
    </xdr:to>
    <xdr:sp macro="" textlink="">
      <xdr:nvSpPr>
        <xdr:cNvPr id="6367" name="AutoShape 223" descr="Tombstone">
          <a:extLst>
            <a:ext uri="{FF2B5EF4-FFF2-40B4-BE49-F238E27FC236}">
              <a16:creationId xmlns:a16="http://schemas.microsoft.com/office/drawing/2014/main" id="{1ADE0654-2A22-56CD-716A-EF2F51AE6CE4}"/>
            </a:ext>
          </a:extLst>
        </xdr:cNvPr>
        <xdr:cNvSpPr>
          <a:spLocks noChangeAspect="1" noChangeArrowheads="1"/>
        </xdr:cNvSpPr>
      </xdr:nvSpPr>
      <xdr:spPr bwMode="auto">
        <a:xfrm>
          <a:off x="200025" y="1432998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1338</xdr:row>
      <xdr:rowOff>0</xdr:rowOff>
    </xdr:from>
    <xdr:to>
      <xdr:col>1</xdr:col>
      <xdr:colOff>304800</xdr:colOff>
      <xdr:row>1338</xdr:row>
      <xdr:rowOff>306160</xdr:rowOff>
    </xdr:to>
    <xdr:sp macro="" textlink="">
      <xdr:nvSpPr>
        <xdr:cNvPr id="6368" name="AutoShape 224" descr="Tombstone">
          <a:extLst>
            <a:ext uri="{FF2B5EF4-FFF2-40B4-BE49-F238E27FC236}">
              <a16:creationId xmlns:a16="http://schemas.microsoft.com/office/drawing/2014/main" id="{D637202C-950F-5DB2-CCEF-E7EE2455B23E}"/>
            </a:ext>
          </a:extLst>
        </xdr:cNvPr>
        <xdr:cNvSpPr>
          <a:spLocks noChangeAspect="1" noChangeArrowheads="1"/>
        </xdr:cNvSpPr>
      </xdr:nvSpPr>
      <xdr:spPr bwMode="auto">
        <a:xfrm>
          <a:off x="200025" y="1439541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1344</xdr:row>
      <xdr:rowOff>0</xdr:rowOff>
    </xdr:from>
    <xdr:to>
      <xdr:col>1</xdr:col>
      <xdr:colOff>304800</xdr:colOff>
      <xdr:row>1344</xdr:row>
      <xdr:rowOff>306160</xdr:rowOff>
    </xdr:to>
    <xdr:sp macro="" textlink="">
      <xdr:nvSpPr>
        <xdr:cNvPr id="6369" name="AutoShape 225" descr="Tombstone">
          <a:extLst>
            <a:ext uri="{FF2B5EF4-FFF2-40B4-BE49-F238E27FC236}">
              <a16:creationId xmlns:a16="http://schemas.microsoft.com/office/drawing/2014/main" id="{1E450A9C-F2F9-1C31-8D93-26030C3BBBC0}"/>
            </a:ext>
          </a:extLst>
        </xdr:cNvPr>
        <xdr:cNvSpPr>
          <a:spLocks noChangeAspect="1" noChangeArrowheads="1"/>
        </xdr:cNvSpPr>
      </xdr:nvSpPr>
      <xdr:spPr bwMode="auto">
        <a:xfrm>
          <a:off x="200025" y="1445218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1350</xdr:row>
      <xdr:rowOff>0</xdr:rowOff>
    </xdr:from>
    <xdr:to>
      <xdr:col>1</xdr:col>
      <xdr:colOff>304800</xdr:colOff>
      <xdr:row>1350</xdr:row>
      <xdr:rowOff>306160</xdr:rowOff>
    </xdr:to>
    <xdr:sp macro="" textlink="">
      <xdr:nvSpPr>
        <xdr:cNvPr id="6370" name="AutoShape 226" descr="Tombstone">
          <a:extLst>
            <a:ext uri="{FF2B5EF4-FFF2-40B4-BE49-F238E27FC236}">
              <a16:creationId xmlns:a16="http://schemas.microsoft.com/office/drawing/2014/main" id="{6033B2A2-0E6C-70D0-7DEF-44CFD9F95FFC}"/>
            </a:ext>
          </a:extLst>
        </xdr:cNvPr>
        <xdr:cNvSpPr>
          <a:spLocks noChangeAspect="1" noChangeArrowheads="1"/>
        </xdr:cNvSpPr>
      </xdr:nvSpPr>
      <xdr:spPr bwMode="auto">
        <a:xfrm>
          <a:off x="200025" y="1452143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1356</xdr:row>
      <xdr:rowOff>0</xdr:rowOff>
    </xdr:from>
    <xdr:to>
      <xdr:col>1</xdr:col>
      <xdr:colOff>304800</xdr:colOff>
      <xdr:row>1356</xdr:row>
      <xdr:rowOff>306160</xdr:rowOff>
    </xdr:to>
    <xdr:sp macro="" textlink="">
      <xdr:nvSpPr>
        <xdr:cNvPr id="6371" name="AutoShape 227" descr="Tombstone">
          <a:extLst>
            <a:ext uri="{FF2B5EF4-FFF2-40B4-BE49-F238E27FC236}">
              <a16:creationId xmlns:a16="http://schemas.microsoft.com/office/drawing/2014/main" id="{7A9B5827-A96F-062B-E756-C7B88FA7AFAC}"/>
            </a:ext>
          </a:extLst>
        </xdr:cNvPr>
        <xdr:cNvSpPr>
          <a:spLocks noChangeAspect="1" noChangeArrowheads="1"/>
        </xdr:cNvSpPr>
      </xdr:nvSpPr>
      <xdr:spPr bwMode="auto">
        <a:xfrm>
          <a:off x="200025" y="1458496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1362</xdr:row>
      <xdr:rowOff>0</xdr:rowOff>
    </xdr:from>
    <xdr:to>
      <xdr:col>1</xdr:col>
      <xdr:colOff>304800</xdr:colOff>
      <xdr:row>1362</xdr:row>
      <xdr:rowOff>306160</xdr:rowOff>
    </xdr:to>
    <xdr:sp macro="" textlink="">
      <xdr:nvSpPr>
        <xdr:cNvPr id="6372" name="AutoShape 228" descr="Tombstone">
          <a:extLst>
            <a:ext uri="{FF2B5EF4-FFF2-40B4-BE49-F238E27FC236}">
              <a16:creationId xmlns:a16="http://schemas.microsoft.com/office/drawing/2014/main" id="{49088DB4-C101-898E-B5C2-139C79684036}"/>
            </a:ext>
          </a:extLst>
        </xdr:cNvPr>
        <xdr:cNvSpPr>
          <a:spLocks noChangeAspect="1" noChangeArrowheads="1"/>
        </xdr:cNvSpPr>
      </xdr:nvSpPr>
      <xdr:spPr bwMode="auto">
        <a:xfrm>
          <a:off x="200025" y="1465040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1368</xdr:row>
      <xdr:rowOff>0</xdr:rowOff>
    </xdr:from>
    <xdr:to>
      <xdr:col>1</xdr:col>
      <xdr:colOff>304800</xdr:colOff>
      <xdr:row>1368</xdr:row>
      <xdr:rowOff>306160</xdr:rowOff>
    </xdr:to>
    <xdr:sp macro="" textlink="">
      <xdr:nvSpPr>
        <xdr:cNvPr id="6373" name="AutoShape 229" descr="Tombstone">
          <a:extLst>
            <a:ext uri="{FF2B5EF4-FFF2-40B4-BE49-F238E27FC236}">
              <a16:creationId xmlns:a16="http://schemas.microsoft.com/office/drawing/2014/main" id="{D9F476CB-33B5-7DAD-CC0C-94DFABA67266}"/>
            </a:ext>
          </a:extLst>
        </xdr:cNvPr>
        <xdr:cNvSpPr>
          <a:spLocks noChangeAspect="1" noChangeArrowheads="1"/>
        </xdr:cNvSpPr>
      </xdr:nvSpPr>
      <xdr:spPr bwMode="auto">
        <a:xfrm>
          <a:off x="200025" y="1471260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1374</xdr:row>
      <xdr:rowOff>0</xdr:rowOff>
    </xdr:from>
    <xdr:to>
      <xdr:col>1</xdr:col>
      <xdr:colOff>304800</xdr:colOff>
      <xdr:row>1374</xdr:row>
      <xdr:rowOff>306160</xdr:rowOff>
    </xdr:to>
    <xdr:sp macro="" textlink="">
      <xdr:nvSpPr>
        <xdr:cNvPr id="6374" name="AutoShape 230" descr="Tombstone">
          <a:extLst>
            <a:ext uri="{FF2B5EF4-FFF2-40B4-BE49-F238E27FC236}">
              <a16:creationId xmlns:a16="http://schemas.microsoft.com/office/drawing/2014/main" id="{6B944794-5FC6-7180-AE2B-345DE807BDA9}"/>
            </a:ext>
          </a:extLst>
        </xdr:cNvPr>
        <xdr:cNvSpPr>
          <a:spLocks noChangeAspect="1" noChangeArrowheads="1"/>
        </xdr:cNvSpPr>
      </xdr:nvSpPr>
      <xdr:spPr bwMode="auto">
        <a:xfrm>
          <a:off x="200025" y="1478184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1380</xdr:row>
      <xdr:rowOff>0</xdr:rowOff>
    </xdr:from>
    <xdr:to>
      <xdr:col>1</xdr:col>
      <xdr:colOff>304800</xdr:colOff>
      <xdr:row>1380</xdr:row>
      <xdr:rowOff>306160</xdr:rowOff>
    </xdr:to>
    <xdr:sp macro="" textlink="">
      <xdr:nvSpPr>
        <xdr:cNvPr id="6375" name="AutoShape 231" descr="Tombstone">
          <a:extLst>
            <a:ext uri="{FF2B5EF4-FFF2-40B4-BE49-F238E27FC236}">
              <a16:creationId xmlns:a16="http://schemas.microsoft.com/office/drawing/2014/main" id="{6006F994-AC24-FA9A-5C25-8F79881929E9}"/>
            </a:ext>
          </a:extLst>
        </xdr:cNvPr>
        <xdr:cNvSpPr>
          <a:spLocks noChangeAspect="1" noChangeArrowheads="1"/>
        </xdr:cNvSpPr>
      </xdr:nvSpPr>
      <xdr:spPr bwMode="auto">
        <a:xfrm>
          <a:off x="200025" y="1484728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1386</xdr:row>
      <xdr:rowOff>0</xdr:rowOff>
    </xdr:from>
    <xdr:to>
      <xdr:col>1</xdr:col>
      <xdr:colOff>304800</xdr:colOff>
      <xdr:row>1386</xdr:row>
      <xdr:rowOff>306160</xdr:rowOff>
    </xdr:to>
    <xdr:sp macro="" textlink="">
      <xdr:nvSpPr>
        <xdr:cNvPr id="6376" name="AutoShape 232" descr="Tombstone">
          <a:extLst>
            <a:ext uri="{FF2B5EF4-FFF2-40B4-BE49-F238E27FC236}">
              <a16:creationId xmlns:a16="http://schemas.microsoft.com/office/drawing/2014/main" id="{A6983356-D42E-2DCA-CF73-148C9A34524F}"/>
            </a:ext>
          </a:extLst>
        </xdr:cNvPr>
        <xdr:cNvSpPr>
          <a:spLocks noChangeAspect="1" noChangeArrowheads="1"/>
        </xdr:cNvSpPr>
      </xdr:nvSpPr>
      <xdr:spPr bwMode="auto">
        <a:xfrm>
          <a:off x="200025" y="1490586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1392</xdr:row>
      <xdr:rowOff>0</xdr:rowOff>
    </xdr:from>
    <xdr:to>
      <xdr:col>1</xdr:col>
      <xdr:colOff>304800</xdr:colOff>
      <xdr:row>1392</xdr:row>
      <xdr:rowOff>306160</xdr:rowOff>
    </xdr:to>
    <xdr:sp macro="" textlink="">
      <xdr:nvSpPr>
        <xdr:cNvPr id="6377" name="AutoShape 233" descr="Tombstone">
          <a:extLst>
            <a:ext uri="{FF2B5EF4-FFF2-40B4-BE49-F238E27FC236}">
              <a16:creationId xmlns:a16="http://schemas.microsoft.com/office/drawing/2014/main" id="{40D89B1F-4373-B5B5-8A35-A97D696FEB04}"/>
            </a:ext>
          </a:extLst>
        </xdr:cNvPr>
        <xdr:cNvSpPr>
          <a:spLocks noChangeAspect="1" noChangeArrowheads="1"/>
        </xdr:cNvSpPr>
      </xdr:nvSpPr>
      <xdr:spPr bwMode="auto">
        <a:xfrm>
          <a:off x="200025" y="1496272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1398</xdr:row>
      <xdr:rowOff>0</xdr:rowOff>
    </xdr:from>
    <xdr:to>
      <xdr:col>1</xdr:col>
      <xdr:colOff>304800</xdr:colOff>
      <xdr:row>1398</xdr:row>
      <xdr:rowOff>306160</xdr:rowOff>
    </xdr:to>
    <xdr:sp macro="" textlink="">
      <xdr:nvSpPr>
        <xdr:cNvPr id="6378" name="AutoShape 234" descr="Tombstone">
          <a:extLst>
            <a:ext uri="{FF2B5EF4-FFF2-40B4-BE49-F238E27FC236}">
              <a16:creationId xmlns:a16="http://schemas.microsoft.com/office/drawing/2014/main" id="{032EF9AE-BF5F-CD5D-6D5E-B787969458F2}"/>
            </a:ext>
          </a:extLst>
        </xdr:cNvPr>
        <xdr:cNvSpPr>
          <a:spLocks noChangeAspect="1" noChangeArrowheads="1"/>
        </xdr:cNvSpPr>
      </xdr:nvSpPr>
      <xdr:spPr bwMode="auto">
        <a:xfrm>
          <a:off x="200025" y="1503197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1404</xdr:row>
      <xdr:rowOff>0</xdr:rowOff>
    </xdr:from>
    <xdr:to>
      <xdr:col>1</xdr:col>
      <xdr:colOff>304800</xdr:colOff>
      <xdr:row>1404</xdr:row>
      <xdr:rowOff>306160</xdr:rowOff>
    </xdr:to>
    <xdr:sp macro="" textlink="">
      <xdr:nvSpPr>
        <xdr:cNvPr id="6379" name="AutoShape 235" descr="Tombstone">
          <a:extLst>
            <a:ext uri="{FF2B5EF4-FFF2-40B4-BE49-F238E27FC236}">
              <a16:creationId xmlns:a16="http://schemas.microsoft.com/office/drawing/2014/main" id="{41A00DC6-BF75-A515-15C6-4FCE6A044CE6}"/>
            </a:ext>
          </a:extLst>
        </xdr:cNvPr>
        <xdr:cNvSpPr>
          <a:spLocks noChangeAspect="1" noChangeArrowheads="1"/>
        </xdr:cNvSpPr>
      </xdr:nvSpPr>
      <xdr:spPr bwMode="auto">
        <a:xfrm>
          <a:off x="200025" y="1509741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1410</xdr:row>
      <xdr:rowOff>0</xdr:rowOff>
    </xdr:from>
    <xdr:to>
      <xdr:col>1</xdr:col>
      <xdr:colOff>304800</xdr:colOff>
      <xdr:row>1410</xdr:row>
      <xdr:rowOff>306160</xdr:rowOff>
    </xdr:to>
    <xdr:sp macro="" textlink="">
      <xdr:nvSpPr>
        <xdr:cNvPr id="6380" name="AutoShape 236" descr="Tombstone">
          <a:extLst>
            <a:ext uri="{FF2B5EF4-FFF2-40B4-BE49-F238E27FC236}">
              <a16:creationId xmlns:a16="http://schemas.microsoft.com/office/drawing/2014/main" id="{03373E13-1C7A-AEF5-ED4F-A42FFB99EF13}"/>
            </a:ext>
          </a:extLst>
        </xdr:cNvPr>
        <xdr:cNvSpPr>
          <a:spLocks noChangeAspect="1" noChangeArrowheads="1"/>
        </xdr:cNvSpPr>
      </xdr:nvSpPr>
      <xdr:spPr bwMode="auto">
        <a:xfrm>
          <a:off x="200025" y="1516284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1416</xdr:row>
      <xdr:rowOff>0</xdr:rowOff>
    </xdr:from>
    <xdr:to>
      <xdr:col>1</xdr:col>
      <xdr:colOff>304800</xdr:colOff>
      <xdr:row>1416</xdr:row>
      <xdr:rowOff>306160</xdr:rowOff>
    </xdr:to>
    <xdr:sp macro="" textlink="">
      <xdr:nvSpPr>
        <xdr:cNvPr id="6381" name="AutoShape 237" descr="Tombstone">
          <a:extLst>
            <a:ext uri="{FF2B5EF4-FFF2-40B4-BE49-F238E27FC236}">
              <a16:creationId xmlns:a16="http://schemas.microsoft.com/office/drawing/2014/main" id="{71BDFEEF-2D94-7AEB-3EAF-A8FE6BA6E4B2}"/>
            </a:ext>
          </a:extLst>
        </xdr:cNvPr>
        <xdr:cNvSpPr>
          <a:spLocks noChangeAspect="1" noChangeArrowheads="1"/>
        </xdr:cNvSpPr>
      </xdr:nvSpPr>
      <xdr:spPr bwMode="auto">
        <a:xfrm>
          <a:off x="200025" y="1522637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1422</xdr:row>
      <xdr:rowOff>0</xdr:rowOff>
    </xdr:from>
    <xdr:to>
      <xdr:col>1</xdr:col>
      <xdr:colOff>304800</xdr:colOff>
      <xdr:row>1422</xdr:row>
      <xdr:rowOff>306160</xdr:rowOff>
    </xdr:to>
    <xdr:sp macro="" textlink="">
      <xdr:nvSpPr>
        <xdr:cNvPr id="6382" name="AutoShape 238" descr="Tombstone">
          <a:extLst>
            <a:ext uri="{FF2B5EF4-FFF2-40B4-BE49-F238E27FC236}">
              <a16:creationId xmlns:a16="http://schemas.microsoft.com/office/drawing/2014/main" id="{20361EF0-1190-B1CF-F92F-24ED0E3A890C}"/>
            </a:ext>
          </a:extLst>
        </xdr:cNvPr>
        <xdr:cNvSpPr>
          <a:spLocks noChangeAspect="1" noChangeArrowheads="1"/>
        </xdr:cNvSpPr>
      </xdr:nvSpPr>
      <xdr:spPr bwMode="auto">
        <a:xfrm>
          <a:off x="200025" y="1528991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1428</xdr:row>
      <xdr:rowOff>0</xdr:rowOff>
    </xdr:from>
    <xdr:to>
      <xdr:col>1</xdr:col>
      <xdr:colOff>304800</xdr:colOff>
      <xdr:row>1428</xdr:row>
      <xdr:rowOff>306160</xdr:rowOff>
    </xdr:to>
    <xdr:sp macro="" textlink="">
      <xdr:nvSpPr>
        <xdr:cNvPr id="6383" name="AutoShape 239" descr="Tombstone">
          <a:extLst>
            <a:ext uri="{FF2B5EF4-FFF2-40B4-BE49-F238E27FC236}">
              <a16:creationId xmlns:a16="http://schemas.microsoft.com/office/drawing/2014/main" id="{9C77C570-36D1-85EB-1F80-05BEFD4FC859}"/>
            </a:ext>
          </a:extLst>
        </xdr:cNvPr>
        <xdr:cNvSpPr>
          <a:spLocks noChangeAspect="1" noChangeArrowheads="1"/>
        </xdr:cNvSpPr>
      </xdr:nvSpPr>
      <xdr:spPr bwMode="auto">
        <a:xfrm>
          <a:off x="200025" y="1534687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1434</xdr:row>
      <xdr:rowOff>0</xdr:rowOff>
    </xdr:from>
    <xdr:to>
      <xdr:col>1</xdr:col>
      <xdr:colOff>304800</xdr:colOff>
      <xdr:row>1434</xdr:row>
      <xdr:rowOff>306160</xdr:rowOff>
    </xdr:to>
    <xdr:sp macro="" textlink="">
      <xdr:nvSpPr>
        <xdr:cNvPr id="6384" name="AutoShape 240" descr="Tombstone">
          <a:extLst>
            <a:ext uri="{FF2B5EF4-FFF2-40B4-BE49-F238E27FC236}">
              <a16:creationId xmlns:a16="http://schemas.microsoft.com/office/drawing/2014/main" id="{D2F4B550-3148-9061-5F5A-7C636596CFC8}"/>
            </a:ext>
          </a:extLst>
        </xdr:cNvPr>
        <xdr:cNvSpPr>
          <a:spLocks noChangeAspect="1" noChangeArrowheads="1"/>
        </xdr:cNvSpPr>
      </xdr:nvSpPr>
      <xdr:spPr bwMode="auto">
        <a:xfrm>
          <a:off x="200025" y="1540906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1440</xdr:row>
      <xdr:rowOff>0</xdr:rowOff>
    </xdr:from>
    <xdr:to>
      <xdr:col>1</xdr:col>
      <xdr:colOff>304800</xdr:colOff>
      <xdr:row>1440</xdr:row>
      <xdr:rowOff>306160</xdr:rowOff>
    </xdr:to>
    <xdr:sp macro="" textlink="">
      <xdr:nvSpPr>
        <xdr:cNvPr id="6385" name="AutoShape 241" descr="Tombstone">
          <a:extLst>
            <a:ext uri="{FF2B5EF4-FFF2-40B4-BE49-F238E27FC236}">
              <a16:creationId xmlns:a16="http://schemas.microsoft.com/office/drawing/2014/main" id="{14945E7C-1C28-5004-1415-309F6084C5E4}"/>
            </a:ext>
          </a:extLst>
        </xdr:cNvPr>
        <xdr:cNvSpPr>
          <a:spLocks noChangeAspect="1" noChangeArrowheads="1"/>
        </xdr:cNvSpPr>
      </xdr:nvSpPr>
      <xdr:spPr bwMode="auto">
        <a:xfrm>
          <a:off x="200025" y="1547641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1446</xdr:row>
      <xdr:rowOff>0</xdr:rowOff>
    </xdr:from>
    <xdr:to>
      <xdr:col>1</xdr:col>
      <xdr:colOff>304800</xdr:colOff>
      <xdr:row>1446</xdr:row>
      <xdr:rowOff>306160</xdr:rowOff>
    </xdr:to>
    <xdr:sp macro="" textlink="">
      <xdr:nvSpPr>
        <xdr:cNvPr id="6386" name="AutoShape 242" descr="Tombstone">
          <a:extLst>
            <a:ext uri="{FF2B5EF4-FFF2-40B4-BE49-F238E27FC236}">
              <a16:creationId xmlns:a16="http://schemas.microsoft.com/office/drawing/2014/main" id="{1D3D769E-F755-D786-DCB5-F39C2B026A65}"/>
            </a:ext>
          </a:extLst>
        </xdr:cNvPr>
        <xdr:cNvSpPr>
          <a:spLocks noChangeAspect="1" noChangeArrowheads="1"/>
        </xdr:cNvSpPr>
      </xdr:nvSpPr>
      <xdr:spPr bwMode="auto">
        <a:xfrm>
          <a:off x="200025" y="1554184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1452</xdr:row>
      <xdr:rowOff>0</xdr:rowOff>
    </xdr:from>
    <xdr:to>
      <xdr:col>1</xdr:col>
      <xdr:colOff>304800</xdr:colOff>
      <xdr:row>1452</xdr:row>
      <xdr:rowOff>306160</xdr:rowOff>
    </xdr:to>
    <xdr:sp macro="" textlink="">
      <xdr:nvSpPr>
        <xdr:cNvPr id="6387" name="AutoShape 243" descr="Tombstone">
          <a:extLst>
            <a:ext uri="{FF2B5EF4-FFF2-40B4-BE49-F238E27FC236}">
              <a16:creationId xmlns:a16="http://schemas.microsoft.com/office/drawing/2014/main" id="{7C966835-5E60-B51F-ECC1-C824EE5F6975}"/>
            </a:ext>
          </a:extLst>
        </xdr:cNvPr>
        <xdr:cNvSpPr>
          <a:spLocks noChangeAspect="1" noChangeArrowheads="1"/>
        </xdr:cNvSpPr>
      </xdr:nvSpPr>
      <xdr:spPr bwMode="auto">
        <a:xfrm>
          <a:off x="200025" y="1561299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1458</xdr:row>
      <xdr:rowOff>0</xdr:rowOff>
    </xdr:from>
    <xdr:to>
      <xdr:col>1</xdr:col>
      <xdr:colOff>304800</xdr:colOff>
      <xdr:row>1458</xdr:row>
      <xdr:rowOff>306160</xdr:rowOff>
    </xdr:to>
    <xdr:sp macro="" textlink="">
      <xdr:nvSpPr>
        <xdr:cNvPr id="6388" name="AutoShape 244" descr="Tombstone">
          <a:extLst>
            <a:ext uri="{FF2B5EF4-FFF2-40B4-BE49-F238E27FC236}">
              <a16:creationId xmlns:a16="http://schemas.microsoft.com/office/drawing/2014/main" id="{ED9B370E-441C-40DD-41BC-478DC8735148}"/>
            </a:ext>
          </a:extLst>
        </xdr:cNvPr>
        <xdr:cNvSpPr>
          <a:spLocks noChangeAspect="1" noChangeArrowheads="1"/>
        </xdr:cNvSpPr>
      </xdr:nvSpPr>
      <xdr:spPr bwMode="auto">
        <a:xfrm>
          <a:off x="200025" y="1567653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1464</xdr:row>
      <xdr:rowOff>0</xdr:rowOff>
    </xdr:from>
    <xdr:to>
      <xdr:col>1</xdr:col>
      <xdr:colOff>304800</xdr:colOff>
      <xdr:row>1464</xdr:row>
      <xdr:rowOff>306160</xdr:rowOff>
    </xdr:to>
    <xdr:sp macro="" textlink="">
      <xdr:nvSpPr>
        <xdr:cNvPr id="6389" name="AutoShape 245" descr="Tombstone">
          <a:extLst>
            <a:ext uri="{FF2B5EF4-FFF2-40B4-BE49-F238E27FC236}">
              <a16:creationId xmlns:a16="http://schemas.microsoft.com/office/drawing/2014/main" id="{1DC80D67-83BC-78D0-DCD9-06DE735C15C9}"/>
            </a:ext>
          </a:extLst>
        </xdr:cNvPr>
        <xdr:cNvSpPr>
          <a:spLocks noChangeAspect="1" noChangeArrowheads="1"/>
        </xdr:cNvSpPr>
      </xdr:nvSpPr>
      <xdr:spPr bwMode="auto">
        <a:xfrm>
          <a:off x="200025" y="1574063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1470</xdr:row>
      <xdr:rowOff>0</xdr:rowOff>
    </xdr:from>
    <xdr:to>
      <xdr:col>1</xdr:col>
      <xdr:colOff>304800</xdr:colOff>
      <xdr:row>1470</xdr:row>
      <xdr:rowOff>306160</xdr:rowOff>
    </xdr:to>
    <xdr:sp macro="" textlink="">
      <xdr:nvSpPr>
        <xdr:cNvPr id="6390" name="AutoShape 246" descr="Tombstone">
          <a:extLst>
            <a:ext uri="{FF2B5EF4-FFF2-40B4-BE49-F238E27FC236}">
              <a16:creationId xmlns:a16="http://schemas.microsoft.com/office/drawing/2014/main" id="{A95E1856-8D17-8C06-7DA8-A4EA7AE07093}"/>
            </a:ext>
          </a:extLst>
        </xdr:cNvPr>
        <xdr:cNvSpPr>
          <a:spLocks noChangeAspect="1" noChangeArrowheads="1"/>
        </xdr:cNvSpPr>
      </xdr:nvSpPr>
      <xdr:spPr bwMode="auto">
        <a:xfrm>
          <a:off x="200025" y="1580416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1476</xdr:row>
      <xdr:rowOff>0</xdr:rowOff>
    </xdr:from>
    <xdr:to>
      <xdr:col>1</xdr:col>
      <xdr:colOff>304800</xdr:colOff>
      <xdr:row>1476</xdr:row>
      <xdr:rowOff>306160</xdr:rowOff>
    </xdr:to>
    <xdr:sp macro="" textlink="">
      <xdr:nvSpPr>
        <xdr:cNvPr id="6391" name="AutoShape 247" descr="Tombstone">
          <a:extLst>
            <a:ext uri="{FF2B5EF4-FFF2-40B4-BE49-F238E27FC236}">
              <a16:creationId xmlns:a16="http://schemas.microsoft.com/office/drawing/2014/main" id="{1517B9CC-5419-343B-ADFE-5E7585420423}"/>
            </a:ext>
          </a:extLst>
        </xdr:cNvPr>
        <xdr:cNvSpPr>
          <a:spLocks noChangeAspect="1" noChangeArrowheads="1"/>
        </xdr:cNvSpPr>
      </xdr:nvSpPr>
      <xdr:spPr bwMode="auto">
        <a:xfrm>
          <a:off x="200025" y="1587150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1482</xdr:row>
      <xdr:rowOff>0</xdr:rowOff>
    </xdr:from>
    <xdr:to>
      <xdr:col>1</xdr:col>
      <xdr:colOff>304800</xdr:colOff>
      <xdr:row>1482</xdr:row>
      <xdr:rowOff>306160</xdr:rowOff>
    </xdr:to>
    <xdr:sp macro="" textlink="">
      <xdr:nvSpPr>
        <xdr:cNvPr id="6392" name="AutoShape 248" descr="Tombstone">
          <a:extLst>
            <a:ext uri="{FF2B5EF4-FFF2-40B4-BE49-F238E27FC236}">
              <a16:creationId xmlns:a16="http://schemas.microsoft.com/office/drawing/2014/main" id="{EB7A8035-348B-BA70-1302-CF7BF4969314}"/>
            </a:ext>
          </a:extLst>
        </xdr:cNvPr>
        <xdr:cNvSpPr>
          <a:spLocks noChangeAspect="1" noChangeArrowheads="1"/>
        </xdr:cNvSpPr>
      </xdr:nvSpPr>
      <xdr:spPr bwMode="auto">
        <a:xfrm>
          <a:off x="200025" y="1593694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1488</xdr:row>
      <xdr:rowOff>0</xdr:rowOff>
    </xdr:from>
    <xdr:to>
      <xdr:col>1</xdr:col>
      <xdr:colOff>304800</xdr:colOff>
      <xdr:row>1488</xdr:row>
      <xdr:rowOff>306160</xdr:rowOff>
    </xdr:to>
    <xdr:sp macro="" textlink="">
      <xdr:nvSpPr>
        <xdr:cNvPr id="6393" name="AutoShape 249" descr="Tombstone">
          <a:extLst>
            <a:ext uri="{FF2B5EF4-FFF2-40B4-BE49-F238E27FC236}">
              <a16:creationId xmlns:a16="http://schemas.microsoft.com/office/drawing/2014/main" id="{CD5F11E4-7ADB-12F0-49E0-339E8B61806E}"/>
            </a:ext>
          </a:extLst>
        </xdr:cNvPr>
        <xdr:cNvSpPr>
          <a:spLocks noChangeAspect="1" noChangeArrowheads="1"/>
        </xdr:cNvSpPr>
      </xdr:nvSpPr>
      <xdr:spPr bwMode="auto">
        <a:xfrm>
          <a:off x="200025" y="1600428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1494</xdr:row>
      <xdr:rowOff>0</xdr:rowOff>
    </xdr:from>
    <xdr:to>
      <xdr:col>1</xdr:col>
      <xdr:colOff>304800</xdr:colOff>
      <xdr:row>1494</xdr:row>
      <xdr:rowOff>306160</xdr:rowOff>
    </xdr:to>
    <xdr:sp macro="" textlink="">
      <xdr:nvSpPr>
        <xdr:cNvPr id="6394" name="AutoShape 250" descr="Tombstone">
          <a:extLst>
            <a:ext uri="{FF2B5EF4-FFF2-40B4-BE49-F238E27FC236}">
              <a16:creationId xmlns:a16="http://schemas.microsoft.com/office/drawing/2014/main" id="{7695F830-3FEF-6338-0493-A62F5CC56095}"/>
            </a:ext>
          </a:extLst>
        </xdr:cNvPr>
        <xdr:cNvSpPr>
          <a:spLocks noChangeAspect="1" noChangeArrowheads="1"/>
        </xdr:cNvSpPr>
      </xdr:nvSpPr>
      <xdr:spPr bwMode="auto">
        <a:xfrm>
          <a:off x="200025" y="1606972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1500</xdr:row>
      <xdr:rowOff>0</xdr:rowOff>
    </xdr:from>
    <xdr:to>
      <xdr:col>1</xdr:col>
      <xdr:colOff>304800</xdr:colOff>
      <xdr:row>1500</xdr:row>
      <xdr:rowOff>306160</xdr:rowOff>
    </xdr:to>
    <xdr:sp macro="" textlink="">
      <xdr:nvSpPr>
        <xdr:cNvPr id="6395" name="AutoShape 251" descr="Tombstone">
          <a:extLst>
            <a:ext uri="{FF2B5EF4-FFF2-40B4-BE49-F238E27FC236}">
              <a16:creationId xmlns:a16="http://schemas.microsoft.com/office/drawing/2014/main" id="{107CE492-534A-3021-F2EA-96131D0E5443}"/>
            </a:ext>
          </a:extLst>
        </xdr:cNvPr>
        <xdr:cNvSpPr>
          <a:spLocks noChangeAspect="1" noChangeArrowheads="1"/>
        </xdr:cNvSpPr>
      </xdr:nvSpPr>
      <xdr:spPr bwMode="auto">
        <a:xfrm>
          <a:off x="200025" y="1613515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1506</xdr:row>
      <xdr:rowOff>0</xdr:rowOff>
    </xdr:from>
    <xdr:to>
      <xdr:col>1</xdr:col>
      <xdr:colOff>304800</xdr:colOff>
      <xdr:row>1506</xdr:row>
      <xdr:rowOff>306160</xdr:rowOff>
    </xdr:to>
    <xdr:sp macro="" textlink="">
      <xdr:nvSpPr>
        <xdr:cNvPr id="6396" name="AutoShape 252" descr="Tombstone">
          <a:extLst>
            <a:ext uri="{FF2B5EF4-FFF2-40B4-BE49-F238E27FC236}">
              <a16:creationId xmlns:a16="http://schemas.microsoft.com/office/drawing/2014/main" id="{F9B1EDC0-7F4D-2913-327D-DF983EDFB2A2}"/>
            </a:ext>
          </a:extLst>
        </xdr:cNvPr>
        <xdr:cNvSpPr>
          <a:spLocks noChangeAspect="1" noChangeArrowheads="1"/>
        </xdr:cNvSpPr>
      </xdr:nvSpPr>
      <xdr:spPr bwMode="auto">
        <a:xfrm>
          <a:off x="200025" y="1619869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1512</xdr:row>
      <xdr:rowOff>0</xdr:rowOff>
    </xdr:from>
    <xdr:to>
      <xdr:col>1</xdr:col>
      <xdr:colOff>304800</xdr:colOff>
      <xdr:row>1512</xdr:row>
      <xdr:rowOff>306160</xdr:rowOff>
    </xdr:to>
    <xdr:sp macro="" textlink="">
      <xdr:nvSpPr>
        <xdr:cNvPr id="6397" name="AutoShape 253" descr="Tombstone">
          <a:extLst>
            <a:ext uri="{FF2B5EF4-FFF2-40B4-BE49-F238E27FC236}">
              <a16:creationId xmlns:a16="http://schemas.microsoft.com/office/drawing/2014/main" id="{BF317118-1362-5902-011B-F7B0296DED31}"/>
            </a:ext>
          </a:extLst>
        </xdr:cNvPr>
        <xdr:cNvSpPr>
          <a:spLocks noChangeAspect="1" noChangeArrowheads="1"/>
        </xdr:cNvSpPr>
      </xdr:nvSpPr>
      <xdr:spPr bwMode="auto">
        <a:xfrm>
          <a:off x="200025" y="1626412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1518</xdr:row>
      <xdr:rowOff>0</xdr:rowOff>
    </xdr:from>
    <xdr:to>
      <xdr:col>1</xdr:col>
      <xdr:colOff>304800</xdr:colOff>
      <xdr:row>1518</xdr:row>
      <xdr:rowOff>306160</xdr:rowOff>
    </xdr:to>
    <xdr:sp macro="" textlink="">
      <xdr:nvSpPr>
        <xdr:cNvPr id="6398" name="AutoShape 254" descr="Tombstone">
          <a:extLst>
            <a:ext uri="{FF2B5EF4-FFF2-40B4-BE49-F238E27FC236}">
              <a16:creationId xmlns:a16="http://schemas.microsoft.com/office/drawing/2014/main" id="{B5CC103C-7CA0-5E1B-AA9B-10CFA452FF8A}"/>
            </a:ext>
          </a:extLst>
        </xdr:cNvPr>
        <xdr:cNvSpPr>
          <a:spLocks noChangeAspect="1" noChangeArrowheads="1"/>
        </xdr:cNvSpPr>
      </xdr:nvSpPr>
      <xdr:spPr bwMode="auto">
        <a:xfrm>
          <a:off x="200025" y="1632956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1524</xdr:row>
      <xdr:rowOff>0</xdr:rowOff>
    </xdr:from>
    <xdr:to>
      <xdr:col>1</xdr:col>
      <xdr:colOff>304800</xdr:colOff>
      <xdr:row>1524</xdr:row>
      <xdr:rowOff>306160</xdr:rowOff>
    </xdr:to>
    <xdr:sp macro="" textlink="">
      <xdr:nvSpPr>
        <xdr:cNvPr id="6399" name="AutoShape 255" descr="Tombstone">
          <a:extLst>
            <a:ext uri="{FF2B5EF4-FFF2-40B4-BE49-F238E27FC236}">
              <a16:creationId xmlns:a16="http://schemas.microsoft.com/office/drawing/2014/main" id="{85BC8E24-B408-D421-CC77-2369687B53ED}"/>
            </a:ext>
          </a:extLst>
        </xdr:cNvPr>
        <xdr:cNvSpPr>
          <a:spLocks noChangeAspect="1" noChangeArrowheads="1"/>
        </xdr:cNvSpPr>
      </xdr:nvSpPr>
      <xdr:spPr bwMode="auto">
        <a:xfrm>
          <a:off x="200025" y="1639004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1530</xdr:row>
      <xdr:rowOff>0</xdr:rowOff>
    </xdr:from>
    <xdr:to>
      <xdr:col>1</xdr:col>
      <xdr:colOff>304800</xdr:colOff>
      <xdr:row>1530</xdr:row>
      <xdr:rowOff>306160</xdr:rowOff>
    </xdr:to>
    <xdr:sp macro="" textlink="">
      <xdr:nvSpPr>
        <xdr:cNvPr id="6400" name="AutoShape 256" descr="Tombstone">
          <a:extLst>
            <a:ext uri="{FF2B5EF4-FFF2-40B4-BE49-F238E27FC236}">
              <a16:creationId xmlns:a16="http://schemas.microsoft.com/office/drawing/2014/main" id="{4BC858C6-C70B-BB06-457C-8996BA499AAE}"/>
            </a:ext>
          </a:extLst>
        </xdr:cNvPr>
        <xdr:cNvSpPr>
          <a:spLocks noChangeAspect="1" noChangeArrowheads="1"/>
        </xdr:cNvSpPr>
      </xdr:nvSpPr>
      <xdr:spPr bwMode="auto">
        <a:xfrm>
          <a:off x="200025" y="1644157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1536</xdr:row>
      <xdr:rowOff>0</xdr:rowOff>
    </xdr:from>
    <xdr:to>
      <xdr:col>1</xdr:col>
      <xdr:colOff>304800</xdr:colOff>
      <xdr:row>1536</xdr:row>
      <xdr:rowOff>306160</xdr:rowOff>
    </xdr:to>
    <xdr:sp macro="" textlink="">
      <xdr:nvSpPr>
        <xdr:cNvPr id="6401" name="AutoShape 257" descr="Tombstone">
          <a:extLst>
            <a:ext uri="{FF2B5EF4-FFF2-40B4-BE49-F238E27FC236}">
              <a16:creationId xmlns:a16="http://schemas.microsoft.com/office/drawing/2014/main" id="{6FDC5E5A-F7FA-B16D-ED96-7E6769DE9112}"/>
            </a:ext>
          </a:extLst>
        </xdr:cNvPr>
        <xdr:cNvSpPr>
          <a:spLocks noChangeAspect="1" noChangeArrowheads="1"/>
        </xdr:cNvSpPr>
      </xdr:nvSpPr>
      <xdr:spPr bwMode="auto">
        <a:xfrm>
          <a:off x="200025" y="165056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1542</xdr:row>
      <xdr:rowOff>0</xdr:rowOff>
    </xdr:from>
    <xdr:to>
      <xdr:col>1</xdr:col>
      <xdr:colOff>304800</xdr:colOff>
      <xdr:row>1542</xdr:row>
      <xdr:rowOff>306160</xdr:rowOff>
    </xdr:to>
    <xdr:sp macro="" textlink="">
      <xdr:nvSpPr>
        <xdr:cNvPr id="6402" name="AutoShape 258" descr="Tombstone">
          <a:extLst>
            <a:ext uri="{FF2B5EF4-FFF2-40B4-BE49-F238E27FC236}">
              <a16:creationId xmlns:a16="http://schemas.microsoft.com/office/drawing/2014/main" id="{2E965D33-1E95-CB6D-3B55-6447441A44AE}"/>
            </a:ext>
          </a:extLst>
        </xdr:cNvPr>
        <xdr:cNvSpPr>
          <a:spLocks noChangeAspect="1" noChangeArrowheads="1"/>
        </xdr:cNvSpPr>
      </xdr:nvSpPr>
      <xdr:spPr bwMode="auto">
        <a:xfrm>
          <a:off x="200025" y="1657111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1548</xdr:row>
      <xdr:rowOff>0</xdr:rowOff>
    </xdr:from>
    <xdr:to>
      <xdr:col>1</xdr:col>
      <xdr:colOff>304800</xdr:colOff>
      <xdr:row>1548</xdr:row>
      <xdr:rowOff>306160</xdr:rowOff>
    </xdr:to>
    <xdr:sp macro="" textlink="">
      <xdr:nvSpPr>
        <xdr:cNvPr id="6403" name="AutoShape 259" descr="Tombstone">
          <a:extLst>
            <a:ext uri="{FF2B5EF4-FFF2-40B4-BE49-F238E27FC236}">
              <a16:creationId xmlns:a16="http://schemas.microsoft.com/office/drawing/2014/main" id="{52D07869-F5F1-B807-0D81-AA3311B8899A}"/>
            </a:ext>
          </a:extLst>
        </xdr:cNvPr>
        <xdr:cNvSpPr>
          <a:spLocks noChangeAspect="1" noChangeArrowheads="1"/>
        </xdr:cNvSpPr>
      </xdr:nvSpPr>
      <xdr:spPr bwMode="auto">
        <a:xfrm>
          <a:off x="200025" y="1663655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1554</xdr:row>
      <xdr:rowOff>0</xdr:rowOff>
    </xdr:from>
    <xdr:to>
      <xdr:col>1</xdr:col>
      <xdr:colOff>304800</xdr:colOff>
      <xdr:row>1554</xdr:row>
      <xdr:rowOff>306160</xdr:rowOff>
    </xdr:to>
    <xdr:sp macro="" textlink="">
      <xdr:nvSpPr>
        <xdr:cNvPr id="6404" name="AutoShape 260" descr="Tombstone">
          <a:extLst>
            <a:ext uri="{FF2B5EF4-FFF2-40B4-BE49-F238E27FC236}">
              <a16:creationId xmlns:a16="http://schemas.microsoft.com/office/drawing/2014/main" id="{776C2403-3ACE-F57F-E388-DB813B9C0B30}"/>
            </a:ext>
          </a:extLst>
        </xdr:cNvPr>
        <xdr:cNvSpPr>
          <a:spLocks noChangeAspect="1" noChangeArrowheads="1"/>
        </xdr:cNvSpPr>
      </xdr:nvSpPr>
      <xdr:spPr bwMode="auto">
        <a:xfrm>
          <a:off x="200025" y="1670389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1560</xdr:row>
      <xdr:rowOff>0</xdr:rowOff>
    </xdr:from>
    <xdr:to>
      <xdr:col>1</xdr:col>
      <xdr:colOff>304800</xdr:colOff>
      <xdr:row>1560</xdr:row>
      <xdr:rowOff>306160</xdr:rowOff>
    </xdr:to>
    <xdr:sp macro="" textlink="">
      <xdr:nvSpPr>
        <xdr:cNvPr id="6405" name="AutoShape 261" descr="Tombstone">
          <a:extLst>
            <a:ext uri="{FF2B5EF4-FFF2-40B4-BE49-F238E27FC236}">
              <a16:creationId xmlns:a16="http://schemas.microsoft.com/office/drawing/2014/main" id="{0BF96024-A618-2D5A-2D79-71D451F9E415}"/>
            </a:ext>
          </a:extLst>
        </xdr:cNvPr>
        <xdr:cNvSpPr>
          <a:spLocks noChangeAspect="1" noChangeArrowheads="1"/>
        </xdr:cNvSpPr>
      </xdr:nvSpPr>
      <xdr:spPr bwMode="auto">
        <a:xfrm>
          <a:off x="200025" y="167681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1566</xdr:row>
      <xdr:rowOff>0</xdr:rowOff>
    </xdr:from>
    <xdr:to>
      <xdr:col>1</xdr:col>
      <xdr:colOff>304800</xdr:colOff>
      <xdr:row>1566</xdr:row>
      <xdr:rowOff>306160</xdr:rowOff>
    </xdr:to>
    <xdr:sp macro="" textlink="">
      <xdr:nvSpPr>
        <xdr:cNvPr id="6406" name="AutoShape 262" descr="Tombstone">
          <a:extLst>
            <a:ext uri="{FF2B5EF4-FFF2-40B4-BE49-F238E27FC236}">
              <a16:creationId xmlns:a16="http://schemas.microsoft.com/office/drawing/2014/main" id="{7516117D-AC3A-9573-867D-D68DE1934FCA}"/>
            </a:ext>
          </a:extLst>
        </xdr:cNvPr>
        <xdr:cNvSpPr>
          <a:spLocks noChangeAspect="1" noChangeArrowheads="1"/>
        </xdr:cNvSpPr>
      </xdr:nvSpPr>
      <xdr:spPr bwMode="auto">
        <a:xfrm>
          <a:off x="200025" y="1683743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1572</xdr:row>
      <xdr:rowOff>0</xdr:rowOff>
    </xdr:from>
    <xdr:to>
      <xdr:col>1</xdr:col>
      <xdr:colOff>304800</xdr:colOff>
      <xdr:row>1572</xdr:row>
      <xdr:rowOff>306160</xdr:rowOff>
    </xdr:to>
    <xdr:sp macro="" textlink="">
      <xdr:nvSpPr>
        <xdr:cNvPr id="6407" name="AutoShape 263" descr="Tombstone">
          <a:extLst>
            <a:ext uri="{FF2B5EF4-FFF2-40B4-BE49-F238E27FC236}">
              <a16:creationId xmlns:a16="http://schemas.microsoft.com/office/drawing/2014/main" id="{8D075487-CFE8-732A-ED4A-060FFC16CA7D}"/>
            </a:ext>
          </a:extLst>
        </xdr:cNvPr>
        <xdr:cNvSpPr>
          <a:spLocks noChangeAspect="1" noChangeArrowheads="1"/>
        </xdr:cNvSpPr>
      </xdr:nvSpPr>
      <xdr:spPr bwMode="auto">
        <a:xfrm>
          <a:off x="200025" y="1690287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1578</xdr:row>
      <xdr:rowOff>0</xdr:rowOff>
    </xdr:from>
    <xdr:to>
      <xdr:col>1</xdr:col>
      <xdr:colOff>304800</xdr:colOff>
      <xdr:row>1578</xdr:row>
      <xdr:rowOff>306160</xdr:rowOff>
    </xdr:to>
    <xdr:sp macro="" textlink="">
      <xdr:nvSpPr>
        <xdr:cNvPr id="6408" name="AutoShape 264" descr="Tombstone">
          <a:extLst>
            <a:ext uri="{FF2B5EF4-FFF2-40B4-BE49-F238E27FC236}">
              <a16:creationId xmlns:a16="http://schemas.microsoft.com/office/drawing/2014/main" id="{39F65440-E3B3-6BDD-F196-AD81723F0F06}"/>
            </a:ext>
          </a:extLst>
        </xdr:cNvPr>
        <xdr:cNvSpPr>
          <a:spLocks noChangeAspect="1" noChangeArrowheads="1"/>
        </xdr:cNvSpPr>
      </xdr:nvSpPr>
      <xdr:spPr bwMode="auto">
        <a:xfrm>
          <a:off x="200025" y="1697212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1584</xdr:row>
      <xdr:rowOff>0</xdr:rowOff>
    </xdr:from>
    <xdr:to>
      <xdr:col>1</xdr:col>
      <xdr:colOff>304800</xdr:colOff>
      <xdr:row>1584</xdr:row>
      <xdr:rowOff>306160</xdr:rowOff>
    </xdr:to>
    <xdr:sp macro="" textlink="">
      <xdr:nvSpPr>
        <xdr:cNvPr id="6409" name="AutoShape 265" descr="Tombstone">
          <a:extLst>
            <a:ext uri="{FF2B5EF4-FFF2-40B4-BE49-F238E27FC236}">
              <a16:creationId xmlns:a16="http://schemas.microsoft.com/office/drawing/2014/main" id="{AE62B602-E76E-CB5B-6769-641501529E2E}"/>
            </a:ext>
          </a:extLst>
        </xdr:cNvPr>
        <xdr:cNvSpPr>
          <a:spLocks noChangeAspect="1" noChangeArrowheads="1"/>
        </xdr:cNvSpPr>
      </xdr:nvSpPr>
      <xdr:spPr bwMode="auto">
        <a:xfrm>
          <a:off x="200025" y="1703755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1590</xdr:row>
      <xdr:rowOff>0</xdr:rowOff>
    </xdr:from>
    <xdr:to>
      <xdr:col>1</xdr:col>
      <xdr:colOff>304800</xdr:colOff>
      <xdr:row>1590</xdr:row>
      <xdr:rowOff>306160</xdr:rowOff>
    </xdr:to>
    <xdr:sp macro="" textlink="">
      <xdr:nvSpPr>
        <xdr:cNvPr id="6410" name="AutoShape 266" descr="Tombstone">
          <a:extLst>
            <a:ext uri="{FF2B5EF4-FFF2-40B4-BE49-F238E27FC236}">
              <a16:creationId xmlns:a16="http://schemas.microsoft.com/office/drawing/2014/main" id="{1F6698CE-85BC-7262-99D3-034A9A050229}"/>
            </a:ext>
          </a:extLst>
        </xdr:cNvPr>
        <xdr:cNvSpPr>
          <a:spLocks noChangeAspect="1" noChangeArrowheads="1"/>
        </xdr:cNvSpPr>
      </xdr:nvSpPr>
      <xdr:spPr bwMode="auto">
        <a:xfrm>
          <a:off x="200025" y="1709794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1596</xdr:row>
      <xdr:rowOff>0</xdr:rowOff>
    </xdr:from>
    <xdr:to>
      <xdr:col>1</xdr:col>
      <xdr:colOff>304800</xdr:colOff>
      <xdr:row>1596</xdr:row>
      <xdr:rowOff>306160</xdr:rowOff>
    </xdr:to>
    <xdr:sp macro="" textlink="">
      <xdr:nvSpPr>
        <xdr:cNvPr id="6411" name="AutoShape 267" descr="Tombstone">
          <a:extLst>
            <a:ext uri="{FF2B5EF4-FFF2-40B4-BE49-F238E27FC236}">
              <a16:creationId xmlns:a16="http://schemas.microsoft.com/office/drawing/2014/main" id="{906B5FFD-5B00-16F5-EB59-DE1B2E0CDCC8}"/>
            </a:ext>
          </a:extLst>
        </xdr:cNvPr>
        <xdr:cNvSpPr>
          <a:spLocks noChangeAspect="1" noChangeArrowheads="1"/>
        </xdr:cNvSpPr>
      </xdr:nvSpPr>
      <xdr:spPr bwMode="auto">
        <a:xfrm>
          <a:off x="200025" y="1716909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1602</xdr:row>
      <xdr:rowOff>0</xdr:rowOff>
    </xdr:from>
    <xdr:to>
      <xdr:col>1</xdr:col>
      <xdr:colOff>304800</xdr:colOff>
      <xdr:row>1602</xdr:row>
      <xdr:rowOff>306160</xdr:rowOff>
    </xdr:to>
    <xdr:sp macro="" textlink="">
      <xdr:nvSpPr>
        <xdr:cNvPr id="6412" name="AutoShape 268" descr="Tombstone">
          <a:extLst>
            <a:ext uri="{FF2B5EF4-FFF2-40B4-BE49-F238E27FC236}">
              <a16:creationId xmlns:a16="http://schemas.microsoft.com/office/drawing/2014/main" id="{3BBA3E3C-7EFA-641C-9055-5D841CDE04DF}"/>
            </a:ext>
          </a:extLst>
        </xdr:cNvPr>
        <xdr:cNvSpPr>
          <a:spLocks noChangeAspect="1" noChangeArrowheads="1"/>
        </xdr:cNvSpPr>
      </xdr:nvSpPr>
      <xdr:spPr bwMode="auto">
        <a:xfrm>
          <a:off x="200025" y="172326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1608</xdr:row>
      <xdr:rowOff>0</xdr:rowOff>
    </xdr:from>
    <xdr:to>
      <xdr:col>1</xdr:col>
      <xdr:colOff>304800</xdr:colOff>
      <xdr:row>1608</xdr:row>
      <xdr:rowOff>306160</xdr:rowOff>
    </xdr:to>
    <xdr:sp macro="" textlink="">
      <xdr:nvSpPr>
        <xdr:cNvPr id="6413" name="AutoShape 269" descr="Tombstone">
          <a:extLst>
            <a:ext uri="{FF2B5EF4-FFF2-40B4-BE49-F238E27FC236}">
              <a16:creationId xmlns:a16="http://schemas.microsoft.com/office/drawing/2014/main" id="{C1C0C078-0C8D-37D2-978E-2DA56DAA4650}"/>
            </a:ext>
          </a:extLst>
        </xdr:cNvPr>
        <xdr:cNvSpPr>
          <a:spLocks noChangeAspect="1" noChangeArrowheads="1"/>
        </xdr:cNvSpPr>
      </xdr:nvSpPr>
      <xdr:spPr bwMode="auto">
        <a:xfrm>
          <a:off x="200025" y="1729806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1614</xdr:row>
      <xdr:rowOff>0</xdr:rowOff>
    </xdr:from>
    <xdr:to>
      <xdr:col>1</xdr:col>
      <xdr:colOff>304800</xdr:colOff>
      <xdr:row>1614</xdr:row>
      <xdr:rowOff>306160</xdr:rowOff>
    </xdr:to>
    <xdr:sp macro="" textlink="">
      <xdr:nvSpPr>
        <xdr:cNvPr id="6414" name="AutoShape 270" descr="Tombstone">
          <a:extLst>
            <a:ext uri="{FF2B5EF4-FFF2-40B4-BE49-F238E27FC236}">
              <a16:creationId xmlns:a16="http://schemas.microsoft.com/office/drawing/2014/main" id="{8EC09D20-C132-76FF-4CB4-975E0D2883EE}"/>
            </a:ext>
          </a:extLst>
        </xdr:cNvPr>
        <xdr:cNvSpPr>
          <a:spLocks noChangeAspect="1" noChangeArrowheads="1"/>
        </xdr:cNvSpPr>
      </xdr:nvSpPr>
      <xdr:spPr bwMode="auto">
        <a:xfrm>
          <a:off x="200025" y="1736350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1620</xdr:row>
      <xdr:rowOff>0</xdr:rowOff>
    </xdr:from>
    <xdr:to>
      <xdr:col>1</xdr:col>
      <xdr:colOff>304800</xdr:colOff>
      <xdr:row>1620</xdr:row>
      <xdr:rowOff>306160</xdr:rowOff>
    </xdr:to>
    <xdr:sp macro="" textlink="">
      <xdr:nvSpPr>
        <xdr:cNvPr id="6415" name="AutoShape 271" descr="Tombstone">
          <a:extLst>
            <a:ext uri="{FF2B5EF4-FFF2-40B4-BE49-F238E27FC236}">
              <a16:creationId xmlns:a16="http://schemas.microsoft.com/office/drawing/2014/main" id="{5B370506-B7A9-0F5A-935C-AFD369B6C7CE}"/>
            </a:ext>
          </a:extLst>
        </xdr:cNvPr>
        <xdr:cNvSpPr>
          <a:spLocks noChangeAspect="1" noChangeArrowheads="1"/>
        </xdr:cNvSpPr>
      </xdr:nvSpPr>
      <xdr:spPr bwMode="auto">
        <a:xfrm>
          <a:off x="200025" y="174289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1626</xdr:row>
      <xdr:rowOff>0</xdr:rowOff>
    </xdr:from>
    <xdr:to>
      <xdr:col>1</xdr:col>
      <xdr:colOff>304800</xdr:colOff>
      <xdr:row>1626</xdr:row>
      <xdr:rowOff>306160</xdr:rowOff>
    </xdr:to>
    <xdr:sp macro="" textlink="">
      <xdr:nvSpPr>
        <xdr:cNvPr id="6416" name="AutoShape 272" descr="Tombstone">
          <a:extLst>
            <a:ext uri="{FF2B5EF4-FFF2-40B4-BE49-F238E27FC236}">
              <a16:creationId xmlns:a16="http://schemas.microsoft.com/office/drawing/2014/main" id="{F8EE6570-930F-3189-64EC-643CF39CE0C7}"/>
            </a:ext>
          </a:extLst>
        </xdr:cNvPr>
        <xdr:cNvSpPr>
          <a:spLocks noChangeAspect="1" noChangeArrowheads="1"/>
        </xdr:cNvSpPr>
      </xdr:nvSpPr>
      <xdr:spPr bwMode="auto">
        <a:xfrm>
          <a:off x="200025" y="174962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1632</xdr:row>
      <xdr:rowOff>0</xdr:rowOff>
    </xdr:from>
    <xdr:to>
      <xdr:col>1</xdr:col>
      <xdr:colOff>304800</xdr:colOff>
      <xdr:row>1632</xdr:row>
      <xdr:rowOff>306160</xdr:rowOff>
    </xdr:to>
    <xdr:sp macro="" textlink="">
      <xdr:nvSpPr>
        <xdr:cNvPr id="6417" name="AutoShape 273" descr="Tombstone">
          <a:extLst>
            <a:ext uri="{FF2B5EF4-FFF2-40B4-BE49-F238E27FC236}">
              <a16:creationId xmlns:a16="http://schemas.microsoft.com/office/drawing/2014/main" id="{30E2E9F9-2682-7263-F60B-A1C1C418A723}"/>
            </a:ext>
          </a:extLst>
        </xdr:cNvPr>
        <xdr:cNvSpPr>
          <a:spLocks noChangeAspect="1" noChangeArrowheads="1"/>
        </xdr:cNvSpPr>
      </xdr:nvSpPr>
      <xdr:spPr bwMode="auto">
        <a:xfrm>
          <a:off x="200025" y="1756171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1638</xdr:row>
      <xdr:rowOff>0</xdr:rowOff>
    </xdr:from>
    <xdr:to>
      <xdr:col>1</xdr:col>
      <xdr:colOff>304800</xdr:colOff>
      <xdr:row>1638</xdr:row>
      <xdr:rowOff>306160</xdr:rowOff>
    </xdr:to>
    <xdr:sp macro="" textlink="">
      <xdr:nvSpPr>
        <xdr:cNvPr id="6418" name="AutoShape 274" descr="Tombstone">
          <a:extLst>
            <a:ext uri="{FF2B5EF4-FFF2-40B4-BE49-F238E27FC236}">
              <a16:creationId xmlns:a16="http://schemas.microsoft.com/office/drawing/2014/main" id="{8D56364F-F0BF-2FA8-EE6B-C00BF13ECD68}"/>
            </a:ext>
          </a:extLst>
        </xdr:cNvPr>
        <xdr:cNvSpPr>
          <a:spLocks noChangeAspect="1" noChangeArrowheads="1"/>
        </xdr:cNvSpPr>
      </xdr:nvSpPr>
      <xdr:spPr bwMode="auto">
        <a:xfrm>
          <a:off x="200025" y="1763096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1644</xdr:row>
      <xdr:rowOff>0</xdr:rowOff>
    </xdr:from>
    <xdr:to>
      <xdr:col>1</xdr:col>
      <xdr:colOff>304800</xdr:colOff>
      <xdr:row>1644</xdr:row>
      <xdr:rowOff>306160</xdr:rowOff>
    </xdr:to>
    <xdr:sp macro="" textlink="">
      <xdr:nvSpPr>
        <xdr:cNvPr id="6419" name="AutoShape 275" descr="Tombstone">
          <a:extLst>
            <a:ext uri="{FF2B5EF4-FFF2-40B4-BE49-F238E27FC236}">
              <a16:creationId xmlns:a16="http://schemas.microsoft.com/office/drawing/2014/main" id="{66F499D3-A2BD-CD78-B9B7-A97FDD4A357C}"/>
            </a:ext>
          </a:extLst>
        </xdr:cNvPr>
        <xdr:cNvSpPr>
          <a:spLocks noChangeAspect="1" noChangeArrowheads="1"/>
        </xdr:cNvSpPr>
      </xdr:nvSpPr>
      <xdr:spPr bwMode="auto">
        <a:xfrm>
          <a:off x="200025" y="1769830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1650</xdr:row>
      <xdr:rowOff>0</xdr:rowOff>
    </xdr:from>
    <xdr:to>
      <xdr:col>1</xdr:col>
      <xdr:colOff>304800</xdr:colOff>
      <xdr:row>1650</xdr:row>
      <xdr:rowOff>306160</xdr:rowOff>
    </xdr:to>
    <xdr:sp macro="" textlink="">
      <xdr:nvSpPr>
        <xdr:cNvPr id="6420" name="AutoShape 276" descr="Tombstone">
          <a:extLst>
            <a:ext uri="{FF2B5EF4-FFF2-40B4-BE49-F238E27FC236}">
              <a16:creationId xmlns:a16="http://schemas.microsoft.com/office/drawing/2014/main" id="{F3B4BB85-914E-69E0-A0F7-D5EE34D67D81}"/>
            </a:ext>
          </a:extLst>
        </xdr:cNvPr>
        <xdr:cNvSpPr>
          <a:spLocks noChangeAspect="1" noChangeArrowheads="1"/>
        </xdr:cNvSpPr>
      </xdr:nvSpPr>
      <xdr:spPr bwMode="auto">
        <a:xfrm>
          <a:off x="200025" y="177656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1656</xdr:row>
      <xdr:rowOff>0</xdr:rowOff>
    </xdr:from>
    <xdr:to>
      <xdr:col>1</xdr:col>
      <xdr:colOff>304800</xdr:colOff>
      <xdr:row>1656</xdr:row>
      <xdr:rowOff>306160</xdr:rowOff>
    </xdr:to>
    <xdr:sp macro="" textlink="">
      <xdr:nvSpPr>
        <xdr:cNvPr id="6421" name="AutoShape 277" descr="Tombstone">
          <a:extLst>
            <a:ext uri="{FF2B5EF4-FFF2-40B4-BE49-F238E27FC236}">
              <a16:creationId xmlns:a16="http://schemas.microsoft.com/office/drawing/2014/main" id="{12703841-4044-E82C-BDDB-C7AA5B38AD8D}"/>
            </a:ext>
          </a:extLst>
        </xdr:cNvPr>
        <xdr:cNvSpPr>
          <a:spLocks noChangeAspect="1" noChangeArrowheads="1"/>
        </xdr:cNvSpPr>
      </xdr:nvSpPr>
      <xdr:spPr bwMode="auto">
        <a:xfrm>
          <a:off x="200025" y="1780822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1662</xdr:row>
      <xdr:rowOff>0</xdr:rowOff>
    </xdr:from>
    <xdr:to>
      <xdr:col>1</xdr:col>
      <xdr:colOff>304800</xdr:colOff>
      <xdr:row>1662</xdr:row>
      <xdr:rowOff>306160</xdr:rowOff>
    </xdr:to>
    <xdr:sp macro="" textlink="">
      <xdr:nvSpPr>
        <xdr:cNvPr id="6422" name="AutoShape 278" descr="Tombstone">
          <a:extLst>
            <a:ext uri="{FF2B5EF4-FFF2-40B4-BE49-F238E27FC236}">
              <a16:creationId xmlns:a16="http://schemas.microsoft.com/office/drawing/2014/main" id="{8FC0D83C-D446-DCAE-79EA-05534024F230}"/>
            </a:ext>
          </a:extLst>
        </xdr:cNvPr>
        <xdr:cNvSpPr>
          <a:spLocks noChangeAspect="1" noChangeArrowheads="1"/>
        </xdr:cNvSpPr>
      </xdr:nvSpPr>
      <xdr:spPr bwMode="auto">
        <a:xfrm>
          <a:off x="200025" y="1787747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1668</xdr:row>
      <xdr:rowOff>0</xdr:rowOff>
    </xdr:from>
    <xdr:to>
      <xdr:col>1</xdr:col>
      <xdr:colOff>304800</xdr:colOff>
      <xdr:row>1668</xdr:row>
      <xdr:rowOff>306160</xdr:rowOff>
    </xdr:to>
    <xdr:sp macro="" textlink="">
      <xdr:nvSpPr>
        <xdr:cNvPr id="6423" name="AutoShape 279" descr="Tombstone">
          <a:extLst>
            <a:ext uri="{FF2B5EF4-FFF2-40B4-BE49-F238E27FC236}">
              <a16:creationId xmlns:a16="http://schemas.microsoft.com/office/drawing/2014/main" id="{48CEF5F0-E675-4C65-543A-2EA65637FB12}"/>
            </a:ext>
          </a:extLst>
        </xdr:cNvPr>
        <xdr:cNvSpPr>
          <a:spLocks noChangeAspect="1" noChangeArrowheads="1"/>
        </xdr:cNvSpPr>
      </xdr:nvSpPr>
      <xdr:spPr bwMode="auto">
        <a:xfrm>
          <a:off x="200025" y="1792709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1674</xdr:row>
      <xdr:rowOff>0</xdr:rowOff>
    </xdr:from>
    <xdr:to>
      <xdr:col>1</xdr:col>
      <xdr:colOff>304800</xdr:colOff>
      <xdr:row>1674</xdr:row>
      <xdr:rowOff>306160</xdr:rowOff>
    </xdr:to>
    <xdr:sp macro="" textlink="">
      <xdr:nvSpPr>
        <xdr:cNvPr id="6424" name="AutoShape 280" descr="Tombstone">
          <a:extLst>
            <a:ext uri="{FF2B5EF4-FFF2-40B4-BE49-F238E27FC236}">
              <a16:creationId xmlns:a16="http://schemas.microsoft.com/office/drawing/2014/main" id="{69939B4D-764D-0BF8-5E62-836E450AD48A}"/>
            </a:ext>
          </a:extLst>
        </xdr:cNvPr>
        <xdr:cNvSpPr>
          <a:spLocks noChangeAspect="1" noChangeArrowheads="1"/>
        </xdr:cNvSpPr>
      </xdr:nvSpPr>
      <xdr:spPr bwMode="auto">
        <a:xfrm>
          <a:off x="200025" y="1799443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1680</xdr:row>
      <xdr:rowOff>0</xdr:rowOff>
    </xdr:from>
    <xdr:to>
      <xdr:col>1</xdr:col>
      <xdr:colOff>304800</xdr:colOff>
      <xdr:row>1680</xdr:row>
      <xdr:rowOff>306160</xdr:rowOff>
    </xdr:to>
    <xdr:sp macro="" textlink="">
      <xdr:nvSpPr>
        <xdr:cNvPr id="6425" name="AutoShape 281" descr="Tombstone">
          <a:extLst>
            <a:ext uri="{FF2B5EF4-FFF2-40B4-BE49-F238E27FC236}">
              <a16:creationId xmlns:a16="http://schemas.microsoft.com/office/drawing/2014/main" id="{27EAD032-6AE4-231D-1F0C-04D51AA0D155}"/>
            </a:ext>
          </a:extLst>
        </xdr:cNvPr>
        <xdr:cNvSpPr>
          <a:spLocks noChangeAspect="1" noChangeArrowheads="1"/>
        </xdr:cNvSpPr>
      </xdr:nvSpPr>
      <xdr:spPr bwMode="auto">
        <a:xfrm>
          <a:off x="200025" y="1806178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1686</xdr:row>
      <xdr:rowOff>0</xdr:rowOff>
    </xdr:from>
    <xdr:to>
      <xdr:col>1</xdr:col>
      <xdr:colOff>304800</xdr:colOff>
      <xdr:row>1686</xdr:row>
      <xdr:rowOff>306160</xdr:rowOff>
    </xdr:to>
    <xdr:sp macro="" textlink="">
      <xdr:nvSpPr>
        <xdr:cNvPr id="6426" name="AutoShape 282" descr="Tombstone">
          <a:extLst>
            <a:ext uri="{FF2B5EF4-FFF2-40B4-BE49-F238E27FC236}">
              <a16:creationId xmlns:a16="http://schemas.microsoft.com/office/drawing/2014/main" id="{0C11B710-555B-E040-AC34-5F90CBE2BA0E}"/>
            </a:ext>
          </a:extLst>
        </xdr:cNvPr>
        <xdr:cNvSpPr>
          <a:spLocks noChangeAspect="1" noChangeArrowheads="1"/>
        </xdr:cNvSpPr>
      </xdr:nvSpPr>
      <xdr:spPr bwMode="auto">
        <a:xfrm>
          <a:off x="200025" y="1812721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1692</xdr:row>
      <xdr:rowOff>0</xdr:rowOff>
    </xdr:from>
    <xdr:to>
      <xdr:col>1</xdr:col>
      <xdr:colOff>304800</xdr:colOff>
      <xdr:row>1692</xdr:row>
      <xdr:rowOff>306160</xdr:rowOff>
    </xdr:to>
    <xdr:sp macro="" textlink="">
      <xdr:nvSpPr>
        <xdr:cNvPr id="6427" name="AutoShape 283" descr="Tombstone">
          <a:extLst>
            <a:ext uri="{FF2B5EF4-FFF2-40B4-BE49-F238E27FC236}">
              <a16:creationId xmlns:a16="http://schemas.microsoft.com/office/drawing/2014/main" id="{FD878AC9-F7C1-C9ED-DEA4-73E80EE6716C}"/>
            </a:ext>
          </a:extLst>
        </xdr:cNvPr>
        <xdr:cNvSpPr>
          <a:spLocks noChangeAspect="1" noChangeArrowheads="1"/>
        </xdr:cNvSpPr>
      </xdr:nvSpPr>
      <xdr:spPr bwMode="auto">
        <a:xfrm>
          <a:off x="200025" y="1819265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1698</xdr:row>
      <xdr:rowOff>0</xdr:rowOff>
    </xdr:from>
    <xdr:to>
      <xdr:col>1</xdr:col>
      <xdr:colOff>304800</xdr:colOff>
      <xdr:row>1698</xdr:row>
      <xdr:rowOff>306160</xdr:rowOff>
    </xdr:to>
    <xdr:sp macro="" textlink="">
      <xdr:nvSpPr>
        <xdr:cNvPr id="6428" name="AutoShape 284" descr="Tombstone">
          <a:extLst>
            <a:ext uri="{FF2B5EF4-FFF2-40B4-BE49-F238E27FC236}">
              <a16:creationId xmlns:a16="http://schemas.microsoft.com/office/drawing/2014/main" id="{1BF8421B-29DB-C024-D641-92E1303E51C4}"/>
            </a:ext>
          </a:extLst>
        </xdr:cNvPr>
        <xdr:cNvSpPr>
          <a:spLocks noChangeAspect="1" noChangeArrowheads="1"/>
        </xdr:cNvSpPr>
      </xdr:nvSpPr>
      <xdr:spPr bwMode="auto">
        <a:xfrm>
          <a:off x="200025" y="1825999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1704</xdr:row>
      <xdr:rowOff>0</xdr:rowOff>
    </xdr:from>
    <xdr:to>
      <xdr:col>1</xdr:col>
      <xdr:colOff>304800</xdr:colOff>
      <xdr:row>1704</xdr:row>
      <xdr:rowOff>306160</xdr:rowOff>
    </xdr:to>
    <xdr:sp macro="" textlink="">
      <xdr:nvSpPr>
        <xdr:cNvPr id="6429" name="AutoShape 285" descr="Tombstone">
          <a:extLst>
            <a:ext uri="{FF2B5EF4-FFF2-40B4-BE49-F238E27FC236}">
              <a16:creationId xmlns:a16="http://schemas.microsoft.com/office/drawing/2014/main" id="{3E9B6203-26BB-6B1C-37A7-369D6EEBB873}"/>
            </a:ext>
          </a:extLst>
        </xdr:cNvPr>
        <xdr:cNvSpPr>
          <a:spLocks noChangeAspect="1" noChangeArrowheads="1"/>
        </xdr:cNvSpPr>
      </xdr:nvSpPr>
      <xdr:spPr bwMode="auto">
        <a:xfrm>
          <a:off x="200025" y="1831867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1710</xdr:row>
      <xdr:rowOff>0</xdr:rowOff>
    </xdr:from>
    <xdr:to>
      <xdr:col>1</xdr:col>
      <xdr:colOff>304800</xdr:colOff>
      <xdr:row>1710</xdr:row>
      <xdr:rowOff>306160</xdr:rowOff>
    </xdr:to>
    <xdr:sp macro="" textlink="">
      <xdr:nvSpPr>
        <xdr:cNvPr id="6430" name="AutoShape 286" descr="Tombstone">
          <a:extLst>
            <a:ext uri="{FF2B5EF4-FFF2-40B4-BE49-F238E27FC236}">
              <a16:creationId xmlns:a16="http://schemas.microsoft.com/office/drawing/2014/main" id="{0E1E4A3D-BB96-9E3E-B5BE-71F8EFEE2251}"/>
            </a:ext>
          </a:extLst>
        </xdr:cNvPr>
        <xdr:cNvSpPr>
          <a:spLocks noChangeAspect="1" noChangeArrowheads="1"/>
        </xdr:cNvSpPr>
      </xdr:nvSpPr>
      <xdr:spPr bwMode="auto">
        <a:xfrm>
          <a:off x="200025" y="1838410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1716</xdr:row>
      <xdr:rowOff>0</xdr:rowOff>
    </xdr:from>
    <xdr:to>
      <xdr:col>1</xdr:col>
      <xdr:colOff>304800</xdr:colOff>
      <xdr:row>1716</xdr:row>
      <xdr:rowOff>306160</xdr:rowOff>
    </xdr:to>
    <xdr:sp macro="" textlink="">
      <xdr:nvSpPr>
        <xdr:cNvPr id="6431" name="AutoShape 287" descr="Tombstone">
          <a:extLst>
            <a:ext uri="{FF2B5EF4-FFF2-40B4-BE49-F238E27FC236}">
              <a16:creationId xmlns:a16="http://schemas.microsoft.com/office/drawing/2014/main" id="{5ABE0925-F101-C6C9-9307-532AE0A7807A}"/>
            </a:ext>
          </a:extLst>
        </xdr:cNvPr>
        <xdr:cNvSpPr>
          <a:spLocks noChangeAspect="1" noChangeArrowheads="1"/>
        </xdr:cNvSpPr>
      </xdr:nvSpPr>
      <xdr:spPr bwMode="auto">
        <a:xfrm>
          <a:off x="200025" y="184514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1722</xdr:row>
      <xdr:rowOff>0</xdr:rowOff>
    </xdr:from>
    <xdr:to>
      <xdr:col>1</xdr:col>
      <xdr:colOff>304800</xdr:colOff>
      <xdr:row>1722</xdr:row>
      <xdr:rowOff>306160</xdr:rowOff>
    </xdr:to>
    <xdr:sp macro="" textlink="">
      <xdr:nvSpPr>
        <xdr:cNvPr id="6432" name="AutoShape 288" descr="Tombstone">
          <a:extLst>
            <a:ext uri="{FF2B5EF4-FFF2-40B4-BE49-F238E27FC236}">
              <a16:creationId xmlns:a16="http://schemas.microsoft.com/office/drawing/2014/main" id="{C552BB62-D63B-3599-2328-4A5CD1B469C3}"/>
            </a:ext>
          </a:extLst>
        </xdr:cNvPr>
        <xdr:cNvSpPr>
          <a:spLocks noChangeAspect="1" noChangeArrowheads="1"/>
        </xdr:cNvSpPr>
      </xdr:nvSpPr>
      <xdr:spPr bwMode="auto">
        <a:xfrm>
          <a:off x="200025" y="1851688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1728</xdr:row>
      <xdr:rowOff>0</xdr:rowOff>
    </xdr:from>
    <xdr:to>
      <xdr:col>1</xdr:col>
      <xdr:colOff>304800</xdr:colOff>
      <xdr:row>1728</xdr:row>
      <xdr:rowOff>306160</xdr:rowOff>
    </xdr:to>
    <xdr:sp macro="" textlink="">
      <xdr:nvSpPr>
        <xdr:cNvPr id="6433" name="AutoShape 289" descr="Tombstone">
          <a:extLst>
            <a:ext uri="{FF2B5EF4-FFF2-40B4-BE49-F238E27FC236}">
              <a16:creationId xmlns:a16="http://schemas.microsoft.com/office/drawing/2014/main" id="{0FC5959F-E174-9779-EB31-515FAF85E563}"/>
            </a:ext>
          </a:extLst>
        </xdr:cNvPr>
        <xdr:cNvSpPr>
          <a:spLocks noChangeAspect="1" noChangeArrowheads="1"/>
        </xdr:cNvSpPr>
      </xdr:nvSpPr>
      <xdr:spPr bwMode="auto">
        <a:xfrm>
          <a:off x="200025" y="1858422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1734</xdr:row>
      <xdr:rowOff>0</xdr:rowOff>
    </xdr:from>
    <xdr:to>
      <xdr:col>1</xdr:col>
      <xdr:colOff>304800</xdr:colOff>
      <xdr:row>1734</xdr:row>
      <xdr:rowOff>306160</xdr:rowOff>
    </xdr:to>
    <xdr:sp macro="" textlink="">
      <xdr:nvSpPr>
        <xdr:cNvPr id="6434" name="AutoShape 290" descr="Tombstone">
          <a:extLst>
            <a:ext uri="{FF2B5EF4-FFF2-40B4-BE49-F238E27FC236}">
              <a16:creationId xmlns:a16="http://schemas.microsoft.com/office/drawing/2014/main" id="{D1177535-0B16-31A3-0A56-D2912262AE1C}"/>
            </a:ext>
          </a:extLst>
        </xdr:cNvPr>
        <xdr:cNvSpPr>
          <a:spLocks noChangeAspect="1" noChangeArrowheads="1"/>
        </xdr:cNvSpPr>
      </xdr:nvSpPr>
      <xdr:spPr bwMode="auto">
        <a:xfrm>
          <a:off x="200025" y="1864461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1740</xdr:row>
      <xdr:rowOff>0</xdr:rowOff>
    </xdr:from>
    <xdr:to>
      <xdr:col>1</xdr:col>
      <xdr:colOff>304800</xdr:colOff>
      <xdr:row>1740</xdr:row>
      <xdr:rowOff>306160</xdr:rowOff>
    </xdr:to>
    <xdr:sp macro="" textlink="">
      <xdr:nvSpPr>
        <xdr:cNvPr id="6435" name="AutoShape 291" descr="Tombstone">
          <a:extLst>
            <a:ext uri="{FF2B5EF4-FFF2-40B4-BE49-F238E27FC236}">
              <a16:creationId xmlns:a16="http://schemas.microsoft.com/office/drawing/2014/main" id="{5180C71B-2761-A67A-4CAF-0B244B18DD4D}"/>
            </a:ext>
          </a:extLst>
        </xdr:cNvPr>
        <xdr:cNvSpPr>
          <a:spLocks noChangeAspect="1" noChangeArrowheads="1"/>
        </xdr:cNvSpPr>
      </xdr:nvSpPr>
      <xdr:spPr bwMode="auto">
        <a:xfrm>
          <a:off x="200025" y="1870890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1746</xdr:row>
      <xdr:rowOff>0</xdr:rowOff>
    </xdr:from>
    <xdr:to>
      <xdr:col>1</xdr:col>
      <xdr:colOff>304800</xdr:colOff>
      <xdr:row>1746</xdr:row>
      <xdr:rowOff>306160</xdr:rowOff>
    </xdr:to>
    <xdr:sp macro="" textlink="">
      <xdr:nvSpPr>
        <xdr:cNvPr id="6436" name="AutoShape 292" descr="Tombstone">
          <a:extLst>
            <a:ext uri="{FF2B5EF4-FFF2-40B4-BE49-F238E27FC236}">
              <a16:creationId xmlns:a16="http://schemas.microsoft.com/office/drawing/2014/main" id="{CB8D8DF4-95ED-F7AE-6911-20AF8C9367B4}"/>
            </a:ext>
          </a:extLst>
        </xdr:cNvPr>
        <xdr:cNvSpPr>
          <a:spLocks noChangeAspect="1" noChangeArrowheads="1"/>
        </xdr:cNvSpPr>
      </xdr:nvSpPr>
      <xdr:spPr bwMode="auto">
        <a:xfrm>
          <a:off x="200025" y="1877244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1752</xdr:row>
      <xdr:rowOff>0</xdr:rowOff>
    </xdr:from>
    <xdr:to>
      <xdr:col>1</xdr:col>
      <xdr:colOff>304800</xdr:colOff>
      <xdr:row>1752</xdr:row>
      <xdr:rowOff>306160</xdr:rowOff>
    </xdr:to>
    <xdr:sp macro="" textlink="">
      <xdr:nvSpPr>
        <xdr:cNvPr id="6437" name="AutoShape 293" descr="Tombstone">
          <a:extLst>
            <a:ext uri="{FF2B5EF4-FFF2-40B4-BE49-F238E27FC236}">
              <a16:creationId xmlns:a16="http://schemas.microsoft.com/office/drawing/2014/main" id="{FE518D6B-8267-DA6C-A88F-98243581409A}"/>
            </a:ext>
          </a:extLst>
        </xdr:cNvPr>
        <xdr:cNvSpPr>
          <a:spLocks noChangeAspect="1" noChangeArrowheads="1"/>
        </xdr:cNvSpPr>
      </xdr:nvSpPr>
      <xdr:spPr bwMode="auto">
        <a:xfrm>
          <a:off x="200025" y="1883978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1758</xdr:row>
      <xdr:rowOff>0</xdr:rowOff>
    </xdr:from>
    <xdr:to>
      <xdr:col>1</xdr:col>
      <xdr:colOff>304800</xdr:colOff>
      <xdr:row>1758</xdr:row>
      <xdr:rowOff>306160</xdr:rowOff>
    </xdr:to>
    <xdr:sp macro="" textlink="">
      <xdr:nvSpPr>
        <xdr:cNvPr id="6438" name="AutoShape 294" descr="Tombstone">
          <a:extLst>
            <a:ext uri="{FF2B5EF4-FFF2-40B4-BE49-F238E27FC236}">
              <a16:creationId xmlns:a16="http://schemas.microsoft.com/office/drawing/2014/main" id="{7B584875-516A-6E1D-45B0-A5A94CF9DB74}"/>
            </a:ext>
          </a:extLst>
        </xdr:cNvPr>
        <xdr:cNvSpPr>
          <a:spLocks noChangeAspect="1" noChangeArrowheads="1"/>
        </xdr:cNvSpPr>
      </xdr:nvSpPr>
      <xdr:spPr bwMode="auto">
        <a:xfrm>
          <a:off x="200025" y="189071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1764</xdr:row>
      <xdr:rowOff>0</xdr:rowOff>
    </xdr:from>
    <xdr:to>
      <xdr:col>1</xdr:col>
      <xdr:colOff>304800</xdr:colOff>
      <xdr:row>1764</xdr:row>
      <xdr:rowOff>306160</xdr:rowOff>
    </xdr:to>
    <xdr:sp macro="" textlink="">
      <xdr:nvSpPr>
        <xdr:cNvPr id="6439" name="AutoShape 295" descr="Tombstone">
          <a:extLst>
            <a:ext uri="{FF2B5EF4-FFF2-40B4-BE49-F238E27FC236}">
              <a16:creationId xmlns:a16="http://schemas.microsoft.com/office/drawing/2014/main" id="{1F2E6460-9542-DEF6-4F86-7401C62DD26D}"/>
            </a:ext>
          </a:extLst>
        </xdr:cNvPr>
        <xdr:cNvSpPr>
          <a:spLocks noChangeAspect="1" noChangeArrowheads="1"/>
        </xdr:cNvSpPr>
      </xdr:nvSpPr>
      <xdr:spPr bwMode="auto">
        <a:xfrm>
          <a:off x="200025" y="1897322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1770</xdr:row>
      <xdr:rowOff>0</xdr:rowOff>
    </xdr:from>
    <xdr:to>
      <xdr:col>1</xdr:col>
      <xdr:colOff>304800</xdr:colOff>
      <xdr:row>1770</xdr:row>
      <xdr:rowOff>306160</xdr:rowOff>
    </xdr:to>
    <xdr:sp macro="" textlink="">
      <xdr:nvSpPr>
        <xdr:cNvPr id="6440" name="AutoShape 296" descr="Tombstone">
          <a:extLst>
            <a:ext uri="{FF2B5EF4-FFF2-40B4-BE49-F238E27FC236}">
              <a16:creationId xmlns:a16="http://schemas.microsoft.com/office/drawing/2014/main" id="{6B102188-1274-083A-6AF8-401A26DDC029}"/>
            </a:ext>
          </a:extLst>
        </xdr:cNvPr>
        <xdr:cNvSpPr>
          <a:spLocks noChangeAspect="1" noChangeArrowheads="1"/>
        </xdr:cNvSpPr>
      </xdr:nvSpPr>
      <xdr:spPr bwMode="auto">
        <a:xfrm>
          <a:off x="200025" y="1901923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1776</xdr:row>
      <xdr:rowOff>0</xdr:rowOff>
    </xdr:from>
    <xdr:to>
      <xdr:col>1</xdr:col>
      <xdr:colOff>304800</xdr:colOff>
      <xdr:row>1776</xdr:row>
      <xdr:rowOff>306160</xdr:rowOff>
    </xdr:to>
    <xdr:sp macro="" textlink="">
      <xdr:nvSpPr>
        <xdr:cNvPr id="6441" name="AutoShape 297" descr="Tombstone">
          <a:extLst>
            <a:ext uri="{FF2B5EF4-FFF2-40B4-BE49-F238E27FC236}">
              <a16:creationId xmlns:a16="http://schemas.microsoft.com/office/drawing/2014/main" id="{A65887AC-D98E-4F62-F918-29A9D0D658D7}"/>
            </a:ext>
          </a:extLst>
        </xdr:cNvPr>
        <xdr:cNvSpPr>
          <a:spLocks noChangeAspect="1" noChangeArrowheads="1"/>
        </xdr:cNvSpPr>
      </xdr:nvSpPr>
      <xdr:spPr bwMode="auto">
        <a:xfrm>
          <a:off x="200025" y="1905971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1782</xdr:row>
      <xdr:rowOff>0</xdr:rowOff>
    </xdr:from>
    <xdr:to>
      <xdr:col>1</xdr:col>
      <xdr:colOff>304800</xdr:colOff>
      <xdr:row>1782</xdr:row>
      <xdr:rowOff>306160</xdr:rowOff>
    </xdr:to>
    <xdr:sp macro="" textlink="">
      <xdr:nvSpPr>
        <xdr:cNvPr id="6442" name="AutoShape 298" descr="Tombstone">
          <a:extLst>
            <a:ext uri="{FF2B5EF4-FFF2-40B4-BE49-F238E27FC236}">
              <a16:creationId xmlns:a16="http://schemas.microsoft.com/office/drawing/2014/main" id="{8B9BF4B3-1C51-9BE2-DC03-0B39697F0D17}"/>
            </a:ext>
          </a:extLst>
        </xdr:cNvPr>
        <xdr:cNvSpPr>
          <a:spLocks noChangeAspect="1" noChangeArrowheads="1"/>
        </xdr:cNvSpPr>
      </xdr:nvSpPr>
      <xdr:spPr bwMode="auto">
        <a:xfrm>
          <a:off x="200025" y="1912896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19050</xdr:colOff>
      <xdr:row>1</xdr:row>
      <xdr:rowOff>19050</xdr:rowOff>
    </xdr:from>
    <xdr:to>
      <xdr:col>12</xdr:col>
      <xdr:colOff>0</xdr:colOff>
      <xdr:row>32</xdr:row>
      <xdr:rowOff>0</xdr:rowOff>
    </xdr:to>
    <xdr:pic>
      <xdr:nvPicPr>
        <xdr:cNvPr id="2" name="Picture 1">
          <a:extLst>
            <a:ext uri="{FF2B5EF4-FFF2-40B4-BE49-F238E27FC236}">
              <a16:creationId xmlns:a16="http://schemas.microsoft.com/office/drawing/2014/main" id="{B62216F5-AEBF-9543-FE14-BEE5D57A6D42}"/>
            </a:ext>
          </a:extLst>
        </xdr:cNvPr>
        <xdr:cNvPicPr>
          <a:picLocks noChangeAspect="1"/>
        </xdr:cNvPicPr>
      </xdr:nvPicPr>
      <xdr:blipFill>
        <a:blip xmlns:r="http://schemas.openxmlformats.org/officeDocument/2006/relationships" r:embed="rId1"/>
        <a:stretch>
          <a:fillRect/>
        </a:stretch>
      </xdr:blipFill>
      <xdr:spPr>
        <a:xfrm>
          <a:off x="219075" y="200025"/>
          <a:ext cx="6686550" cy="55911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D37A823-7ABE-44C6-9853-EA3EF4EB7662}" name="Table2" displayName="Table2" ref="B16:F269" totalsRowShown="0" headerRowDxfId="18" dataDxfId="17">
  <autoFilter ref="B16:F269" xr:uid="{DD37A823-7ABE-44C6-9853-EA3EF4EB7662}"/>
  <tableColumns count="5">
    <tableColumn id="1" xr3:uid="{1650D3BD-141A-4E6E-8ECF-202CC6EA1E66}" name="Company" dataDxfId="16"/>
    <tableColumn id="2" xr3:uid="{65F84BDA-C659-4B9B-9BB3-D390A9596261}" name="Business" dataDxfId="15"/>
    <tableColumn id="3" xr3:uid="{7559CDD0-D24F-48AC-A504-0E33D1FE4ADB}" name="Price" dataDxfId="14"/>
    <tableColumn id="4" xr3:uid="{6E8F144F-B3A0-4044-957E-86FAB18D9A76}" name="Used as or Integrated With" dataDxfId="13"/>
    <tableColumn id="5" xr3:uid="{D99625E0-9F4C-47EC-A461-3A20913891AE}" name="Date of Acquisition" dataDxfId="12"/>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D9DF823-99BF-4150-B5CB-78FCB0FE4DA1}" name="Table3" displayName="Table3" ref="B3:F13" totalsRowShown="0" headerRowDxfId="11" dataDxfId="10">
  <autoFilter ref="B3:F13" xr:uid="{FD9DF823-99BF-4150-B5CB-78FCB0FE4DA1}"/>
  <tableColumns count="5">
    <tableColumn id="1" xr3:uid="{6AA5C65E-7C58-4FAF-A70C-B0DDA01DFA7E}" name="Company" dataDxfId="9"/>
    <tableColumn id="2" xr3:uid="{710B3D6C-98E6-496A-A0AE-847EDCBA0178}" name="Business" dataDxfId="8"/>
    <tableColumn id="3" xr3:uid="{F1BE8586-1FF6-4140-B1BA-EB81CD8240C3}" name="Price" dataDxfId="7"/>
    <tableColumn id="4" xr3:uid="{0D6D90B3-3E4D-4129-B065-5C6149599FAA}" name="Used as or Integrated With" dataDxfId="6"/>
    <tableColumn id="5" xr3:uid="{E6D574D0-F64D-460E-B406-8D3F89138FAE}" name="Date of Acquisition" dataDxfId="5"/>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hyperlink" Target="OPRA_Model.xlsx" TargetMode="External"/><Relationship Id="rId13" Type="http://schemas.openxmlformats.org/officeDocument/2006/relationships/hyperlink" Target="https://www.sec.gov/edgar/browse/?CIK=1652044&amp;owner=exclude" TargetMode="External"/><Relationship Id="rId3" Type="http://schemas.openxmlformats.org/officeDocument/2006/relationships/hyperlink" Target="https://stockanalysis.com/stocks/googl/" TargetMode="External"/><Relationship Id="rId7" Type="http://schemas.openxmlformats.org/officeDocument/2006/relationships/hyperlink" Target="https://youtu.be/rulGP9cqS4w?si=MsfN_5tCXlkbm57A" TargetMode="External"/><Relationship Id="rId12" Type="http://schemas.openxmlformats.org/officeDocument/2006/relationships/hyperlink" Target="https://www.youtube.com/watch?v=brXly99OHUw&amp;t=23s&amp;ab_channel=CNBCTelevision" TargetMode="External"/><Relationship Id="rId2" Type="http://schemas.openxmlformats.org/officeDocument/2006/relationships/hyperlink" Target="https://seekingalpha.com/symbol/GOOGL/earnings/transcripts" TargetMode="External"/><Relationship Id="rId1" Type="http://schemas.openxmlformats.org/officeDocument/2006/relationships/hyperlink" Target="https://abc.xyz/investor/" TargetMode="External"/><Relationship Id="rId6" Type="http://schemas.openxmlformats.org/officeDocument/2006/relationships/hyperlink" Target="https://www.macrotrends.net/stocks/charts/GOOGL/alphabet/financial-statements" TargetMode="External"/><Relationship Id="rId11" Type="http://schemas.openxmlformats.org/officeDocument/2006/relationships/hyperlink" Target="https://www.gurufocus.com/term/roic/GOOGL" TargetMode="External"/><Relationship Id="rId5" Type="http://schemas.openxmlformats.org/officeDocument/2006/relationships/hyperlink" Target="mailto:investor-relations@abc.xyz" TargetMode="External"/><Relationship Id="rId10" Type="http://schemas.openxmlformats.org/officeDocument/2006/relationships/hyperlink" Target="..\Technology\MSFT_Model.xlsx" TargetMode="External"/><Relationship Id="rId4" Type="http://schemas.openxmlformats.org/officeDocument/2006/relationships/hyperlink" Target="https://app.godelterminal.com/" TargetMode="External"/><Relationship Id="rId9" Type="http://schemas.openxmlformats.org/officeDocument/2006/relationships/hyperlink" Target="..\Technology\MSFT_Model.xlsx" TargetMode="Externa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8" Type="http://schemas.openxmlformats.org/officeDocument/2006/relationships/hyperlink" Target="https://www.mirrorreview.com/cloud-computing-in-software-development/" TargetMode="External"/><Relationship Id="rId13" Type="http://schemas.openxmlformats.org/officeDocument/2006/relationships/table" Target="../tables/table1.xml"/><Relationship Id="rId3" Type="http://schemas.openxmlformats.org/officeDocument/2006/relationships/hyperlink" Target="https://www.youtube.com/" TargetMode="External"/><Relationship Id="rId7" Type="http://schemas.openxmlformats.org/officeDocument/2006/relationships/hyperlink" Target="https://www.mirrorreview.com/face-recognition/" TargetMode="External"/><Relationship Id="rId12" Type="http://schemas.openxmlformats.org/officeDocument/2006/relationships/drawing" Target="../drawings/drawing4.xml"/><Relationship Id="rId2" Type="http://schemas.openxmlformats.org/officeDocument/2006/relationships/hyperlink" Target="https://www.forex.com/en-us/news-and-analysis/google-acquisition-history/" TargetMode="External"/><Relationship Id="rId1" Type="http://schemas.openxmlformats.org/officeDocument/2006/relationships/hyperlink" Target="https://www.google.com/recaptcha/about/" TargetMode="External"/><Relationship Id="rId6" Type="http://schemas.openxmlformats.org/officeDocument/2006/relationships/hyperlink" Target="https://www.mirrorreview.com/e-books-vs-print/" TargetMode="External"/><Relationship Id="rId11" Type="http://schemas.openxmlformats.org/officeDocument/2006/relationships/hyperlink" Target="https://pz.harvard.edu/" TargetMode="External"/><Relationship Id="rId5" Type="http://schemas.openxmlformats.org/officeDocument/2006/relationships/hyperlink" Target="https://www.mirrorreview.com/3d-modeling-software/" TargetMode="External"/><Relationship Id="rId10" Type="http://schemas.openxmlformats.org/officeDocument/2006/relationships/hyperlink" Target="https://picasa.google.co.in/" TargetMode="External"/><Relationship Id="rId4" Type="http://schemas.openxmlformats.org/officeDocument/2006/relationships/hyperlink" Target="https://www.mirrorreview.com/ai-and-blogging/" TargetMode="External"/><Relationship Id="rId9" Type="http://schemas.openxmlformats.org/officeDocument/2006/relationships/hyperlink" Target="https://www.mirrorreview.com/iot-mobile-app-development/" TargetMode="External"/><Relationship Id="rId14"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killedbygoogle.com/"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390"/>
  <sheetViews>
    <sheetView zoomScale="70" zoomScaleNormal="70" workbookViewId="0">
      <selection activeCell="B20" sqref="B20"/>
    </sheetView>
  </sheetViews>
  <sheetFormatPr defaultColWidth="9.140625" defaultRowHeight="14.25"/>
  <cols>
    <col min="1" max="1" width="2.85546875" style="1" customWidth="1"/>
    <col min="2" max="2" width="9.140625" style="1" customWidth="1"/>
    <col min="3" max="3" width="14.42578125" style="1" customWidth="1"/>
    <col min="4" max="4" width="9.140625" style="1" customWidth="1"/>
    <col min="5" max="8" width="9.140625" style="1"/>
    <col min="9" max="9" width="9.140625" style="1" customWidth="1"/>
    <col min="10" max="16384" width="9.140625" style="1"/>
  </cols>
  <sheetData>
    <row r="1" spans="2:45">
      <c r="AS1" s="1">
        <v>0</v>
      </c>
    </row>
    <row r="2" spans="2:45" ht="15">
      <c r="B2" s="2" t="s">
        <v>267</v>
      </c>
    </row>
    <row r="3" spans="2:45">
      <c r="B3" s="1" t="s">
        <v>0</v>
      </c>
      <c r="C3" s="104">
        <v>329.4</v>
      </c>
      <c r="D3" s="31" t="s">
        <v>4220</v>
      </c>
    </row>
    <row r="4" spans="2:45">
      <c r="B4" s="1" t="s">
        <v>1</v>
      </c>
      <c r="C4" s="64">
        <v>12086</v>
      </c>
      <c r="D4" s="105" t="s">
        <v>3199</v>
      </c>
    </row>
    <row r="5" spans="2:45">
      <c r="B5" s="1" t="s">
        <v>2</v>
      </c>
      <c r="C5" s="106">
        <f>C3*C4</f>
        <v>3981128.4</v>
      </c>
    </row>
    <row r="6" spans="2:45">
      <c r="B6" s="1" t="s">
        <v>3</v>
      </c>
      <c r="C6" s="106">
        <f>23090+75406</f>
        <v>98496</v>
      </c>
      <c r="D6" s="105" t="s">
        <v>3199</v>
      </c>
    </row>
    <row r="7" spans="2:45">
      <c r="B7" s="1" t="s">
        <v>4</v>
      </c>
      <c r="C7" s="106">
        <v>21607</v>
      </c>
      <c r="D7" s="105" t="s">
        <v>3199</v>
      </c>
    </row>
    <row r="8" spans="2:45">
      <c r="B8" s="1" t="s">
        <v>5</v>
      </c>
      <c r="C8" s="106">
        <f>C5-C6+C7</f>
        <v>3904239.4</v>
      </c>
      <c r="D8" s="105"/>
    </row>
    <row r="10" spans="2:45" ht="15">
      <c r="B10" s="2" t="s">
        <v>268</v>
      </c>
    </row>
    <row r="12" spans="2:45">
      <c r="B12" s="1" t="s">
        <v>2857</v>
      </c>
      <c r="G12" s="1" t="s">
        <v>96</v>
      </c>
      <c r="O12" s="1" t="s">
        <v>88</v>
      </c>
    </row>
    <row r="13" spans="2:45">
      <c r="B13" s="1" t="s">
        <v>97</v>
      </c>
      <c r="G13" s="1" t="s">
        <v>2985</v>
      </c>
      <c r="O13" s="1" t="s">
        <v>7</v>
      </c>
      <c r="Q13" s="107" t="s">
        <v>269</v>
      </c>
    </row>
    <row r="14" spans="2:45">
      <c r="B14" s="1" t="s">
        <v>2942</v>
      </c>
      <c r="G14" s="1" t="s">
        <v>6</v>
      </c>
      <c r="O14" s="1" t="s">
        <v>91</v>
      </c>
      <c r="Q14" s="107" t="s">
        <v>92</v>
      </c>
    </row>
    <row r="15" spans="2:45">
      <c r="B15" s="1" t="s">
        <v>99</v>
      </c>
      <c r="G15" s="1" t="s">
        <v>2847</v>
      </c>
      <c r="O15" s="1" t="s">
        <v>89</v>
      </c>
      <c r="Q15" s="107" t="s">
        <v>93</v>
      </c>
    </row>
    <row r="16" spans="2:45">
      <c r="B16" s="1" t="s">
        <v>290</v>
      </c>
      <c r="G16" s="1" t="s">
        <v>2828</v>
      </c>
      <c r="H16" s="1" t="s">
        <v>2827</v>
      </c>
      <c r="J16" s="1" t="s">
        <v>86</v>
      </c>
      <c r="K16" s="107" t="s">
        <v>98</v>
      </c>
      <c r="O16" s="1" t="s">
        <v>90</v>
      </c>
      <c r="Q16" s="107" t="s">
        <v>94</v>
      </c>
    </row>
    <row r="17" spans="1:17">
      <c r="B17" s="1" t="s">
        <v>109</v>
      </c>
      <c r="O17" s="1" t="s">
        <v>111</v>
      </c>
      <c r="Q17" s="107" t="s">
        <v>110</v>
      </c>
    </row>
    <row r="18" spans="1:17">
      <c r="B18" s="1" t="s">
        <v>108</v>
      </c>
      <c r="O18" s="1" t="s">
        <v>2830</v>
      </c>
      <c r="Q18" s="107" t="s">
        <v>2829</v>
      </c>
    </row>
    <row r="19" spans="1:17">
      <c r="B19" s="1" t="s">
        <v>1966</v>
      </c>
      <c r="O19" s="1" t="s">
        <v>8</v>
      </c>
      <c r="Q19" s="107" t="s">
        <v>95</v>
      </c>
    </row>
    <row r="20" spans="1:17">
      <c r="B20" s="1" t="s">
        <v>2999</v>
      </c>
    </row>
    <row r="22" spans="1:17" ht="15">
      <c r="A22" s="2" t="s">
        <v>1972</v>
      </c>
    </row>
    <row r="23" spans="1:17" ht="15">
      <c r="A23" s="2"/>
      <c r="B23" s="2" t="s">
        <v>2856</v>
      </c>
    </row>
    <row r="24" spans="1:17">
      <c r="B24" s="1" t="s">
        <v>2943</v>
      </c>
    </row>
    <row r="25" spans="1:17" ht="15">
      <c r="B25" s="1" t="s">
        <v>1969</v>
      </c>
    </row>
    <row r="26" spans="1:17" ht="15">
      <c r="C26" s="1" t="s">
        <v>250</v>
      </c>
    </row>
    <row r="27" spans="1:17" ht="15">
      <c r="D27" s="1" t="s">
        <v>251</v>
      </c>
    </row>
    <row r="28" spans="1:17" ht="15">
      <c r="C28" s="1" t="s">
        <v>252</v>
      </c>
    </row>
    <row r="29" spans="1:17" ht="15">
      <c r="C29" s="1" t="s">
        <v>253</v>
      </c>
    </row>
    <row r="30" spans="1:17">
      <c r="B30" s="1" t="s">
        <v>254</v>
      </c>
    </row>
    <row r="31" spans="1:17" ht="15">
      <c r="B31" s="1" t="s">
        <v>2944</v>
      </c>
    </row>
    <row r="32" spans="1:17">
      <c r="C32" s="1" t="s">
        <v>2945</v>
      </c>
    </row>
    <row r="33" spans="1:35">
      <c r="B33" s="1" t="s">
        <v>2946</v>
      </c>
    </row>
    <row r="34" spans="1:35" ht="15">
      <c r="A34" s="2"/>
    </row>
    <row r="35" spans="1:35" ht="15">
      <c r="A35" s="2" t="s">
        <v>2998</v>
      </c>
    </row>
    <row r="36" spans="1:35" ht="15">
      <c r="B36" s="1" t="s">
        <v>1970</v>
      </c>
    </row>
    <row r="37" spans="1:35">
      <c r="C37" s="1" t="s">
        <v>1971</v>
      </c>
    </row>
    <row r="38" spans="1:35" ht="15">
      <c r="B38" s="1" t="s">
        <v>1973</v>
      </c>
    </row>
    <row r="39" spans="1:35" ht="15">
      <c r="B39" s="1" t="s">
        <v>3004</v>
      </c>
    </row>
    <row r="40" spans="1:35" ht="15">
      <c r="B40" s="1" t="s">
        <v>3005</v>
      </c>
    </row>
    <row r="41" spans="1:35" ht="15" customHeight="1">
      <c r="C41" s="138" t="s">
        <v>2634</v>
      </c>
      <c r="D41" s="138"/>
      <c r="E41" s="138"/>
      <c r="F41" s="138"/>
      <c r="G41" s="138"/>
      <c r="H41" s="138"/>
      <c r="I41" s="138"/>
      <c r="J41" s="138"/>
      <c r="K41" s="138"/>
      <c r="L41" s="138"/>
      <c r="M41" s="138"/>
      <c r="N41" s="138"/>
      <c r="O41" s="138"/>
      <c r="P41" s="138"/>
      <c r="Q41" s="138"/>
      <c r="R41" s="138"/>
      <c r="S41" s="138"/>
      <c r="T41" s="138"/>
      <c r="U41" s="138"/>
      <c r="V41" s="138"/>
      <c r="W41" s="138"/>
      <c r="X41" s="138"/>
      <c r="Y41" s="138"/>
      <c r="Z41" s="138"/>
      <c r="AA41" s="138"/>
      <c r="AB41" s="138"/>
      <c r="AC41" s="138"/>
      <c r="AD41" s="138"/>
      <c r="AE41" s="138"/>
      <c r="AF41" s="138"/>
      <c r="AG41" s="79"/>
      <c r="AH41" s="79"/>
      <c r="AI41" s="79"/>
    </row>
    <row r="42" spans="1:35" ht="15" customHeight="1">
      <c r="C42" s="138"/>
      <c r="D42" s="138"/>
      <c r="E42" s="138"/>
      <c r="F42" s="138"/>
      <c r="G42" s="138"/>
      <c r="H42" s="138"/>
      <c r="I42" s="138"/>
      <c r="J42" s="138"/>
      <c r="K42" s="138"/>
      <c r="L42" s="138"/>
      <c r="M42" s="138"/>
      <c r="N42" s="138"/>
      <c r="O42" s="138"/>
      <c r="P42" s="138"/>
      <c r="Q42" s="138"/>
      <c r="R42" s="138"/>
      <c r="S42" s="138"/>
      <c r="T42" s="138"/>
      <c r="U42" s="138"/>
      <c r="V42" s="138"/>
      <c r="W42" s="138"/>
      <c r="X42" s="138"/>
      <c r="Y42" s="138"/>
      <c r="Z42" s="138"/>
      <c r="AA42" s="138"/>
      <c r="AB42" s="138"/>
      <c r="AC42" s="138"/>
      <c r="AD42" s="138"/>
      <c r="AE42" s="138"/>
      <c r="AF42" s="138"/>
      <c r="AG42" s="79"/>
      <c r="AH42" s="79"/>
      <c r="AI42" s="79"/>
    </row>
    <row r="43" spans="1:35" ht="15" customHeight="1">
      <c r="C43" s="138"/>
      <c r="D43" s="138"/>
      <c r="E43" s="138"/>
      <c r="F43" s="138"/>
      <c r="G43" s="138"/>
      <c r="H43" s="138"/>
      <c r="I43" s="138"/>
      <c r="J43" s="138"/>
      <c r="K43" s="138"/>
      <c r="L43" s="138"/>
      <c r="M43" s="138"/>
      <c r="N43" s="138"/>
      <c r="O43" s="138"/>
      <c r="P43" s="138"/>
      <c r="Q43" s="138"/>
      <c r="R43" s="138"/>
      <c r="S43" s="138"/>
      <c r="T43" s="138"/>
      <c r="U43" s="138"/>
      <c r="V43" s="138"/>
      <c r="W43" s="138"/>
      <c r="X43" s="138"/>
      <c r="Y43" s="138"/>
      <c r="Z43" s="138"/>
      <c r="AA43" s="138"/>
      <c r="AB43" s="138"/>
      <c r="AC43" s="138"/>
      <c r="AD43" s="138"/>
      <c r="AE43" s="138"/>
      <c r="AF43" s="138"/>
      <c r="AG43" s="79"/>
      <c r="AH43" s="79"/>
      <c r="AI43" s="79"/>
    </row>
    <row r="44" spans="1:35" ht="15" customHeight="1">
      <c r="C44" s="138"/>
      <c r="D44" s="138"/>
      <c r="E44" s="138"/>
      <c r="F44" s="138"/>
      <c r="G44" s="138"/>
      <c r="H44" s="138"/>
      <c r="I44" s="138"/>
      <c r="J44" s="138"/>
      <c r="K44" s="138"/>
      <c r="L44" s="138"/>
      <c r="M44" s="138"/>
      <c r="N44" s="138"/>
      <c r="O44" s="138"/>
      <c r="P44" s="138"/>
      <c r="Q44" s="138"/>
      <c r="R44" s="138"/>
      <c r="S44" s="138"/>
      <c r="T44" s="138"/>
      <c r="U44" s="138"/>
      <c r="V44" s="138"/>
      <c r="W44" s="138"/>
      <c r="X44" s="138"/>
      <c r="Y44" s="138"/>
      <c r="Z44" s="138"/>
      <c r="AA44" s="138"/>
      <c r="AB44" s="138"/>
      <c r="AC44" s="138"/>
      <c r="AD44" s="138"/>
      <c r="AE44" s="138"/>
      <c r="AF44" s="138"/>
      <c r="AG44" s="79"/>
      <c r="AH44" s="79"/>
      <c r="AI44" s="79"/>
    </row>
    <row r="45" spans="1:35" ht="15" customHeight="1">
      <c r="C45" s="138"/>
      <c r="D45" s="138"/>
      <c r="E45" s="138"/>
      <c r="F45" s="138"/>
      <c r="G45" s="138"/>
      <c r="H45" s="138"/>
      <c r="I45" s="138"/>
      <c r="J45" s="138"/>
      <c r="K45" s="138"/>
      <c r="L45" s="138"/>
      <c r="M45" s="138"/>
      <c r="N45" s="138"/>
      <c r="O45" s="138"/>
      <c r="P45" s="138"/>
      <c r="Q45" s="138"/>
      <c r="R45" s="138"/>
      <c r="S45" s="138"/>
      <c r="T45" s="138"/>
      <c r="U45" s="138"/>
      <c r="V45" s="138"/>
      <c r="W45" s="138"/>
      <c r="X45" s="138"/>
      <c r="Y45" s="138"/>
      <c r="Z45" s="138"/>
      <c r="AA45" s="138"/>
      <c r="AB45" s="138"/>
      <c r="AC45" s="138"/>
      <c r="AD45" s="138"/>
      <c r="AE45" s="138"/>
      <c r="AF45" s="138"/>
      <c r="AG45" s="79"/>
      <c r="AH45" s="79"/>
      <c r="AI45" s="79"/>
    </row>
    <row r="46" spans="1:35" ht="15" customHeight="1">
      <c r="C46" s="107" t="s">
        <v>1974</v>
      </c>
    </row>
    <row r="47" spans="1:35" ht="15">
      <c r="B47" s="2" t="s">
        <v>2650</v>
      </c>
    </row>
    <row r="48" spans="1:35">
      <c r="C48" s="1" t="s">
        <v>2630</v>
      </c>
    </row>
    <row r="49" spans="2:6" ht="15">
      <c r="D49" s="1" t="s">
        <v>2631</v>
      </c>
    </row>
    <row r="50" spans="2:6">
      <c r="D50" s="1" t="s">
        <v>2632</v>
      </c>
    </row>
    <row r="51" spans="2:6">
      <c r="D51" s="1" t="s">
        <v>2633</v>
      </c>
    </row>
    <row r="52" spans="2:6">
      <c r="D52" s="1" t="s">
        <v>2635</v>
      </c>
    </row>
    <row r="53" spans="2:6" ht="15">
      <c r="B53" s="2" t="s">
        <v>2651</v>
      </c>
    </row>
    <row r="54" spans="2:6">
      <c r="C54" s="1" t="s">
        <v>2652</v>
      </c>
    </row>
    <row r="55" spans="2:6">
      <c r="D55" s="1" t="s">
        <v>2653</v>
      </c>
    </row>
    <row r="56" spans="2:6">
      <c r="D56" s="1" t="s">
        <v>2654</v>
      </c>
    </row>
    <row r="57" spans="2:6">
      <c r="F57" s="1" t="s">
        <v>2655</v>
      </c>
    </row>
    <row r="58" spans="2:6">
      <c r="F58" s="1" t="s">
        <v>2656</v>
      </c>
    </row>
    <row r="59" spans="2:6">
      <c r="F59" s="1" t="s">
        <v>2657</v>
      </c>
    </row>
    <row r="60" spans="2:6">
      <c r="F60" s="1" t="s">
        <v>2658</v>
      </c>
    </row>
    <row r="61" spans="2:6">
      <c r="E61" s="1" t="s">
        <v>2787</v>
      </c>
    </row>
    <row r="62" spans="2:6">
      <c r="E62" s="1" t="s">
        <v>2788</v>
      </c>
    </row>
    <row r="63" spans="2:6">
      <c r="D63" s="1" t="s">
        <v>2659</v>
      </c>
    </row>
    <row r="64" spans="2:6">
      <c r="E64" s="1" t="s">
        <v>2663</v>
      </c>
    </row>
    <row r="65" spans="2:6">
      <c r="D65" s="1" t="s">
        <v>2660</v>
      </c>
    </row>
    <row r="66" spans="2:6">
      <c r="D66" s="1" t="s">
        <v>2661</v>
      </c>
    </row>
    <row r="67" spans="2:6" ht="15">
      <c r="B67" s="2" t="s">
        <v>2662</v>
      </c>
    </row>
    <row r="68" spans="2:6">
      <c r="C68" s="1" t="s">
        <v>2671</v>
      </c>
    </row>
    <row r="69" spans="2:6">
      <c r="D69" s="1" t="s">
        <v>2664</v>
      </c>
    </row>
    <row r="70" spans="2:6">
      <c r="E70" s="1" t="s">
        <v>2665</v>
      </c>
    </row>
    <row r="71" spans="2:6">
      <c r="E71" s="1" t="s">
        <v>2666</v>
      </c>
    </row>
    <row r="72" spans="2:6">
      <c r="F72" s="1" t="s">
        <v>2667</v>
      </c>
    </row>
    <row r="73" spans="2:6">
      <c r="D73" s="1" t="s">
        <v>2668</v>
      </c>
    </row>
    <row r="74" spans="2:6">
      <c r="D74" s="1" t="s">
        <v>2669</v>
      </c>
    </row>
    <row r="75" spans="2:6">
      <c r="D75" s="1" t="s">
        <v>2670</v>
      </c>
    </row>
    <row r="76" spans="2:6" ht="15">
      <c r="B76" s="2" t="s">
        <v>2672</v>
      </c>
    </row>
    <row r="77" spans="2:6">
      <c r="C77" s="1" t="s">
        <v>2673</v>
      </c>
    </row>
    <row r="78" spans="2:6">
      <c r="D78" s="1" t="s">
        <v>2674</v>
      </c>
    </row>
    <row r="79" spans="2:6">
      <c r="D79" s="1" t="s">
        <v>2675</v>
      </c>
    </row>
    <row r="80" spans="2:6">
      <c r="D80" s="1" t="s">
        <v>2676</v>
      </c>
    </row>
    <row r="81" spans="2:5">
      <c r="D81" s="1" t="s">
        <v>2677</v>
      </c>
    </row>
    <row r="82" spans="2:5">
      <c r="D82" s="1" t="s">
        <v>2678</v>
      </c>
    </row>
    <row r="83" spans="2:5" ht="15">
      <c r="B83" s="2" t="s">
        <v>2679</v>
      </c>
    </row>
    <row r="84" spans="2:5">
      <c r="C84" s="1" t="s">
        <v>2680</v>
      </c>
    </row>
    <row r="85" spans="2:5">
      <c r="D85" s="1" t="s">
        <v>2681</v>
      </c>
    </row>
    <row r="86" spans="2:5">
      <c r="D86" s="1" t="s">
        <v>2682</v>
      </c>
    </row>
    <row r="87" spans="2:5">
      <c r="E87" s="1" t="s">
        <v>2683</v>
      </c>
    </row>
    <row r="88" spans="2:5">
      <c r="D88" s="1" t="s">
        <v>2684</v>
      </c>
    </row>
    <row r="89" spans="2:5">
      <c r="E89" s="1" t="s">
        <v>2685</v>
      </c>
    </row>
    <row r="90" spans="2:5">
      <c r="D90" s="1" t="s">
        <v>2686</v>
      </c>
    </row>
    <row r="91" spans="2:5">
      <c r="E91" s="1" t="s">
        <v>2687</v>
      </c>
    </row>
    <row r="92" spans="2:5" ht="15">
      <c r="B92" s="2" t="s">
        <v>2688</v>
      </c>
    </row>
    <row r="93" spans="2:5">
      <c r="C93" s="1" t="s">
        <v>2689</v>
      </c>
    </row>
    <row r="94" spans="2:5">
      <c r="D94" s="1" t="s">
        <v>2690</v>
      </c>
    </row>
    <row r="95" spans="2:5">
      <c r="D95" s="1" t="s">
        <v>2691</v>
      </c>
    </row>
    <row r="96" spans="2:5">
      <c r="E96" s="1" t="s">
        <v>2692</v>
      </c>
    </row>
    <row r="97" spans="2:5" ht="15">
      <c r="B97" s="2" t="s">
        <v>2693</v>
      </c>
    </row>
    <row r="98" spans="2:5">
      <c r="C98" s="1" t="s">
        <v>2694</v>
      </c>
    </row>
    <row r="99" spans="2:5">
      <c r="D99" s="1" t="s">
        <v>2695</v>
      </c>
    </row>
    <row r="100" spans="2:5">
      <c r="D100" s="1" t="s">
        <v>2696</v>
      </c>
    </row>
    <row r="101" spans="2:5">
      <c r="D101" s="1" t="s">
        <v>2697</v>
      </c>
    </row>
    <row r="102" spans="2:5">
      <c r="C102" s="1" t="s">
        <v>2698</v>
      </c>
    </row>
    <row r="103" spans="2:5">
      <c r="C103" s="1" t="s">
        <v>2699</v>
      </c>
    </row>
    <row r="104" spans="2:5">
      <c r="D104" s="1" t="s">
        <v>2700</v>
      </c>
    </row>
    <row r="105" spans="2:5">
      <c r="D105" s="1" t="s">
        <v>2701</v>
      </c>
    </row>
    <row r="106" spans="2:5">
      <c r="D106" s="1" t="s">
        <v>2702</v>
      </c>
    </row>
    <row r="107" spans="2:5" ht="15" customHeight="1">
      <c r="E107" s="1" t="s">
        <v>2789</v>
      </c>
    </row>
    <row r="108" spans="2:5">
      <c r="E108" s="1" t="s">
        <v>2790</v>
      </c>
    </row>
    <row r="109" spans="2:5" ht="15">
      <c r="B109" s="2" t="s">
        <v>2703</v>
      </c>
    </row>
    <row r="110" spans="2:5">
      <c r="C110" s="1" t="s">
        <v>2704</v>
      </c>
    </row>
    <row r="111" spans="2:5">
      <c r="D111" s="1" t="s">
        <v>2705</v>
      </c>
    </row>
    <row r="112" spans="2:5">
      <c r="D112" s="1" t="s">
        <v>2706</v>
      </c>
    </row>
    <row r="114" spans="1:5" ht="15">
      <c r="A114" s="2" t="s">
        <v>2707</v>
      </c>
    </row>
    <row r="115" spans="1:5" ht="15">
      <c r="B115" s="2" t="s">
        <v>2708</v>
      </c>
    </row>
    <row r="116" spans="1:5">
      <c r="C116" s="1" t="s">
        <v>2709</v>
      </c>
    </row>
    <row r="117" spans="1:5">
      <c r="D117" s="1" t="s">
        <v>2710</v>
      </c>
    </row>
    <row r="118" spans="1:5">
      <c r="D118" s="1" t="s">
        <v>2711</v>
      </c>
    </row>
    <row r="119" spans="1:5">
      <c r="C119" s="1" t="s">
        <v>2712</v>
      </c>
    </row>
    <row r="120" spans="1:5">
      <c r="D120" s="1" t="s">
        <v>2713</v>
      </c>
    </row>
    <row r="121" spans="1:5">
      <c r="D121" s="1" t="s">
        <v>2714</v>
      </c>
    </row>
    <row r="122" spans="1:5">
      <c r="D122" s="1" t="s">
        <v>2715</v>
      </c>
    </row>
    <row r="123" spans="1:5">
      <c r="D123" s="1" t="s">
        <v>2716</v>
      </c>
    </row>
    <row r="124" spans="1:5">
      <c r="C124" s="1" t="s">
        <v>2717</v>
      </c>
    </row>
    <row r="125" spans="1:5">
      <c r="D125" s="1" t="s">
        <v>2718</v>
      </c>
    </row>
    <row r="126" spans="1:5">
      <c r="D126" s="1" t="s">
        <v>2719</v>
      </c>
    </row>
    <row r="127" spans="1:5">
      <c r="E127" s="1" t="s">
        <v>2720</v>
      </c>
    </row>
    <row r="128" spans="1:5">
      <c r="D128" s="1" t="s">
        <v>2721</v>
      </c>
    </row>
    <row r="129" spans="1:5">
      <c r="C129" s="1" t="s">
        <v>2722</v>
      </c>
    </row>
    <row r="130" spans="1:5" ht="15">
      <c r="D130" s="1" t="s">
        <v>2723</v>
      </c>
    </row>
    <row r="131" spans="1:5">
      <c r="D131" s="1" t="s">
        <v>2724</v>
      </c>
    </row>
    <row r="132" spans="1:5">
      <c r="E132" s="1" t="s">
        <v>2791</v>
      </c>
    </row>
    <row r="133" spans="1:5">
      <c r="C133" s="1" t="s">
        <v>2726</v>
      </c>
    </row>
    <row r="134" spans="1:5">
      <c r="D134" s="1" t="s">
        <v>2727</v>
      </c>
    </row>
    <row r="135" spans="1:5">
      <c r="D135" s="1" t="s">
        <v>3197</v>
      </c>
    </row>
    <row r="136" spans="1:5">
      <c r="E136" s="1" t="s">
        <v>3198</v>
      </c>
    </row>
    <row r="138" spans="1:5" ht="15">
      <c r="A138" s="2" t="s">
        <v>2731</v>
      </c>
    </row>
    <row r="139" spans="1:5" ht="15">
      <c r="B139" s="2" t="s">
        <v>256</v>
      </c>
    </row>
    <row r="140" spans="1:5">
      <c r="C140" s="1" t="s">
        <v>156</v>
      </c>
    </row>
    <row r="141" spans="1:5" ht="15">
      <c r="D141" s="1" t="s">
        <v>1968</v>
      </c>
    </row>
    <row r="142" spans="1:5" ht="15">
      <c r="D142" s="1" t="s">
        <v>171</v>
      </c>
    </row>
    <row r="143" spans="1:5" ht="15">
      <c r="E143" s="1" t="s">
        <v>2636</v>
      </c>
    </row>
    <row r="144" spans="1:5" ht="15">
      <c r="D144" s="2" t="s">
        <v>169</v>
      </c>
    </row>
    <row r="145" spans="3:5">
      <c r="E145" s="1" t="s">
        <v>170</v>
      </c>
    </row>
    <row r="146" spans="3:5">
      <c r="C146" s="1" t="s">
        <v>155</v>
      </c>
    </row>
    <row r="147" spans="3:5" ht="15">
      <c r="D147" s="1" t="s">
        <v>166</v>
      </c>
    </row>
    <row r="148" spans="3:5">
      <c r="D148" s="1" t="s">
        <v>167</v>
      </c>
    </row>
    <row r="149" spans="3:5" ht="15">
      <c r="E149" s="2" t="s">
        <v>174</v>
      </c>
    </row>
    <row r="150" spans="3:5">
      <c r="D150" s="1" t="s">
        <v>1967</v>
      </c>
    </row>
    <row r="151" spans="3:5">
      <c r="E151" s="1" t="s">
        <v>168</v>
      </c>
    </row>
    <row r="152" spans="3:5">
      <c r="C152" s="1" t="s">
        <v>159</v>
      </c>
    </row>
    <row r="153" spans="3:5" ht="15">
      <c r="D153" s="1" t="s">
        <v>182</v>
      </c>
    </row>
    <row r="154" spans="3:5">
      <c r="D154" s="1" t="s">
        <v>183</v>
      </c>
    </row>
    <row r="155" spans="3:5">
      <c r="E155" s="1" t="s">
        <v>184</v>
      </c>
    </row>
    <row r="156" spans="3:5">
      <c r="D156" s="1" t="s">
        <v>185</v>
      </c>
    </row>
    <row r="157" spans="3:5">
      <c r="C157" s="1" t="s">
        <v>158</v>
      </c>
    </row>
    <row r="158" spans="3:5" ht="15">
      <c r="D158" s="1" t="s">
        <v>177</v>
      </c>
    </row>
    <row r="159" spans="3:5">
      <c r="D159" s="1" t="s">
        <v>175</v>
      </c>
    </row>
    <row r="160" spans="3:5">
      <c r="E160" s="1" t="s">
        <v>2637</v>
      </c>
    </row>
    <row r="161" spans="3:6">
      <c r="D161" s="1" t="s">
        <v>176</v>
      </c>
    </row>
    <row r="162" spans="3:6">
      <c r="C162" s="1" t="s">
        <v>157</v>
      </c>
    </row>
    <row r="163" spans="3:6" ht="15">
      <c r="D163" s="1" t="s">
        <v>173</v>
      </c>
    </row>
    <row r="164" spans="3:6">
      <c r="D164" s="1" t="s">
        <v>2638</v>
      </c>
    </row>
    <row r="165" spans="3:6">
      <c r="E165" s="1" t="s">
        <v>2639</v>
      </c>
    </row>
    <row r="166" spans="3:6">
      <c r="D166" s="1" t="s">
        <v>172</v>
      </c>
    </row>
    <row r="167" spans="3:6">
      <c r="C167" s="1" t="s">
        <v>162</v>
      </c>
    </row>
    <row r="168" spans="3:6">
      <c r="D168" s="1" t="s">
        <v>192</v>
      </c>
    </row>
    <row r="169" spans="3:6">
      <c r="D169" s="1" t="s">
        <v>193</v>
      </c>
    </row>
    <row r="170" spans="3:6">
      <c r="E170" s="1" t="s">
        <v>2640</v>
      </c>
    </row>
    <row r="171" spans="3:6">
      <c r="D171" s="1" t="s">
        <v>194</v>
      </c>
    </row>
    <row r="172" spans="3:6">
      <c r="E172" s="1" t="s">
        <v>195</v>
      </c>
    </row>
    <row r="173" spans="3:6">
      <c r="E173" s="1" t="s">
        <v>2641</v>
      </c>
    </row>
    <row r="174" spans="3:6">
      <c r="F174" s="1" t="s">
        <v>196</v>
      </c>
    </row>
    <row r="175" spans="3:6">
      <c r="C175" s="1" t="s">
        <v>165</v>
      </c>
    </row>
    <row r="176" spans="3:6">
      <c r="D176" s="1" t="s">
        <v>178</v>
      </c>
    </row>
    <row r="177" spans="3:6">
      <c r="D177" s="1" t="s">
        <v>179</v>
      </c>
    </row>
    <row r="178" spans="3:6">
      <c r="E178" s="1" t="s">
        <v>2642</v>
      </c>
    </row>
    <row r="179" spans="3:6">
      <c r="F179" s="1" t="s">
        <v>181</v>
      </c>
    </row>
    <row r="180" spans="3:6">
      <c r="F180" s="1" t="s">
        <v>2643</v>
      </c>
    </row>
    <row r="181" spans="3:6">
      <c r="D181" s="1" t="s">
        <v>180</v>
      </c>
    </row>
    <row r="182" spans="3:6">
      <c r="C182" s="1" t="s">
        <v>161</v>
      </c>
    </row>
    <row r="183" spans="3:6">
      <c r="D183" s="1" t="s">
        <v>189</v>
      </c>
    </row>
    <row r="184" spans="3:6">
      <c r="D184" s="1" t="s">
        <v>190</v>
      </c>
    </row>
    <row r="185" spans="3:6">
      <c r="E185" s="1" t="s">
        <v>2644</v>
      </c>
    </row>
    <row r="186" spans="3:6">
      <c r="D186" s="1" t="s">
        <v>191</v>
      </c>
    </row>
    <row r="187" spans="3:6">
      <c r="C187" s="1" t="s">
        <v>160</v>
      </c>
    </row>
    <row r="188" spans="3:6" ht="15">
      <c r="D188" s="1" t="s">
        <v>186</v>
      </c>
    </row>
    <row r="189" spans="3:6">
      <c r="D189" s="1" t="s">
        <v>187</v>
      </c>
    </row>
    <row r="190" spans="3:6">
      <c r="E190" s="1" t="s">
        <v>188</v>
      </c>
    </row>
    <row r="191" spans="3:6">
      <c r="C191" s="1" t="s">
        <v>163</v>
      </c>
    </row>
    <row r="192" spans="3:6">
      <c r="D192" s="1" t="s">
        <v>197</v>
      </c>
    </row>
    <row r="193" spans="2:5">
      <c r="E193" s="1" t="s">
        <v>198</v>
      </c>
    </row>
    <row r="194" spans="2:5">
      <c r="D194" s="1" t="s">
        <v>199</v>
      </c>
    </row>
    <row r="195" spans="2:5">
      <c r="E195" s="1" t="s">
        <v>200</v>
      </c>
    </row>
    <row r="196" spans="2:5">
      <c r="D196" s="1" t="s">
        <v>201</v>
      </c>
    </row>
    <row r="197" spans="2:5">
      <c r="D197" s="1" t="s">
        <v>202</v>
      </c>
    </row>
    <row r="198" spans="2:5">
      <c r="C198" s="1" t="s">
        <v>164</v>
      </c>
    </row>
    <row r="199" spans="2:5">
      <c r="D199" s="1" t="s">
        <v>203</v>
      </c>
    </row>
    <row r="200" spans="2:5">
      <c r="E200" s="1" t="s">
        <v>204</v>
      </c>
    </row>
    <row r="201" spans="2:5">
      <c r="D201" s="1" t="s">
        <v>205</v>
      </c>
    </row>
    <row r="202" spans="2:5">
      <c r="D202" s="1" t="s">
        <v>2792</v>
      </c>
    </row>
    <row r="203" spans="2:5" ht="15">
      <c r="B203" s="2" t="s">
        <v>255</v>
      </c>
    </row>
    <row r="204" spans="2:5">
      <c r="C204" s="1" t="s">
        <v>207</v>
      </c>
    </row>
    <row r="205" spans="2:5">
      <c r="D205" s="1" t="s">
        <v>213</v>
      </c>
    </row>
    <row r="206" spans="2:5">
      <c r="D206" s="1" t="s">
        <v>3165</v>
      </c>
    </row>
    <row r="207" spans="2:5">
      <c r="E207" s="1" t="s">
        <v>3166</v>
      </c>
    </row>
    <row r="208" spans="2:5">
      <c r="C208" s="1" t="s">
        <v>211</v>
      </c>
    </row>
    <row r="209" spans="3:7">
      <c r="D209" s="1" t="s">
        <v>214</v>
      </c>
    </row>
    <row r="210" spans="3:7">
      <c r="E210" s="1" t="s">
        <v>3167</v>
      </c>
    </row>
    <row r="211" spans="3:7">
      <c r="E211" s="1" t="s">
        <v>3168</v>
      </c>
    </row>
    <row r="212" spans="3:7">
      <c r="C212" s="1" t="s">
        <v>210</v>
      </c>
    </row>
    <row r="213" spans="3:7">
      <c r="D213" s="1" t="s">
        <v>215</v>
      </c>
    </row>
    <row r="214" spans="3:7">
      <c r="E214" s="1" t="s">
        <v>3169</v>
      </c>
    </row>
    <row r="215" spans="3:7">
      <c r="D215" s="1" t="s">
        <v>3170</v>
      </c>
    </row>
    <row r="216" spans="3:7">
      <c r="E216" s="1" t="s">
        <v>3171</v>
      </c>
    </row>
    <row r="217" spans="3:7">
      <c r="E217" s="1" t="s">
        <v>3184</v>
      </c>
    </row>
    <row r="218" spans="3:7">
      <c r="F218" s="1" t="s">
        <v>3185</v>
      </c>
    </row>
    <row r="219" spans="3:7">
      <c r="F219" s="1" t="s">
        <v>3186</v>
      </c>
    </row>
    <row r="220" spans="3:7">
      <c r="G220" s="1" t="s">
        <v>3187</v>
      </c>
    </row>
    <row r="221" spans="3:7">
      <c r="D221" s="1" t="s">
        <v>3188</v>
      </c>
    </row>
    <row r="222" spans="3:7">
      <c r="E222" s="1" t="s">
        <v>3189</v>
      </c>
    </row>
    <row r="223" spans="3:7">
      <c r="F223" s="1" t="s">
        <v>3190</v>
      </c>
    </row>
    <row r="224" spans="3:7">
      <c r="F224" s="1" t="s">
        <v>3191</v>
      </c>
    </row>
    <row r="225" spans="2:7">
      <c r="G225" s="1" t="s">
        <v>3192</v>
      </c>
    </row>
    <row r="226" spans="2:7">
      <c r="C226" s="1" t="s">
        <v>209</v>
      </c>
    </row>
    <row r="227" spans="2:7">
      <c r="D227" s="1" t="s">
        <v>216</v>
      </c>
    </row>
    <row r="228" spans="2:7">
      <c r="E228" s="1" t="s">
        <v>3193</v>
      </c>
    </row>
    <row r="229" spans="2:7">
      <c r="E229" s="1" t="s">
        <v>3194</v>
      </c>
    </row>
    <row r="230" spans="2:7">
      <c r="C230" s="1" t="s">
        <v>208</v>
      </c>
    </row>
    <row r="231" spans="2:7">
      <c r="D231" s="1" t="s">
        <v>217</v>
      </c>
    </row>
    <row r="232" spans="2:7">
      <c r="E232" s="1" t="s">
        <v>3195</v>
      </c>
    </row>
    <row r="233" spans="2:7">
      <c r="E233" s="1" t="s">
        <v>3196</v>
      </c>
    </row>
    <row r="234" spans="2:7">
      <c r="C234" s="1" t="s">
        <v>212</v>
      </c>
    </row>
    <row r="235" spans="2:7">
      <c r="D235" s="1" t="s">
        <v>218</v>
      </c>
    </row>
    <row r="236" spans="2:7" ht="15">
      <c r="B236" s="2" t="s">
        <v>2645</v>
      </c>
    </row>
    <row r="237" spans="2:7">
      <c r="C237" s="1" t="s">
        <v>101</v>
      </c>
    </row>
    <row r="238" spans="2:7">
      <c r="D238" s="1" t="s">
        <v>115</v>
      </c>
    </row>
    <row r="239" spans="2:7">
      <c r="E239" s="1" t="s">
        <v>2646</v>
      </c>
    </row>
    <row r="240" spans="2:7">
      <c r="F240" s="1" t="s">
        <v>114</v>
      </c>
    </row>
    <row r="241" spans="5:7">
      <c r="E241" s="1" t="s">
        <v>3172</v>
      </c>
    </row>
    <row r="242" spans="5:7">
      <c r="F242" s="1" t="s">
        <v>3135</v>
      </c>
    </row>
    <row r="243" spans="5:7">
      <c r="F243" s="1" t="s">
        <v>3136</v>
      </c>
    </row>
    <row r="244" spans="5:7">
      <c r="F244" s="1" t="s">
        <v>3137</v>
      </c>
    </row>
    <row r="245" spans="5:7">
      <c r="G245" s="1" t="s">
        <v>3138</v>
      </c>
    </row>
    <row r="246" spans="5:7">
      <c r="G246" s="1" t="s">
        <v>3139</v>
      </c>
    </row>
    <row r="247" spans="5:7">
      <c r="F247" s="1" t="s">
        <v>3173</v>
      </c>
    </row>
    <row r="248" spans="5:7">
      <c r="G248" s="1" t="s">
        <v>3140</v>
      </c>
    </row>
    <row r="249" spans="5:7">
      <c r="G249" s="1" t="s">
        <v>3141</v>
      </c>
    </row>
    <row r="250" spans="5:7">
      <c r="E250" s="1" t="s">
        <v>3142</v>
      </c>
    </row>
    <row r="251" spans="5:7">
      <c r="F251" s="1" t="s">
        <v>3174</v>
      </c>
    </row>
    <row r="252" spans="5:7">
      <c r="F252" s="1" t="s">
        <v>3143</v>
      </c>
    </row>
    <row r="253" spans="5:7">
      <c r="G253" s="1" t="s">
        <v>3144</v>
      </c>
    </row>
    <row r="254" spans="5:7">
      <c r="E254" s="1" t="s">
        <v>3145</v>
      </c>
    </row>
    <row r="255" spans="5:7">
      <c r="F255" s="1" t="s">
        <v>3148</v>
      </c>
    </row>
    <row r="256" spans="5:7">
      <c r="F256" s="1" t="s">
        <v>3149</v>
      </c>
    </row>
    <row r="257" spans="3:7">
      <c r="G257" s="1" t="s">
        <v>3147</v>
      </c>
    </row>
    <row r="258" spans="3:7">
      <c r="F258" s="1" t="s">
        <v>3146</v>
      </c>
    </row>
    <row r="259" spans="3:7">
      <c r="E259" s="1" t="s">
        <v>3150</v>
      </c>
    </row>
    <row r="260" spans="3:7">
      <c r="F260" s="1" t="s">
        <v>3151</v>
      </c>
    </row>
    <row r="261" spans="3:7">
      <c r="F261" s="1" t="s">
        <v>3152</v>
      </c>
    </row>
    <row r="262" spans="3:7">
      <c r="G262" s="1" t="s">
        <v>3153</v>
      </c>
    </row>
    <row r="263" spans="3:7">
      <c r="G263" s="1" t="s">
        <v>3154</v>
      </c>
    </row>
    <row r="264" spans="3:7">
      <c r="E264" s="1" t="s">
        <v>3175</v>
      </c>
    </row>
    <row r="265" spans="3:7">
      <c r="F265" s="1" t="s">
        <v>3155</v>
      </c>
    </row>
    <row r="266" spans="3:7" ht="15">
      <c r="F266" t="s">
        <v>3176</v>
      </c>
    </row>
    <row r="267" spans="3:7">
      <c r="C267" s="1" t="s">
        <v>102</v>
      </c>
    </row>
    <row r="268" spans="3:7">
      <c r="D268" s="1" t="s">
        <v>2627</v>
      </c>
    </row>
    <row r="269" spans="3:7">
      <c r="E269" s="1" t="s">
        <v>116</v>
      </c>
    </row>
    <row r="270" spans="3:7">
      <c r="F270" s="1" t="s">
        <v>2628</v>
      </c>
    </row>
    <row r="271" spans="3:7">
      <c r="G271" s="1" t="s">
        <v>2629</v>
      </c>
    </row>
    <row r="272" spans="3:7">
      <c r="E272" s="1" t="s">
        <v>2647</v>
      </c>
    </row>
    <row r="273" spans="5:17" ht="15">
      <c r="F273" s="1" t="s">
        <v>3177</v>
      </c>
    </row>
    <row r="274" spans="5:17" ht="15">
      <c r="F274" s="1" t="s">
        <v>2841</v>
      </c>
      <c r="P274" s="24" t="s">
        <v>3178</v>
      </c>
      <c r="Q274" s="108" t="s">
        <v>2842</v>
      </c>
    </row>
    <row r="275" spans="5:17">
      <c r="F275" s="1" t="s">
        <v>3156</v>
      </c>
    </row>
    <row r="276" spans="5:17">
      <c r="E276" s="1" t="s">
        <v>3179</v>
      </c>
    </row>
    <row r="277" spans="5:17">
      <c r="F277" s="1" t="s">
        <v>3180</v>
      </c>
    </row>
    <row r="278" spans="5:17">
      <c r="F278" s="1" t="s">
        <v>3158</v>
      </c>
    </row>
    <row r="279" spans="5:17">
      <c r="G279" s="1" t="s">
        <v>3157</v>
      </c>
    </row>
    <row r="280" spans="5:17">
      <c r="G280" s="1" t="s">
        <v>3159</v>
      </c>
    </row>
    <row r="281" spans="5:17">
      <c r="H281" s="1" t="s">
        <v>3160</v>
      </c>
    </row>
    <row r="282" spans="5:17">
      <c r="E282" s="1" t="s">
        <v>3164</v>
      </c>
    </row>
    <row r="283" spans="5:17">
      <c r="F283" s="1" t="s">
        <v>3181</v>
      </c>
    </row>
    <row r="284" spans="5:17">
      <c r="G284" s="1" t="s">
        <v>3182</v>
      </c>
    </row>
    <row r="285" spans="5:17">
      <c r="F285" s="1" t="s">
        <v>3161</v>
      </c>
    </row>
    <row r="286" spans="5:17">
      <c r="G286" s="1" t="s">
        <v>3162</v>
      </c>
    </row>
    <row r="287" spans="5:17">
      <c r="G287" s="1" t="s">
        <v>3183</v>
      </c>
    </row>
    <row r="288" spans="5:17">
      <c r="G288" s="1" t="s">
        <v>3163</v>
      </c>
    </row>
    <row r="289" spans="3:7">
      <c r="C289" s="1" t="s">
        <v>107</v>
      </c>
    </row>
    <row r="290" spans="3:7">
      <c r="D290" s="1" t="s">
        <v>121</v>
      </c>
    </row>
    <row r="291" spans="3:7">
      <c r="E291" s="1" t="s">
        <v>122</v>
      </c>
    </row>
    <row r="292" spans="3:7" ht="15">
      <c r="F292" s="1" t="s">
        <v>2839</v>
      </c>
    </row>
    <row r="293" spans="3:7">
      <c r="E293" s="1" t="s">
        <v>150</v>
      </c>
    </row>
    <row r="294" spans="3:7">
      <c r="F294" s="1" t="s">
        <v>2648</v>
      </c>
    </row>
    <row r="295" spans="3:7">
      <c r="F295" s="1" t="s">
        <v>151</v>
      </c>
    </row>
    <row r="296" spans="3:7">
      <c r="G296" s="1" t="s">
        <v>124</v>
      </c>
    </row>
    <row r="297" spans="3:7">
      <c r="G297" s="1" t="s">
        <v>2840</v>
      </c>
    </row>
    <row r="298" spans="3:7">
      <c r="E298" s="1" t="s">
        <v>126</v>
      </c>
    </row>
    <row r="299" spans="3:7">
      <c r="F299" s="1" t="s">
        <v>127</v>
      </c>
    </row>
    <row r="300" spans="3:7">
      <c r="F300" s="1" t="s">
        <v>128</v>
      </c>
    </row>
    <row r="301" spans="3:7">
      <c r="F301" s="1" t="s">
        <v>129</v>
      </c>
    </row>
    <row r="302" spans="3:7" ht="15">
      <c r="E302" s="2" t="s">
        <v>2649</v>
      </c>
    </row>
    <row r="303" spans="3:7" ht="15">
      <c r="C303" s="1" t="s">
        <v>104</v>
      </c>
      <c r="E303" s="2"/>
    </row>
    <row r="304" spans="3:7">
      <c r="D304" s="1" t="s">
        <v>130</v>
      </c>
    </row>
    <row r="305" spans="3:8">
      <c r="E305" s="1" t="s">
        <v>132</v>
      </c>
      <c r="H305" s="1" t="s">
        <v>133</v>
      </c>
    </row>
    <row r="306" spans="3:8">
      <c r="E306" s="1" t="s">
        <v>131</v>
      </c>
      <c r="H306" s="1" t="s">
        <v>134</v>
      </c>
    </row>
    <row r="307" spans="3:8">
      <c r="E307" s="1" t="s">
        <v>149</v>
      </c>
      <c r="H307" s="1" t="s">
        <v>148</v>
      </c>
    </row>
    <row r="308" spans="3:8">
      <c r="E308" s="1" t="s">
        <v>147</v>
      </c>
      <c r="H308" s="1" t="s">
        <v>146</v>
      </c>
    </row>
    <row r="309" spans="3:8">
      <c r="E309" s="1" t="s">
        <v>145</v>
      </c>
      <c r="H309" s="1" t="s">
        <v>144</v>
      </c>
    </row>
    <row r="310" spans="3:8">
      <c r="E310" s="1" t="s">
        <v>143</v>
      </c>
      <c r="H310" s="1" t="s">
        <v>142</v>
      </c>
    </row>
    <row r="311" spans="3:8">
      <c r="E311" s="1" t="s">
        <v>141</v>
      </c>
      <c r="H311" s="1" t="s">
        <v>140</v>
      </c>
    </row>
    <row r="312" spans="3:8">
      <c r="E312" s="1" t="s">
        <v>139</v>
      </c>
      <c r="H312" s="1" t="s">
        <v>138</v>
      </c>
    </row>
    <row r="313" spans="3:8">
      <c r="E313" s="1" t="s">
        <v>137</v>
      </c>
      <c r="H313" s="1" t="s">
        <v>136</v>
      </c>
    </row>
    <row r="314" spans="3:8">
      <c r="C314" s="1" t="s">
        <v>103</v>
      </c>
    </row>
    <row r="315" spans="3:8">
      <c r="D315" s="1" t="s">
        <v>117</v>
      </c>
    </row>
    <row r="316" spans="3:8">
      <c r="E316" s="1" t="s">
        <v>118</v>
      </c>
    </row>
    <row r="317" spans="3:8">
      <c r="F317" s="1" t="s">
        <v>119</v>
      </c>
    </row>
    <row r="318" spans="3:8" ht="15">
      <c r="F318" s="2" t="s">
        <v>120</v>
      </c>
      <c r="G318" s="2"/>
    </row>
    <row r="319" spans="3:8">
      <c r="D319" s="1" t="s">
        <v>3123</v>
      </c>
    </row>
    <row r="320" spans="3:8">
      <c r="E320" s="1" t="s">
        <v>3125</v>
      </c>
    </row>
    <row r="321" spans="3:6">
      <c r="E321" s="1" t="s">
        <v>3126</v>
      </c>
    </row>
    <row r="322" spans="3:6">
      <c r="E322" s="1" t="s">
        <v>3127</v>
      </c>
    </row>
    <row r="323" spans="3:6">
      <c r="D323" s="1" t="s">
        <v>3128</v>
      </c>
    </row>
    <row r="324" spans="3:6">
      <c r="E324" s="1" t="s">
        <v>3130</v>
      </c>
    </row>
    <row r="325" spans="3:6">
      <c r="E325" s="1" t="s">
        <v>3129</v>
      </c>
    </row>
    <row r="326" spans="3:6">
      <c r="F326" s="1" t="s">
        <v>3131</v>
      </c>
    </row>
    <row r="327" spans="3:6">
      <c r="F327" s="1" t="s">
        <v>3132</v>
      </c>
    </row>
    <row r="328" spans="3:6">
      <c r="F328" s="1" t="s">
        <v>3134</v>
      </c>
    </row>
    <row r="329" spans="3:6">
      <c r="C329" s="1" t="s">
        <v>106</v>
      </c>
    </row>
    <row r="330" spans="3:6">
      <c r="D330" s="1" t="s">
        <v>152</v>
      </c>
    </row>
    <row r="331" spans="3:6">
      <c r="C331" s="1" t="s">
        <v>112</v>
      </c>
    </row>
    <row r="332" spans="3:6">
      <c r="D332" s="1" t="s">
        <v>135</v>
      </c>
    </row>
    <row r="333" spans="3:6">
      <c r="E333" s="1" t="s">
        <v>113</v>
      </c>
    </row>
    <row r="334" spans="3:6">
      <c r="C334" s="1" t="s">
        <v>105</v>
      </c>
    </row>
    <row r="335" spans="3:6">
      <c r="D335" s="1" t="s">
        <v>153</v>
      </c>
    </row>
    <row r="336" spans="3:6" ht="15">
      <c r="C336" s="2" t="s">
        <v>2838</v>
      </c>
    </row>
    <row r="337" spans="1:9" ht="15">
      <c r="C337" s="2"/>
    </row>
    <row r="338" spans="1:9" ht="15">
      <c r="A338" s="2" t="s">
        <v>77</v>
      </c>
    </row>
    <row r="339" spans="1:9" ht="15">
      <c r="B339" s="2" t="s">
        <v>2733</v>
      </c>
    </row>
    <row r="340" spans="1:9">
      <c r="C340" s="1" t="s">
        <v>2734</v>
      </c>
    </row>
    <row r="341" spans="1:9">
      <c r="D341" s="1" t="s">
        <v>2735</v>
      </c>
    </row>
    <row r="342" spans="1:9">
      <c r="D342" s="1" t="s">
        <v>2736</v>
      </c>
    </row>
    <row r="343" spans="1:9">
      <c r="D343" s="1" t="s">
        <v>2737</v>
      </c>
    </row>
    <row r="344" spans="1:9">
      <c r="C344" s="1" t="s">
        <v>2738</v>
      </c>
    </row>
    <row r="345" spans="1:9">
      <c r="D345" s="1" t="s">
        <v>2739</v>
      </c>
    </row>
    <row r="346" spans="1:9">
      <c r="E346" s="1" t="s">
        <v>2747</v>
      </c>
      <c r="H346" s="1" t="s">
        <v>2743</v>
      </c>
    </row>
    <row r="347" spans="1:9">
      <c r="I347" s="1" t="s">
        <v>2740</v>
      </c>
    </row>
    <row r="348" spans="1:9">
      <c r="I348" s="1" t="s">
        <v>2741</v>
      </c>
    </row>
    <row r="349" spans="1:9">
      <c r="E349" s="1" t="s">
        <v>2746</v>
      </c>
      <c r="H349" s="1" t="s">
        <v>2742</v>
      </c>
    </row>
    <row r="350" spans="1:9">
      <c r="I350" s="1" t="s">
        <v>2744</v>
      </c>
    </row>
    <row r="351" spans="1:9">
      <c r="C351" s="1" t="s">
        <v>2745</v>
      </c>
    </row>
    <row r="352" spans="1:9">
      <c r="E352" s="1" t="s">
        <v>2748</v>
      </c>
      <c r="H352" s="1" t="s">
        <v>2749</v>
      </c>
    </row>
    <row r="353" spans="3:9">
      <c r="E353" s="1" t="s">
        <v>2750</v>
      </c>
      <c r="H353" s="1" t="s">
        <v>2751</v>
      </c>
    </row>
    <row r="354" spans="3:9">
      <c r="E354" s="1" t="s">
        <v>2752</v>
      </c>
      <c r="H354" s="1" t="s">
        <v>2753</v>
      </c>
    </row>
    <row r="355" spans="3:9">
      <c r="C355" s="1" t="s">
        <v>2754</v>
      </c>
    </row>
    <row r="356" spans="3:9">
      <c r="E356" s="1" t="s">
        <v>2755</v>
      </c>
      <c r="H356" s="1" t="s">
        <v>2756</v>
      </c>
    </row>
    <row r="357" spans="3:9">
      <c r="I357" s="1" t="s">
        <v>2757</v>
      </c>
    </row>
    <row r="358" spans="3:9">
      <c r="E358" s="1" t="s">
        <v>2758</v>
      </c>
      <c r="H358" s="1" t="s">
        <v>2759</v>
      </c>
    </row>
    <row r="359" spans="3:9">
      <c r="I359" s="1" t="s">
        <v>2760</v>
      </c>
    </row>
    <row r="360" spans="3:9">
      <c r="E360" s="1" t="s">
        <v>210</v>
      </c>
      <c r="H360" s="1" t="s">
        <v>2761</v>
      </c>
    </row>
    <row r="361" spans="3:9">
      <c r="I361" s="1" t="s">
        <v>2762</v>
      </c>
    </row>
    <row r="362" spans="3:9" ht="15">
      <c r="H362" s="2" t="s">
        <v>2793</v>
      </c>
    </row>
    <row r="363" spans="3:9">
      <c r="E363" s="1" t="s">
        <v>2763</v>
      </c>
      <c r="H363" s="1" t="s">
        <v>2764</v>
      </c>
    </row>
    <row r="364" spans="3:9">
      <c r="I364" s="1" t="s">
        <v>2765</v>
      </c>
    </row>
    <row r="365" spans="3:9">
      <c r="E365" s="1" t="s">
        <v>2766</v>
      </c>
      <c r="H365" s="1" t="s">
        <v>2767</v>
      </c>
    </row>
    <row r="366" spans="3:9">
      <c r="I366" s="1" t="s">
        <v>2768</v>
      </c>
    </row>
    <row r="367" spans="3:9">
      <c r="I367" s="1" t="s">
        <v>2769</v>
      </c>
    </row>
    <row r="368" spans="3:9">
      <c r="H368" s="1" t="s">
        <v>2770</v>
      </c>
    </row>
    <row r="369" spans="1:28">
      <c r="C369" s="1" t="s">
        <v>2771</v>
      </c>
    </row>
    <row r="370" spans="1:28">
      <c r="D370" s="1" t="s">
        <v>2772</v>
      </c>
    </row>
    <row r="371" spans="1:28">
      <c r="E371" s="1" t="s">
        <v>2773</v>
      </c>
    </row>
    <row r="372" spans="1:28">
      <c r="D372" s="1" t="s">
        <v>2774</v>
      </c>
    </row>
    <row r="373" spans="1:28">
      <c r="E373" s="1" t="s">
        <v>2775</v>
      </c>
    </row>
    <row r="374" spans="1:28">
      <c r="D374" s="1" t="s">
        <v>2776</v>
      </c>
    </row>
    <row r="376" spans="1:28" ht="15">
      <c r="A376" s="2" t="s">
        <v>2777</v>
      </c>
    </row>
    <row r="377" spans="1:28">
      <c r="C377" s="1" t="s">
        <v>2778</v>
      </c>
    </row>
    <row r="378" spans="1:28">
      <c r="D378" s="1" t="s">
        <v>2785</v>
      </c>
    </row>
    <row r="379" spans="1:28" ht="15">
      <c r="E379" s="39" t="s">
        <v>2779</v>
      </c>
      <c r="F379" s="40"/>
      <c r="G379" s="5"/>
      <c r="H379" s="109"/>
      <c r="I379" s="75" t="s">
        <v>2794</v>
      </c>
      <c r="J379" s="76"/>
      <c r="L379" s="39" t="s">
        <v>2786</v>
      </c>
      <c r="M379" s="109"/>
      <c r="N379" s="110" t="s">
        <v>2813</v>
      </c>
      <c r="O379" s="40"/>
      <c r="P379" s="40"/>
      <c r="Q379" s="109"/>
      <c r="R379" s="39" t="s">
        <v>2819</v>
      </c>
      <c r="S379" s="40"/>
      <c r="T379" s="40"/>
      <c r="U379" s="40"/>
      <c r="V379" s="40"/>
      <c r="W379" s="40"/>
      <c r="X379" s="40"/>
      <c r="Y379" s="40"/>
      <c r="Z379" s="109"/>
      <c r="AA379" s="75" t="s">
        <v>2794</v>
      </c>
      <c r="AB379" s="76"/>
    </row>
    <row r="380" spans="1:28" ht="15">
      <c r="E380" s="47" t="s">
        <v>2348</v>
      </c>
      <c r="F380" s="48"/>
      <c r="G380" s="111" t="s">
        <v>2088</v>
      </c>
      <c r="H380" s="112"/>
      <c r="I380" s="73">
        <v>0.89659999999999995</v>
      </c>
      <c r="J380" s="74"/>
      <c r="L380" s="12" t="s">
        <v>2798</v>
      </c>
      <c r="M380" s="14"/>
      <c r="N380" s="113" t="s">
        <v>2947</v>
      </c>
      <c r="O380" s="114"/>
      <c r="P380" s="114"/>
      <c r="Q380" s="115"/>
      <c r="R380" s="116" t="s">
        <v>2805</v>
      </c>
      <c r="S380" s="117"/>
      <c r="T380" s="117"/>
      <c r="U380" s="117"/>
      <c r="V380" s="117"/>
      <c r="W380" s="117"/>
      <c r="X380" s="117"/>
      <c r="Y380" s="117"/>
      <c r="Z380" s="118"/>
      <c r="AA380" s="77"/>
      <c r="AB380" s="78"/>
    </row>
    <row r="381" spans="1:28" ht="15">
      <c r="E381" s="46" t="s">
        <v>2814</v>
      </c>
      <c r="F381" s="14"/>
      <c r="G381" s="119" t="s">
        <v>2782</v>
      </c>
      <c r="H381" s="120"/>
      <c r="I381" s="65">
        <v>3.8800000000000001E-2</v>
      </c>
      <c r="J381" s="66"/>
      <c r="L381" s="46" t="s">
        <v>2814</v>
      </c>
      <c r="M381" s="14"/>
      <c r="N381" s="119" t="s">
        <v>2948</v>
      </c>
      <c r="O381" s="121"/>
      <c r="P381" s="121"/>
      <c r="Q381" s="120"/>
      <c r="R381" s="119" t="s">
        <v>2806</v>
      </c>
      <c r="S381" s="121"/>
      <c r="T381" s="121"/>
      <c r="U381" s="121"/>
      <c r="V381" s="121"/>
      <c r="W381" s="121"/>
      <c r="X381" s="121"/>
      <c r="Y381" s="121"/>
      <c r="Z381" s="120"/>
      <c r="AA381" s="65"/>
      <c r="AB381" s="66"/>
    </row>
    <row r="382" spans="1:28" ht="15">
      <c r="E382" s="46" t="s">
        <v>2815</v>
      </c>
      <c r="F382" s="14"/>
      <c r="G382" s="113" t="s">
        <v>2783</v>
      </c>
      <c r="H382" s="115"/>
      <c r="I382" s="67">
        <v>1E-4</v>
      </c>
      <c r="J382" s="68"/>
      <c r="L382" s="12" t="s">
        <v>2799</v>
      </c>
      <c r="M382" s="14"/>
      <c r="N382" s="113" t="s">
        <v>2802</v>
      </c>
      <c r="O382" s="114"/>
      <c r="P382" s="114"/>
      <c r="Q382" s="115"/>
      <c r="R382" s="113" t="s">
        <v>2807</v>
      </c>
      <c r="S382" s="114"/>
      <c r="T382" s="114"/>
      <c r="U382" s="114"/>
      <c r="V382" s="114"/>
      <c r="W382" s="114"/>
      <c r="X382" s="114"/>
      <c r="Y382" s="114"/>
      <c r="Z382" s="115"/>
      <c r="AA382" s="67"/>
      <c r="AB382" s="68"/>
    </row>
    <row r="383" spans="1:28" ht="15">
      <c r="E383" s="12" t="s">
        <v>2795</v>
      </c>
      <c r="F383" s="14"/>
      <c r="G383" s="119" t="s">
        <v>2797</v>
      </c>
      <c r="H383" s="120"/>
      <c r="I383" s="65">
        <v>2.53E-2</v>
      </c>
      <c r="J383" s="66"/>
      <c r="L383" s="12" t="s">
        <v>2816</v>
      </c>
      <c r="M383" s="14"/>
      <c r="N383" s="119" t="s">
        <v>2820</v>
      </c>
      <c r="O383" s="121"/>
      <c r="P383" s="121"/>
      <c r="Q383" s="120"/>
      <c r="R383" s="119" t="s">
        <v>2808</v>
      </c>
      <c r="S383" s="121"/>
      <c r="T383" s="121"/>
      <c r="U383" s="121"/>
      <c r="V383" s="121"/>
      <c r="W383" s="121"/>
      <c r="X383" s="121"/>
      <c r="Y383" s="121"/>
      <c r="Z383" s="120"/>
      <c r="AA383" s="65"/>
      <c r="AB383" s="66"/>
    </row>
    <row r="384" spans="1:28" ht="15">
      <c r="E384" s="12" t="s">
        <v>2780</v>
      </c>
      <c r="F384" s="14"/>
      <c r="G384" s="113" t="s">
        <v>2784</v>
      </c>
      <c r="H384" s="115"/>
      <c r="I384" s="67">
        <v>1.32E-2</v>
      </c>
      <c r="J384" s="68"/>
      <c r="L384" s="12" t="s">
        <v>2817</v>
      </c>
      <c r="M384" s="14"/>
      <c r="N384" s="113" t="s">
        <v>2949</v>
      </c>
      <c r="O384" s="114"/>
      <c r="P384" s="114"/>
      <c r="Q384" s="115"/>
      <c r="R384" s="113" t="s">
        <v>2809</v>
      </c>
      <c r="S384" s="114"/>
      <c r="T384" s="114"/>
      <c r="U384" s="114"/>
      <c r="V384" s="114"/>
      <c r="W384" s="114"/>
      <c r="X384" s="114"/>
      <c r="Y384" s="114"/>
      <c r="Z384" s="115"/>
      <c r="AA384" s="67"/>
      <c r="AB384" s="68"/>
    </row>
    <row r="385" spans="1:28" ht="15">
      <c r="E385" s="12" t="s">
        <v>2781</v>
      </c>
      <c r="F385" s="14"/>
      <c r="G385" s="119" t="s">
        <v>2781</v>
      </c>
      <c r="H385" s="120"/>
      <c r="I385" s="65">
        <v>8.3999999999999995E-3</v>
      </c>
      <c r="J385" s="66"/>
      <c r="L385" s="12" t="s">
        <v>2800</v>
      </c>
      <c r="M385" s="14"/>
      <c r="N385" s="119" t="s">
        <v>2800</v>
      </c>
      <c r="O385" s="121"/>
      <c r="P385" s="121"/>
      <c r="Q385" s="120"/>
      <c r="R385" s="119" t="s">
        <v>2810</v>
      </c>
      <c r="S385" s="121"/>
      <c r="T385" s="121"/>
      <c r="U385" s="121"/>
      <c r="V385" s="121"/>
      <c r="W385" s="121"/>
      <c r="X385" s="121"/>
      <c r="Y385" s="121"/>
      <c r="Z385" s="120"/>
      <c r="AA385" s="65"/>
      <c r="AB385" s="66"/>
    </row>
    <row r="386" spans="1:28" ht="15">
      <c r="E386" s="19" t="s">
        <v>2796</v>
      </c>
      <c r="F386" s="21"/>
      <c r="G386" s="122" t="s">
        <v>2796</v>
      </c>
      <c r="H386" s="123"/>
      <c r="I386" s="71">
        <v>7.1999999999999998E-3</v>
      </c>
      <c r="J386" s="72"/>
      <c r="L386" s="12" t="s">
        <v>2801</v>
      </c>
      <c r="M386" s="14"/>
      <c r="N386" s="113" t="s">
        <v>2803</v>
      </c>
      <c r="O386" s="114"/>
      <c r="P386" s="114"/>
      <c r="Q386" s="115"/>
      <c r="R386" s="113" t="s">
        <v>2811</v>
      </c>
      <c r="S386" s="114"/>
      <c r="T386" s="114"/>
      <c r="U386" s="114"/>
      <c r="V386" s="114"/>
      <c r="W386" s="114"/>
      <c r="X386" s="114"/>
      <c r="Y386" s="114"/>
      <c r="Z386" s="115"/>
      <c r="AA386" s="67"/>
      <c r="AB386" s="68"/>
    </row>
    <row r="387" spans="1:28" ht="15">
      <c r="L387" s="19" t="s">
        <v>2818</v>
      </c>
      <c r="M387" s="21"/>
      <c r="N387" s="124" t="s">
        <v>2804</v>
      </c>
      <c r="O387" s="125"/>
      <c r="P387" s="125"/>
      <c r="Q387" s="126"/>
      <c r="R387" s="124" t="s">
        <v>2812</v>
      </c>
      <c r="S387" s="125"/>
      <c r="T387" s="125"/>
      <c r="U387" s="125"/>
      <c r="V387" s="125"/>
      <c r="W387" s="125"/>
      <c r="X387" s="125"/>
      <c r="Y387" s="125"/>
      <c r="Z387" s="126"/>
      <c r="AA387" s="69"/>
      <c r="AB387" s="70"/>
    </row>
    <row r="389" spans="1:28" ht="15">
      <c r="A389" s="2" t="s">
        <v>2978</v>
      </c>
    </row>
    <row r="390" spans="1:28">
      <c r="B390" s="1" t="s">
        <v>2979</v>
      </c>
    </row>
  </sheetData>
  <mergeCells count="1">
    <mergeCell ref="C41:AF45"/>
  </mergeCells>
  <hyperlinks>
    <hyperlink ref="Q14" r:id="rId1" xr:uid="{AA9B7AE0-4807-4602-A589-BFB754D35D40}"/>
    <hyperlink ref="Q15" r:id="rId2" xr:uid="{6973B659-67E3-41B1-9EE2-B10B4344E22E}"/>
    <hyperlink ref="Q16" r:id="rId3" xr:uid="{68D6AC96-B3D0-4875-A7EC-0C1B6A1593E2}"/>
    <hyperlink ref="Q19" r:id="rId4" xr:uid="{B39DA20C-F45C-4E43-AC4E-CCE9242EB2F9}"/>
    <hyperlink ref="K16" r:id="rId5" xr:uid="{BC0D483D-99FE-49D1-93D8-26DF9CADE7BE}"/>
    <hyperlink ref="Q17" r:id="rId6" xr:uid="{95104289-ACBE-4B97-BCFD-C0BCC1AEBBEA}"/>
    <hyperlink ref="C46" r:id="rId7" xr:uid="{B48F9B76-E043-4C92-8E99-D44B94834CAB}"/>
    <hyperlink ref="E382" r:id="rId8" display="OPRA" xr:uid="{AA874C88-9A5D-4AFC-9352-56DD8D9D05BA}"/>
    <hyperlink ref="E381" r:id="rId9" display="MSFT" xr:uid="{812B11BD-16B7-4CBA-B67D-35D57821EAAF}"/>
    <hyperlink ref="L381" r:id="rId10" display="MSFT" xr:uid="{A7818BD9-10D8-47CA-B784-A8F8FA3C1508}"/>
    <hyperlink ref="Q18" r:id="rId11" xr:uid="{7E1D75CB-5FA5-4EBD-8002-30A72AE5784E}"/>
    <hyperlink ref="Q274" r:id="rId12" xr:uid="{56ACA058-88FA-40FF-BE28-6B1928F77D43}"/>
    <hyperlink ref="Q13" r:id="rId13" xr:uid="{B44C0385-02B8-4C51-ADA5-B0E33D1E1A32}"/>
  </hyperlinks>
  <pageMargins left="0.7" right="0.7" top="0.75" bottom="0.75" header="0.3" footer="0.3"/>
  <drawing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27957-A42B-4AB7-A411-12A70E029F5D}">
  <dimension ref="B1:FA116"/>
  <sheetViews>
    <sheetView zoomScale="85" zoomScaleNormal="85" workbookViewId="0">
      <pane xSplit="2" ySplit="3" topLeftCell="BK87" activePane="bottomRight" state="frozen"/>
      <selection pane="topRight" activeCell="C1" sqref="C1"/>
      <selection pane="bottomLeft" activeCell="A4" sqref="A4"/>
      <selection pane="bottomRight" activeCell="BQ103" sqref="BQ103:BQ109"/>
    </sheetView>
  </sheetViews>
  <sheetFormatPr defaultColWidth="9.140625" defaultRowHeight="14.25"/>
  <cols>
    <col min="1" max="1" width="3.140625" style="1" customWidth="1"/>
    <col min="2" max="2" width="41.85546875" style="1" customWidth="1"/>
    <col min="3" max="69" width="9.28515625" style="1" customWidth="1"/>
    <col min="70" max="78" width="9.28515625" style="27" customWidth="1"/>
    <col min="79" max="94" width="9.28515625" style="1" customWidth="1"/>
    <col min="95" max="154" width="9.28515625" style="27" customWidth="1"/>
    <col min="155" max="157" width="9.28515625" style="1" customWidth="1"/>
    <col min="158" max="16384" width="9.140625" style="1"/>
  </cols>
  <sheetData>
    <row r="1" spans="2:157" ht="15">
      <c r="B1" s="1" t="s">
        <v>48</v>
      </c>
      <c r="AU1" s="25" t="s">
        <v>42</v>
      </c>
      <c r="AY1" s="25" t="s">
        <v>43</v>
      </c>
      <c r="BC1" s="25" t="s">
        <v>44</v>
      </c>
      <c r="BG1" s="25" t="s">
        <v>45</v>
      </c>
      <c r="BK1" s="25" t="s">
        <v>46</v>
      </c>
      <c r="BO1" s="25" t="s">
        <v>47</v>
      </c>
      <c r="BP1" s="25"/>
      <c r="BQ1" s="27"/>
    </row>
    <row r="2" spans="2:157">
      <c r="B2" s="1" t="s">
        <v>49</v>
      </c>
      <c r="BQ2" s="27"/>
    </row>
    <row r="3" spans="2:157" ht="15">
      <c r="B3" s="2" t="s">
        <v>50</v>
      </c>
      <c r="C3" s="25" t="s">
        <v>2868</v>
      </c>
      <c r="D3" s="25" t="s">
        <v>2869</v>
      </c>
      <c r="E3" s="25" t="s">
        <v>2870</v>
      </c>
      <c r="F3" s="25" t="s">
        <v>2871</v>
      </c>
      <c r="G3" s="25" t="s">
        <v>2872</v>
      </c>
      <c r="H3" s="25" t="s">
        <v>2873</v>
      </c>
      <c r="I3" s="25" t="s">
        <v>2874</v>
      </c>
      <c r="J3" s="25" t="s">
        <v>2875</v>
      </c>
      <c r="K3" s="25" t="s">
        <v>2876</v>
      </c>
      <c r="L3" s="25" t="s">
        <v>2877</v>
      </c>
      <c r="M3" s="25" t="s">
        <v>2878</v>
      </c>
      <c r="N3" s="25" t="s">
        <v>2879</v>
      </c>
      <c r="O3" s="25" t="s">
        <v>2880</v>
      </c>
      <c r="P3" s="25" t="s">
        <v>2881</v>
      </c>
      <c r="Q3" s="25" t="s">
        <v>2882</v>
      </c>
      <c r="R3" s="25" t="s">
        <v>2883</v>
      </c>
      <c r="S3" s="25" t="s">
        <v>2884</v>
      </c>
      <c r="T3" s="25" t="s">
        <v>2885</v>
      </c>
      <c r="U3" s="25" t="s">
        <v>2886</v>
      </c>
      <c r="V3" s="25" t="s">
        <v>2887</v>
      </c>
      <c r="W3" s="25" t="s">
        <v>2888</v>
      </c>
      <c r="X3" s="25" t="s">
        <v>2889</v>
      </c>
      <c r="Y3" s="25" t="s">
        <v>2890</v>
      </c>
      <c r="Z3" s="25" t="s">
        <v>2891</v>
      </c>
      <c r="AA3" s="25" t="s">
        <v>2892</v>
      </c>
      <c r="AB3" s="25" t="s">
        <v>2893</v>
      </c>
      <c r="AC3" s="25" t="s">
        <v>2894</v>
      </c>
      <c r="AD3" s="25" t="s">
        <v>2895</v>
      </c>
      <c r="AE3" s="25" t="s">
        <v>2896</v>
      </c>
      <c r="AF3" s="25" t="s">
        <v>2897</v>
      </c>
      <c r="AG3" s="25" t="s">
        <v>2898</v>
      </c>
      <c r="AH3" s="25" t="s">
        <v>2899</v>
      </c>
      <c r="AI3" s="25" t="s">
        <v>2900</v>
      </c>
      <c r="AJ3" s="25" t="s">
        <v>2901</v>
      </c>
      <c r="AK3" s="25" t="s">
        <v>2902</v>
      </c>
      <c r="AL3" s="25" t="s">
        <v>2903</v>
      </c>
      <c r="AM3" s="25" t="s">
        <v>2904</v>
      </c>
      <c r="AN3" s="25" t="s">
        <v>2905</v>
      </c>
      <c r="AO3" s="25" t="s">
        <v>2906</v>
      </c>
      <c r="AP3" s="25" t="s">
        <v>2907</v>
      </c>
      <c r="AQ3" s="25" t="s">
        <v>2908</v>
      </c>
      <c r="AR3" s="25" t="s">
        <v>2909</v>
      </c>
      <c r="AS3" s="25" t="s">
        <v>2910</v>
      </c>
      <c r="AT3" s="25" t="s">
        <v>2911</v>
      </c>
      <c r="AU3" s="25" t="s">
        <v>42</v>
      </c>
      <c r="AV3" s="25" t="s">
        <v>2912</v>
      </c>
      <c r="AW3" s="25" t="s">
        <v>2913</v>
      </c>
      <c r="AX3" s="25" t="s">
        <v>2914</v>
      </c>
      <c r="AY3" s="25" t="s">
        <v>43</v>
      </c>
      <c r="AZ3" s="25" t="s">
        <v>2915</v>
      </c>
      <c r="BA3" s="25" t="s">
        <v>2916</v>
      </c>
      <c r="BB3" s="25" t="s">
        <v>2917</v>
      </c>
      <c r="BC3" s="25" t="s">
        <v>44</v>
      </c>
      <c r="BD3" s="25" t="s">
        <v>2918</v>
      </c>
      <c r="BE3" s="25" t="s">
        <v>2919</v>
      </c>
      <c r="BF3" s="25" t="s">
        <v>2920</v>
      </c>
      <c r="BG3" s="25" t="s">
        <v>45</v>
      </c>
      <c r="BH3" s="25" t="s">
        <v>2921</v>
      </c>
      <c r="BI3" s="25" t="s">
        <v>2922</v>
      </c>
      <c r="BJ3" s="25" t="s">
        <v>2923</v>
      </c>
      <c r="BK3" s="25" t="s">
        <v>46</v>
      </c>
      <c r="BL3" s="25" t="s">
        <v>2924</v>
      </c>
      <c r="BM3" s="25" t="s">
        <v>2925</v>
      </c>
      <c r="BN3" s="25" t="s">
        <v>2926</v>
      </c>
      <c r="BO3" s="25" t="s">
        <v>47</v>
      </c>
      <c r="BP3" s="25" t="s">
        <v>2927</v>
      </c>
      <c r="BQ3" s="2" t="s">
        <v>2928</v>
      </c>
      <c r="BR3" s="26" t="s">
        <v>2929</v>
      </c>
      <c r="BS3" s="26" t="s">
        <v>2930</v>
      </c>
      <c r="BT3" s="26" t="s">
        <v>2931</v>
      </c>
      <c r="BU3" s="26" t="s">
        <v>2932</v>
      </c>
      <c r="BV3" s="26" t="s">
        <v>2933</v>
      </c>
      <c r="BW3" s="26"/>
      <c r="CA3" s="2">
        <v>2009</v>
      </c>
      <c r="CB3" s="2">
        <f t="shared" ref="CB3:DF3" si="0">CA3+1</f>
        <v>2010</v>
      </c>
      <c r="CC3" s="2">
        <f t="shared" si="0"/>
        <v>2011</v>
      </c>
      <c r="CD3" s="2">
        <f t="shared" si="0"/>
        <v>2012</v>
      </c>
      <c r="CE3" s="2">
        <f t="shared" si="0"/>
        <v>2013</v>
      </c>
      <c r="CF3" s="2">
        <f t="shared" si="0"/>
        <v>2014</v>
      </c>
      <c r="CG3" s="2">
        <f t="shared" si="0"/>
        <v>2015</v>
      </c>
      <c r="CH3" s="2">
        <f t="shared" si="0"/>
        <v>2016</v>
      </c>
      <c r="CI3" s="2">
        <f t="shared" si="0"/>
        <v>2017</v>
      </c>
      <c r="CJ3" s="2">
        <f t="shared" si="0"/>
        <v>2018</v>
      </c>
      <c r="CK3" s="2">
        <f t="shared" si="0"/>
        <v>2019</v>
      </c>
      <c r="CL3" s="2">
        <f t="shared" si="0"/>
        <v>2020</v>
      </c>
      <c r="CM3" s="2">
        <f t="shared" si="0"/>
        <v>2021</v>
      </c>
      <c r="CN3" s="2">
        <f t="shared" si="0"/>
        <v>2022</v>
      </c>
      <c r="CO3" s="2">
        <f t="shared" si="0"/>
        <v>2023</v>
      </c>
      <c r="CP3" s="2">
        <f t="shared" si="0"/>
        <v>2024</v>
      </c>
      <c r="CQ3" s="26">
        <f t="shared" si="0"/>
        <v>2025</v>
      </c>
      <c r="CR3" s="26">
        <f t="shared" si="0"/>
        <v>2026</v>
      </c>
      <c r="CS3" s="26">
        <f t="shared" si="0"/>
        <v>2027</v>
      </c>
      <c r="CT3" s="26">
        <f t="shared" si="0"/>
        <v>2028</v>
      </c>
      <c r="CU3" s="26">
        <f t="shared" si="0"/>
        <v>2029</v>
      </c>
      <c r="CV3" s="26">
        <f t="shared" si="0"/>
        <v>2030</v>
      </c>
      <c r="CW3" s="26">
        <f t="shared" si="0"/>
        <v>2031</v>
      </c>
      <c r="CX3" s="26">
        <f t="shared" si="0"/>
        <v>2032</v>
      </c>
      <c r="CY3" s="26">
        <f t="shared" si="0"/>
        <v>2033</v>
      </c>
      <c r="CZ3" s="26">
        <f t="shared" si="0"/>
        <v>2034</v>
      </c>
      <c r="DA3" s="26">
        <f t="shared" si="0"/>
        <v>2035</v>
      </c>
      <c r="DB3" s="26">
        <f t="shared" si="0"/>
        <v>2036</v>
      </c>
      <c r="DC3" s="26">
        <f t="shared" si="0"/>
        <v>2037</v>
      </c>
      <c r="DD3" s="26">
        <f t="shared" si="0"/>
        <v>2038</v>
      </c>
      <c r="DE3" s="26">
        <f t="shared" si="0"/>
        <v>2039</v>
      </c>
      <c r="DF3" s="26">
        <f t="shared" si="0"/>
        <v>2040</v>
      </c>
      <c r="DG3" s="26">
        <f t="shared" ref="DG3:EM3" si="1">DF3+1</f>
        <v>2041</v>
      </c>
      <c r="DH3" s="26">
        <f t="shared" si="1"/>
        <v>2042</v>
      </c>
      <c r="DI3" s="26">
        <f t="shared" si="1"/>
        <v>2043</v>
      </c>
      <c r="DJ3" s="26">
        <f t="shared" si="1"/>
        <v>2044</v>
      </c>
      <c r="DK3" s="26">
        <f t="shared" si="1"/>
        <v>2045</v>
      </c>
      <c r="DL3" s="26">
        <f t="shared" si="1"/>
        <v>2046</v>
      </c>
      <c r="DM3" s="26">
        <f t="shared" si="1"/>
        <v>2047</v>
      </c>
      <c r="DN3" s="26">
        <f t="shared" si="1"/>
        <v>2048</v>
      </c>
      <c r="DO3" s="26">
        <f t="shared" si="1"/>
        <v>2049</v>
      </c>
      <c r="DP3" s="26">
        <f t="shared" si="1"/>
        <v>2050</v>
      </c>
      <c r="DQ3" s="26">
        <f t="shared" si="1"/>
        <v>2051</v>
      </c>
      <c r="DR3" s="26">
        <f t="shared" si="1"/>
        <v>2052</v>
      </c>
      <c r="DS3" s="26">
        <f t="shared" si="1"/>
        <v>2053</v>
      </c>
      <c r="DT3" s="26">
        <f t="shared" si="1"/>
        <v>2054</v>
      </c>
      <c r="DU3" s="26">
        <f t="shared" si="1"/>
        <v>2055</v>
      </c>
      <c r="DV3" s="26">
        <f t="shared" si="1"/>
        <v>2056</v>
      </c>
      <c r="DW3" s="26">
        <f t="shared" si="1"/>
        <v>2057</v>
      </c>
      <c r="DX3" s="26">
        <f t="shared" si="1"/>
        <v>2058</v>
      </c>
      <c r="DY3" s="26">
        <f t="shared" si="1"/>
        <v>2059</v>
      </c>
      <c r="DZ3" s="26">
        <f t="shared" si="1"/>
        <v>2060</v>
      </c>
      <c r="EA3" s="26">
        <f t="shared" si="1"/>
        <v>2061</v>
      </c>
      <c r="EB3" s="26">
        <f t="shared" si="1"/>
        <v>2062</v>
      </c>
      <c r="EC3" s="26">
        <f t="shared" si="1"/>
        <v>2063</v>
      </c>
      <c r="ED3" s="26">
        <f t="shared" si="1"/>
        <v>2064</v>
      </c>
      <c r="EE3" s="26">
        <f t="shared" si="1"/>
        <v>2065</v>
      </c>
      <c r="EF3" s="26">
        <f t="shared" si="1"/>
        <v>2066</v>
      </c>
      <c r="EG3" s="26">
        <f t="shared" si="1"/>
        <v>2067</v>
      </c>
      <c r="EH3" s="26">
        <f t="shared" si="1"/>
        <v>2068</v>
      </c>
      <c r="EI3" s="26">
        <f t="shared" si="1"/>
        <v>2069</v>
      </c>
      <c r="EJ3" s="26">
        <f t="shared" si="1"/>
        <v>2070</v>
      </c>
      <c r="EK3" s="26">
        <f t="shared" si="1"/>
        <v>2071</v>
      </c>
      <c r="EL3" s="26">
        <f t="shared" si="1"/>
        <v>2072</v>
      </c>
      <c r="EM3" s="26">
        <f t="shared" si="1"/>
        <v>2073</v>
      </c>
      <c r="EN3" s="26">
        <f t="shared" ref="EN3:EX3" si="2">EM3+1</f>
        <v>2074</v>
      </c>
      <c r="EO3" s="26">
        <f t="shared" si="2"/>
        <v>2075</v>
      </c>
      <c r="EP3" s="26">
        <f t="shared" si="2"/>
        <v>2076</v>
      </c>
      <c r="EQ3" s="26">
        <f t="shared" si="2"/>
        <v>2077</v>
      </c>
      <c r="ER3" s="26">
        <f t="shared" si="2"/>
        <v>2078</v>
      </c>
      <c r="ES3" s="26">
        <f t="shared" si="2"/>
        <v>2079</v>
      </c>
      <c r="ET3" s="26">
        <f t="shared" si="2"/>
        <v>2080</v>
      </c>
      <c r="EU3" s="26">
        <f t="shared" si="2"/>
        <v>2081</v>
      </c>
      <c r="EV3" s="26">
        <f t="shared" si="2"/>
        <v>2082</v>
      </c>
      <c r="EW3" s="26">
        <f t="shared" si="2"/>
        <v>2083</v>
      </c>
      <c r="EX3" s="26">
        <f t="shared" si="2"/>
        <v>2084</v>
      </c>
      <c r="EY3" s="2"/>
      <c r="EZ3" s="2"/>
      <c r="FA3" s="2"/>
    </row>
    <row r="4" spans="2:157">
      <c r="B4" s="28" t="s">
        <v>219</v>
      </c>
      <c r="AU4" s="1">
        <v>24502</v>
      </c>
      <c r="AV4" s="1">
        <v>21319</v>
      </c>
      <c r="AW4" s="1">
        <v>26338</v>
      </c>
      <c r="AX4" s="1">
        <f>104062-SUM(AU4:AW4)</f>
        <v>31903</v>
      </c>
      <c r="AY4" s="1">
        <v>31879</v>
      </c>
      <c r="AZ4" s="1">
        <v>35845</v>
      </c>
      <c r="BA4" s="1">
        <v>37926</v>
      </c>
      <c r="BB4" s="1">
        <f>148951-SUM(AY4:BA4)</f>
        <v>43301</v>
      </c>
      <c r="BC4" s="1">
        <v>39618</v>
      </c>
      <c r="BD4" s="1">
        <v>40689</v>
      </c>
      <c r="BE4" s="1">
        <v>39539</v>
      </c>
      <c r="BF4" s="1">
        <f>162450-SUM(BC4:BE4)</f>
        <v>42604</v>
      </c>
      <c r="BG4" s="1">
        <v>40359</v>
      </c>
      <c r="BH4" s="1">
        <v>42628</v>
      </c>
      <c r="BI4" s="1">
        <v>44026</v>
      </c>
      <c r="BJ4" s="1">
        <f>175033-SUM(BG4:BI4)</f>
        <v>48020</v>
      </c>
      <c r="BK4" s="1">
        <v>46156</v>
      </c>
      <c r="BL4" s="1">
        <v>48509</v>
      </c>
      <c r="BM4" s="1">
        <v>49385</v>
      </c>
      <c r="BN4" s="1">
        <f>198084-SUM(BK4:BM4)</f>
        <v>54034</v>
      </c>
      <c r="BO4" s="1">
        <v>50702</v>
      </c>
      <c r="BP4" s="1">
        <v>54190</v>
      </c>
      <c r="BQ4" s="1">
        <v>56567</v>
      </c>
      <c r="CL4" s="1">
        <f t="shared" ref="CL4:CL12" si="3">SUM(AU4:AX4)</f>
        <v>104062</v>
      </c>
      <c r="CM4" s="1">
        <f t="shared" ref="CM4:CM12" si="4">SUM(AY4:BB4)</f>
        <v>148951</v>
      </c>
      <c r="CN4" s="1">
        <f t="shared" ref="CN4:CN12" si="5">SUM(BC4:BF4)</f>
        <v>162450</v>
      </c>
      <c r="CO4" s="1">
        <f t="shared" ref="CO4:CO12" si="6">SUM(BG4:BJ4)</f>
        <v>175033</v>
      </c>
      <c r="CP4" s="1">
        <f t="shared" ref="CP4:CP12" si="7">SUM(BK4:BN4)</f>
        <v>198084</v>
      </c>
      <c r="CQ4" s="43">
        <f t="shared" ref="CQ4:CZ4" si="8">CP4*(1+CQ14)</f>
        <v>225815.76000000004</v>
      </c>
      <c r="CR4" s="43">
        <f t="shared" si="8"/>
        <v>259688.12400000001</v>
      </c>
      <c r="CS4" s="43">
        <f t="shared" si="8"/>
        <v>293447.58012</v>
      </c>
      <c r="CT4" s="43">
        <f t="shared" si="8"/>
        <v>325726.81393320003</v>
      </c>
      <c r="CU4" s="43">
        <f t="shared" si="8"/>
        <v>351784.95904785604</v>
      </c>
      <c r="CV4" s="43">
        <f t="shared" si="8"/>
        <v>376409.906181206</v>
      </c>
      <c r="CW4" s="43">
        <f t="shared" si="8"/>
        <v>398994.50055207836</v>
      </c>
      <c r="CX4" s="43">
        <f t="shared" si="8"/>
        <v>420939.19808244263</v>
      </c>
      <c r="CY4" s="43">
        <f t="shared" si="8"/>
        <v>441986.15798656479</v>
      </c>
      <c r="CZ4" s="43">
        <f t="shared" si="8"/>
        <v>461875.53509596019</v>
      </c>
    </row>
    <row r="5" spans="2:157">
      <c r="B5" s="28" t="s">
        <v>220</v>
      </c>
      <c r="AU5" s="1">
        <v>4038</v>
      </c>
      <c r="AV5" s="1">
        <v>3812</v>
      </c>
      <c r="AW5" s="1">
        <v>5037</v>
      </c>
      <c r="AX5" s="1">
        <f>19772-SUM(AU5:AW5)</f>
        <v>6885</v>
      </c>
      <c r="AY5" s="1">
        <v>6005</v>
      </c>
      <c r="AZ5" s="1">
        <v>7002</v>
      </c>
      <c r="BA5" s="1">
        <v>7205</v>
      </c>
      <c r="BB5" s="1">
        <f>28845-SUM(AY5:BA5)</f>
        <v>8633</v>
      </c>
      <c r="BC5" s="1">
        <v>6869</v>
      </c>
      <c r="BD5" s="1">
        <v>7340</v>
      </c>
      <c r="BE5" s="1">
        <v>7071</v>
      </c>
      <c r="BF5" s="1">
        <f>29243-SUM(BC5:BE5)</f>
        <v>7963</v>
      </c>
      <c r="BG5" s="1">
        <v>6693</v>
      </c>
      <c r="BH5" s="1">
        <v>7665</v>
      </c>
      <c r="BI5" s="1">
        <v>7952</v>
      </c>
      <c r="BJ5" s="1">
        <f>31510-SUM(BG5:BI5)</f>
        <v>9200</v>
      </c>
      <c r="BK5" s="1">
        <v>8090</v>
      </c>
      <c r="BL5" s="1">
        <v>8663</v>
      </c>
      <c r="BM5" s="1">
        <v>8921</v>
      </c>
      <c r="BN5" s="1">
        <f>36147-SUM(BK5:BM5)</f>
        <v>10473</v>
      </c>
      <c r="BO5" s="1">
        <v>8927</v>
      </c>
      <c r="BP5" s="1">
        <v>9796</v>
      </c>
      <c r="BQ5" s="1">
        <v>10261</v>
      </c>
      <c r="CL5" s="1">
        <f t="shared" si="3"/>
        <v>19772</v>
      </c>
      <c r="CM5" s="1">
        <f t="shared" si="4"/>
        <v>28845</v>
      </c>
      <c r="CN5" s="1">
        <f t="shared" si="5"/>
        <v>29243</v>
      </c>
      <c r="CO5" s="1">
        <f t="shared" si="6"/>
        <v>31510</v>
      </c>
      <c r="CP5" s="1">
        <f t="shared" si="7"/>
        <v>36147</v>
      </c>
      <c r="CQ5" s="43">
        <f t="shared" ref="CQ5:CZ5" si="9">CP5*(1+CQ15)</f>
        <v>41026.845000000001</v>
      </c>
      <c r="CR5" s="43">
        <f t="shared" si="9"/>
        <v>48411.677100000001</v>
      </c>
      <c r="CS5" s="43">
        <f t="shared" si="9"/>
        <v>56157.545436</v>
      </c>
      <c r="CT5" s="43">
        <f t="shared" si="9"/>
        <v>63458.026342679994</v>
      </c>
      <c r="CU5" s="43">
        <f t="shared" si="9"/>
        <v>70438.409240374793</v>
      </c>
      <c r="CV5" s="43">
        <f t="shared" si="9"/>
        <v>76777.866072008532</v>
      </c>
      <c r="CW5" s="43">
        <f t="shared" si="9"/>
        <v>82920.095357769213</v>
      </c>
      <c r="CX5" s="43">
        <f t="shared" si="9"/>
        <v>88724.502032813063</v>
      </c>
      <c r="CY5" s="43">
        <f t="shared" si="9"/>
        <v>94047.972154781848</v>
      </c>
      <c r="CZ5" s="43">
        <f t="shared" si="9"/>
        <v>98750.37076252095</v>
      </c>
    </row>
    <row r="6" spans="2:157">
      <c r="B6" s="28" t="s">
        <v>221</v>
      </c>
      <c r="AU6" s="1">
        <v>5223</v>
      </c>
      <c r="AV6" s="1">
        <v>4736</v>
      </c>
      <c r="AW6" s="1">
        <v>5720</v>
      </c>
      <c r="AX6" s="1">
        <f>23090-SUM(AU6:AW6)</f>
        <v>7411</v>
      </c>
      <c r="AY6" s="1">
        <v>6800</v>
      </c>
      <c r="AZ6" s="1">
        <v>7597</v>
      </c>
      <c r="BA6" s="1">
        <v>7999</v>
      </c>
      <c r="BB6" s="1">
        <f>31701-SUM(AY6:BA6)</f>
        <v>9305</v>
      </c>
      <c r="BC6" s="1">
        <v>8174</v>
      </c>
      <c r="BD6" s="1">
        <v>8259</v>
      </c>
      <c r="BE6" s="1">
        <v>7872</v>
      </c>
      <c r="BF6" s="1">
        <f>32780-SUM(BC6:BE6)</f>
        <v>8475</v>
      </c>
      <c r="BG6" s="1">
        <v>7496</v>
      </c>
      <c r="BH6" s="1">
        <v>7850</v>
      </c>
      <c r="BI6" s="1">
        <v>7669</v>
      </c>
      <c r="BJ6" s="1">
        <f>31312-SUM(BG6:BI6)</f>
        <v>8297</v>
      </c>
      <c r="BK6" s="1">
        <v>7413</v>
      </c>
      <c r="BL6" s="1">
        <v>7444</v>
      </c>
      <c r="BM6" s="1">
        <v>7548</v>
      </c>
      <c r="BN6" s="1">
        <f>30359-SUM(BK6:BM6)</f>
        <v>7954</v>
      </c>
      <c r="BO6" s="1">
        <v>7256</v>
      </c>
      <c r="BP6" s="1">
        <v>7354</v>
      </c>
      <c r="BQ6" s="1">
        <v>7354</v>
      </c>
      <c r="CL6" s="1">
        <f t="shared" si="3"/>
        <v>23090</v>
      </c>
      <c r="CM6" s="1">
        <f t="shared" si="4"/>
        <v>31701</v>
      </c>
      <c r="CN6" s="1">
        <f t="shared" si="5"/>
        <v>32780</v>
      </c>
      <c r="CO6" s="1">
        <f t="shared" si="6"/>
        <v>31312</v>
      </c>
      <c r="CP6" s="1">
        <f t="shared" si="7"/>
        <v>30359</v>
      </c>
      <c r="CQ6" s="43">
        <f t="shared" ref="CQ6:CZ6" si="10">CP6*(1+CQ16)</f>
        <v>29903.614999999998</v>
      </c>
      <c r="CR6" s="43">
        <f t="shared" si="10"/>
        <v>30202.651149999998</v>
      </c>
      <c r="CS6" s="43">
        <f t="shared" si="10"/>
        <v>30806.704172999998</v>
      </c>
      <c r="CT6" s="43">
        <f t="shared" si="10"/>
        <v>31730.905298189999</v>
      </c>
      <c r="CU6" s="43">
        <f t="shared" si="10"/>
        <v>33000.141510117603</v>
      </c>
      <c r="CV6" s="43">
        <f t="shared" si="10"/>
        <v>34650.148585623487</v>
      </c>
      <c r="CW6" s="43">
        <f t="shared" si="10"/>
        <v>36382.656014904664</v>
      </c>
      <c r="CX6" s="43">
        <f t="shared" si="10"/>
        <v>38201.788815649896</v>
      </c>
      <c r="CY6" s="43">
        <f t="shared" si="10"/>
        <v>40111.878256432392</v>
      </c>
      <c r="CZ6" s="43">
        <f t="shared" si="10"/>
        <v>42117.472169254012</v>
      </c>
    </row>
    <row r="7" spans="2:157" s="2" customFormat="1" ht="15">
      <c r="B7" s="32" t="s">
        <v>222</v>
      </c>
      <c r="AU7" s="2">
        <f t="shared" ref="AU7:BO7" si="11">SUM(AU4:AU6)</f>
        <v>33763</v>
      </c>
      <c r="AV7" s="2">
        <f t="shared" si="11"/>
        <v>29867</v>
      </c>
      <c r="AW7" s="2">
        <f t="shared" si="11"/>
        <v>37095</v>
      </c>
      <c r="AX7" s="2">
        <f t="shared" si="11"/>
        <v>46199</v>
      </c>
      <c r="AY7" s="2">
        <f t="shared" si="11"/>
        <v>44684</v>
      </c>
      <c r="AZ7" s="2">
        <f t="shared" si="11"/>
        <v>50444</v>
      </c>
      <c r="BA7" s="2">
        <f t="shared" si="11"/>
        <v>53130</v>
      </c>
      <c r="BB7" s="2">
        <f t="shared" si="11"/>
        <v>61239</v>
      </c>
      <c r="BC7" s="2">
        <f t="shared" si="11"/>
        <v>54661</v>
      </c>
      <c r="BD7" s="2">
        <f t="shared" si="11"/>
        <v>56288</v>
      </c>
      <c r="BE7" s="2">
        <f t="shared" si="11"/>
        <v>54482</v>
      </c>
      <c r="BF7" s="2">
        <f t="shared" si="11"/>
        <v>59042</v>
      </c>
      <c r="BG7" s="2">
        <f t="shared" si="11"/>
        <v>54548</v>
      </c>
      <c r="BH7" s="2">
        <f t="shared" si="11"/>
        <v>58143</v>
      </c>
      <c r="BI7" s="2">
        <f t="shared" si="11"/>
        <v>59647</v>
      </c>
      <c r="BJ7" s="2">
        <f t="shared" si="11"/>
        <v>65517</v>
      </c>
      <c r="BK7" s="2">
        <f t="shared" si="11"/>
        <v>61659</v>
      </c>
      <c r="BL7" s="2">
        <f t="shared" si="11"/>
        <v>64616</v>
      </c>
      <c r="BM7" s="2">
        <f t="shared" si="11"/>
        <v>65854</v>
      </c>
      <c r="BN7" s="2">
        <f t="shared" si="11"/>
        <v>72461</v>
      </c>
      <c r="BO7" s="2">
        <f t="shared" si="11"/>
        <v>66885</v>
      </c>
      <c r="BP7" s="2">
        <f t="shared" ref="BP7:BQ7" si="12">SUM(BP4:BP6)</f>
        <v>71340</v>
      </c>
      <c r="BQ7" s="2">
        <f t="shared" si="12"/>
        <v>74182</v>
      </c>
      <c r="BR7" s="26"/>
      <c r="BS7" s="26"/>
      <c r="BT7" s="26"/>
      <c r="BU7" s="26"/>
      <c r="BV7" s="26"/>
      <c r="BW7" s="26"/>
      <c r="BX7" s="26"/>
      <c r="BY7" s="26"/>
      <c r="BZ7" s="26"/>
      <c r="CL7" s="2">
        <f t="shared" si="3"/>
        <v>146924</v>
      </c>
      <c r="CM7" s="2">
        <f t="shared" si="4"/>
        <v>209497</v>
      </c>
      <c r="CN7" s="2">
        <f t="shared" si="5"/>
        <v>224473</v>
      </c>
      <c r="CO7" s="2">
        <f t="shared" si="6"/>
        <v>237855</v>
      </c>
      <c r="CP7" s="2">
        <f t="shared" si="7"/>
        <v>264590</v>
      </c>
      <c r="CQ7" s="44">
        <f t="shared" ref="CQ7:CZ7" si="13">SUM(CQ4:CQ6)</f>
        <v>296746.22000000003</v>
      </c>
      <c r="CR7" s="44">
        <f t="shared" si="13"/>
        <v>338302.45225000003</v>
      </c>
      <c r="CS7" s="44">
        <f t="shared" si="13"/>
        <v>380411.82972899999</v>
      </c>
      <c r="CT7" s="44">
        <f t="shared" si="13"/>
        <v>420915.74557407002</v>
      </c>
      <c r="CU7" s="44">
        <f t="shared" si="13"/>
        <v>455223.50979834847</v>
      </c>
      <c r="CV7" s="44">
        <f t="shared" si="13"/>
        <v>487837.92083883798</v>
      </c>
      <c r="CW7" s="44">
        <f t="shared" si="13"/>
        <v>518297.25192475226</v>
      </c>
      <c r="CX7" s="44">
        <f t="shared" si="13"/>
        <v>547865.48893090559</v>
      </c>
      <c r="CY7" s="44">
        <f t="shared" si="13"/>
        <v>576146.00839777896</v>
      </c>
      <c r="CZ7" s="44">
        <f t="shared" si="13"/>
        <v>602743.37802773516</v>
      </c>
      <c r="DA7" s="26"/>
      <c r="DB7" s="26"/>
      <c r="DC7" s="26"/>
      <c r="DD7" s="26"/>
      <c r="DE7" s="26"/>
      <c r="DF7" s="26"/>
      <c r="DG7" s="26"/>
      <c r="DH7" s="26"/>
      <c r="DI7" s="26"/>
      <c r="DJ7" s="26"/>
      <c r="DK7" s="26"/>
      <c r="DL7" s="26"/>
      <c r="DM7" s="26"/>
      <c r="DN7" s="26"/>
      <c r="DO7" s="26"/>
      <c r="DP7" s="26"/>
      <c r="DQ7" s="26"/>
      <c r="DR7" s="26"/>
      <c r="DS7" s="26"/>
      <c r="DT7" s="26"/>
      <c r="DU7" s="26"/>
      <c r="DV7" s="26"/>
      <c r="DW7" s="26"/>
      <c r="DX7" s="26"/>
      <c r="DY7" s="26"/>
      <c r="DZ7" s="26"/>
      <c r="EA7" s="26"/>
      <c r="EB7" s="26"/>
      <c r="EC7" s="26"/>
      <c r="ED7" s="26"/>
      <c r="EE7" s="26"/>
      <c r="EF7" s="26"/>
      <c r="EG7" s="26"/>
      <c r="EH7" s="26"/>
      <c r="EI7" s="26"/>
      <c r="EJ7" s="26"/>
      <c r="EK7" s="26"/>
      <c r="EL7" s="26"/>
      <c r="EM7" s="26"/>
      <c r="EN7" s="26"/>
      <c r="EO7" s="26"/>
      <c r="EP7" s="26"/>
      <c r="EQ7" s="26"/>
      <c r="ER7" s="26"/>
      <c r="ES7" s="26"/>
      <c r="ET7" s="26"/>
      <c r="EU7" s="26"/>
      <c r="EV7" s="26"/>
      <c r="EW7" s="26"/>
      <c r="EX7" s="26"/>
    </row>
    <row r="8" spans="2:157">
      <c r="B8" s="28" t="s">
        <v>230</v>
      </c>
      <c r="AU8" s="1">
        <v>4435</v>
      </c>
      <c r="AV8" s="1">
        <v>5124</v>
      </c>
      <c r="AW8" s="1">
        <v>5478</v>
      </c>
      <c r="AX8" s="1">
        <f>21711-SUM(AU8:AW8)</f>
        <v>6674</v>
      </c>
      <c r="AY8" s="1">
        <v>6494</v>
      </c>
      <c r="AZ8" s="1">
        <v>6623</v>
      </c>
      <c r="BA8" s="1">
        <v>6754</v>
      </c>
      <c r="BB8" s="1">
        <f>28032-SUM(AY8:BA8)</f>
        <v>8161</v>
      </c>
      <c r="BC8" s="1">
        <v>6811</v>
      </c>
      <c r="BD8" s="1">
        <v>6553</v>
      </c>
      <c r="BE8" s="1">
        <v>6895</v>
      </c>
      <c r="BF8" s="1">
        <f>29055-SUM(BC8:BE8)</f>
        <v>8796</v>
      </c>
      <c r="BG8" s="1">
        <v>7413</v>
      </c>
      <c r="BH8" s="1">
        <v>8142</v>
      </c>
      <c r="BI8" s="1">
        <v>8339</v>
      </c>
      <c r="BJ8" s="1">
        <f>34688-SUM(BG8:BI8)</f>
        <v>10794</v>
      </c>
      <c r="BK8" s="1">
        <v>8739</v>
      </c>
      <c r="BL8" s="1">
        <v>9312</v>
      </c>
      <c r="BM8" s="1">
        <v>10656</v>
      </c>
      <c r="BN8" s="1">
        <f>40340-SUM(BK8:BM8)</f>
        <v>11633</v>
      </c>
      <c r="BO8" s="1">
        <v>10379</v>
      </c>
      <c r="BP8" s="1">
        <v>11203</v>
      </c>
      <c r="BQ8" s="1">
        <v>12870</v>
      </c>
      <c r="CL8" s="1">
        <f t="shared" si="3"/>
        <v>21711</v>
      </c>
      <c r="CM8" s="1">
        <f t="shared" si="4"/>
        <v>28032</v>
      </c>
      <c r="CN8" s="1">
        <f t="shared" si="5"/>
        <v>29055</v>
      </c>
      <c r="CO8" s="1">
        <f t="shared" si="6"/>
        <v>34688</v>
      </c>
      <c r="CP8" s="1">
        <f t="shared" si="7"/>
        <v>40340</v>
      </c>
      <c r="CQ8" s="43">
        <f t="shared" ref="CQ8:CZ8" si="14">CP8*(1+CQ18)</f>
        <v>48004.6</v>
      </c>
      <c r="CR8" s="43">
        <f t="shared" si="14"/>
        <v>58085.565999999999</v>
      </c>
      <c r="CS8" s="43">
        <f t="shared" si="14"/>
        <v>68540.967879999997</v>
      </c>
      <c r="CT8" s="43">
        <f t="shared" si="14"/>
        <v>79507.522740799992</v>
      </c>
      <c r="CU8" s="43">
        <f t="shared" si="14"/>
        <v>90638.575924511999</v>
      </c>
      <c r="CV8" s="43">
        <f t="shared" si="14"/>
        <v>102421.59079469855</v>
      </c>
      <c r="CW8" s="43">
        <f t="shared" si="14"/>
        <v>114712.1816900624</v>
      </c>
      <c r="CX8" s="43">
        <f t="shared" si="14"/>
        <v>127330.52167596927</v>
      </c>
      <c r="CY8" s="43">
        <f t="shared" si="14"/>
        <v>138790.2686268065</v>
      </c>
      <c r="CZ8" s="43">
        <f t="shared" si="14"/>
        <v>148505.58743068296</v>
      </c>
    </row>
    <row r="9" spans="2:157">
      <c r="B9" s="28" t="s">
        <v>223</v>
      </c>
      <c r="AU9" s="1">
        <v>2777</v>
      </c>
      <c r="AV9" s="1">
        <v>3007</v>
      </c>
      <c r="AW9" s="1">
        <v>3444</v>
      </c>
      <c r="AX9" s="1">
        <f>13059-SUM(AU9:AW9)</f>
        <v>3831</v>
      </c>
      <c r="AY9" s="1">
        <v>4047</v>
      </c>
      <c r="AZ9" s="1">
        <v>4628</v>
      </c>
      <c r="BA9" s="1">
        <v>4990</v>
      </c>
      <c r="BB9" s="1">
        <f>19206-SUM(AY9:BA9)</f>
        <v>5541</v>
      </c>
      <c r="BC9" s="1">
        <v>5821</v>
      </c>
      <c r="BD9" s="1">
        <v>6276</v>
      </c>
      <c r="BE9" s="1">
        <v>6868</v>
      </c>
      <c r="BF9" s="1">
        <f>26280-SUM(BC9:BE9)</f>
        <v>7315</v>
      </c>
      <c r="BG9" s="1">
        <v>7454</v>
      </c>
      <c r="BH9" s="1">
        <v>8031</v>
      </c>
      <c r="BI9" s="1">
        <v>8411</v>
      </c>
      <c r="BJ9" s="1">
        <f>33088-SUM(BG9:BI9)</f>
        <v>9192</v>
      </c>
      <c r="BK9" s="1">
        <v>9574</v>
      </c>
      <c r="BL9" s="1">
        <v>10347</v>
      </c>
      <c r="BM9" s="1">
        <v>11353</v>
      </c>
      <c r="BN9" s="1">
        <f>43229-SUM(BK9:BM9)</f>
        <v>11955</v>
      </c>
      <c r="BO9" s="1">
        <v>12260</v>
      </c>
      <c r="BP9" s="1">
        <v>13624</v>
      </c>
      <c r="BQ9" s="1">
        <v>15157</v>
      </c>
      <c r="CL9" s="1">
        <f t="shared" si="3"/>
        <v>13059</v>
      </c>
      <c r="CM9" s="1">
        <f t="shared" si="4"/>
        <v>19206</v>
      </c>
      <c r="CN9" s="1">
        <f t="shared" si="5"/>
        <v>26280</v>
      </c>
      <c r="CO9" s="1">
        <f t="shared" si="6"/>
        <v>33088</v>
      </c>
      <c r="CP9" s="1">
        <f t="shared" si="7"/>
        <v>43229</v>
      </c>
      <c r="CQ9" s="43">
        <f t="shared" ref="CQ9:CZ9" si="15">CP9*(1+CQ19)</f>
        <v>55765.41</v>
      </c>
      <c r="CR9" s="43">
        <f t="shared" si="15"/>
        <v>69149.108399999997</v>
      </c>
      <c r="CS9" s="43">
        <f t="shared" si="15"/>
        <v>84361.912247999993</v>
      </c>
      <c r="CT9" s="43">
        <f t="shared" si="15"/>
        <v>101234.29469759999</v>
      </c>
      <c r="CU9" s="43">
        <f t="shared" si="15"/>
        <v>119456.46774316799</v>
      </c>
      <c r="CV9" s="43">
        <f t="shared" si="15"/>
        <v>138569.50258207487</v>
      </c>
      <c r="CW9" s="43">
        <f t="shared" si="15"/>
        <v>157969.23294356538</v>
      </c>
      <c r="CX9" s="43">
        <f t="shared" si="15"/>
        <v>175345.84856735758</v>
      </c>
      <c r="CY9" s="43">
        <f t="shared" si="15"/>
        <v>192880.43342409335</v>
      </c>
      <c r="CZ9" s="43">
        <f t="shared" si="15"/>
        <v>210239.67243226178</v>
      </c>
    </row>
    <row r="10" spans="2:157">
      <c r="B10" s="28" t="s">
        <v>154</v>
      </c>
      <c r="AU10" s="1">
        <v>135</v>
      </c>
      <c r="AV10" s="1">
        <v>148</v>
      </c>
      <c r="AW10" s="1">
        <v>178</v>
      </c>
      <c r="AX10" s="1">
        <f>657-SUM(AU10:AW10)</f>
        <v>196</v>
      </c>
      <c r="AY10" s="1">
        <v>198</v>
      </c>
      <c r="AZ10" s="1">
        <v>192</v>
      </c>
      <c r="BA10" s="1">
        <v>182</v>
      </c>
      <c r="BB10" s="1">
        <f>753-SUM(AY10:BA10)</f>
        <v>181</v>
      </c>
      <c r="BC10" s="1">
        <v>440</v>
      </c>
      <c r="BD10" s="1">
        <v>193</v>
      </c>
      <c r="BE10" s="1">
        <v>209</v>
      </c>
      <c r="BF10" s="1">
        <f>1068-SUM(BC10:BE10)</f>
        <v>226</v>
      </c>
      <c r="BG10" s="1">
        <v>288</v>
      </c>
      <c r="BH10" s="1">
        <v>285</v>
      </c>
      <c r="BI10" s="1">
        <v>297</v>
      </c>
      <c r="BJ10" s="1">
        <f>1527-SUM(BG10:BI10)</f>
        <v>657</v>
      </c>
      <c r="BK10" s="1">
        <v>495</v>
      </c>
      <c r="BL10" s="1">
        <v>365</v>
      </c>
      <c r="BM10" s="1">
        <v>388</v>
      </c>
      <c r="BN10" s="1">
        <f>1648-SUM(BK10:BM10)</f>
        <v>400</v>
      </c>
      <c r="BO10" s="1">
        <v>450</v>
      </c>
      <c r="BP10" s="1">
        <v>373</v>
      </c>
      <c r="BQ10" s="1">
        <v>344</v>
      </c>
      <c r="CL10" s="1">
        <f t="shared" si="3"/>
        <v>657</v>
      </c>
      <c r="CM10" s="1">
        <f t="shared" si="4"/>
        <v>753</v>
      </c>
      <c r="CN10" s="1">
        <f t="shared" si="5"/>
        <v>1068</v>
      </c>
      <c r="CO10" s="1">
        <f t="shared" si="6"/>
        <v>1527</v>
      </c>
      <c r="CP10" s="1">
        <f t="shared" si="7"/>
        <v>1648</v>
      </c>
      <c r="CQ10" s="43">
        <f t="shared" ref="CQ10:CZ10" si="16">CP10*(1+CQ20)</f>
        <v>1615.04</v>
      </c>
      <c r="CR10" s="43">
        <f t="shared" si="16"/>
        <v>1857.2959999999998</v>
      </c>
      <c r="CS10" s="43">
        <f t="shared" si="16"/>
        <v>2228.7551999999996</v>
      </c>
      <c r="CT10" s="43">
        <f t="shared" si="16"/>
        <v>2674.5062399999993</v>
      </c>
      <c r="CU10" s="43">
        <f t="shared" si="16"/>
        <v>3102.4272383999987</v>
      </c>
      <c r="CV10" s="43">
        <f t="shared" si="16"/>
        <v>3474.7185070079991</v>
      </c>
      <c r="CW10" s="43">
        <f t="shared" si="16"/>
        <v>3752.6959875686393</v>
      </c>
      <c r="CX10" s="43">
        <f t="shared" si="16"/>
        <v>3977.8577468227577</v>
      </c>
      <c r="CY10" s="43">
        <f t="shared" si="16"/>
        <v>4136.9720566956685</v>
      </c>
      <c r="CZ10" s="43">
        <f t="shared" si="16"/>
        <v>4302.450938963495</v>
      </c>
    </row>
    <row r="11" spans="2:157">
      <c r="B11" s="28" t="s">
        <v>224</v>
      </c>
      <c r="AU11" s="1">
        <v>49</v>
      </c>
      <c r="AV11" s="1">
        <v>151</v>
      </c>
      <c r="AW11" s="1">
        <v>-22</v>
      </c>
      <c r="AX11" s="1">
        <f>176-SUM(AU11:AW11)</f>
        <v>-2</v>
      </c>
      <c r="AY11" s="1">
        <v>-109</v>
      </c>
      <c r="AZ11" s="1">
        <v>-7</v>
      </c>
      <c r="BA11" s="1">
        <v>62</v>
      </c>
      <c r="BB11" s="1">
        <f>149-SUM(AY11:BA11)</f>
        <v>203</v>
      </c>
      <c r="BC11" s="1">
        <v>278</v>
      </c>
      <c r="BD11" s="1">
        <v>375</v>
      </c>
      <c r="BE11" s="1">
        <v>638</v>
      </c>
      <c r="BF11" s="1">
        <f>1960-SUM(BC11:BE11)</f>
        <v>669</v>
      </c>
      <c r="BG11" s="1">
        <v>84</v>
      </c>
      <c r="BH11" s="1">
        <v>3</v>
      </c>
      <c r="BI11" s="1">
        <v>-1</v>
      </c>
      <c r="BJ11" s="1">
        <f>236-SUM(BG11:BI11)</f>
        <v>150</v>
      </c>
      <c r="BK11" s="1">
        <v>72</v>
      </c>
      <c r="BL11" s="1">
        <v>102</v>
      </c>
      <c r="BM11" s="1">
        <v>17</v>
      </c>
      <c r="BN11" s="1">
        <f>211-SUM(BK11:BM11)</f>
        <v>20</v>
      </c>
      <c r="BO11" s="1">
        <v>260</v>
      </c>
      <c r="BP11" s="1">
        <v>-112</v>
      </c>
      <c r="BQ11" s="1">
        <v>-207</v>
      </c>
      <c r="CL11" s="1">
        <f t="shared" si="3"/>
        <v>176</v>
      </c>
      <c r="CM11" s="1">
        <f t="shared" si="4"/>
        <v>149</v>
      </c>
      <c r="CN11" s="1">
        <f t="shared" si="5"/>
        <v>1960</v>
      </c>
      <c r="CO11" s="1">
        <f t="shared" si="6"/>
        <v>236</v>
      </c>
      <c r="CP11" s="1">
        <f t="shared" si="7"/>
        <v>211</v>
      </c>
      <c r="CQ11" s="43">
        <f t="shared" ref="CQ11:CZ11" si="17">CP11*1.02</f>
        <v>215.22</v>
      </c>
      <c r="CR11" s="43">
        <f t="shared" si="17"/>
        <v>219.52440000000001</v>
      </c>
      <c r="CS11" s="43">
        <f t="shared" si="17"/>
        <v>223.91488800000002</v>
      </c>
      <c r="CT11" s="43">
        <f t="shared" si="17"/>
        <v>228.39318576000002</v>
      </c>
      <c r="CU11" s="43">
        <f t="shared" si="17"/>
        <v>232.96104947520001</v>
      </c>
      <c r="CV11" s="43">
        <f t="shared" si="17"/>
        <v>237.62027046470402</v>
      </c>
      <c r="CW11" s="43">
        <f t="shared" si="17"/>
        <v>242.37267587399811</v>
      </c>
      <c r="CX11" s="43">
        <f t="shared" si="17"/>
        <v>247.22012939147808</v>
      </c>
      <c r="CY11" s="43">
        <f t="shared" si="17"/>
        <v>252.16453197930764</v>
      </c>
      <c r="CZ11" s="43">
        <f t="shared" si="17"/>
        <v>257.20782261889377</v>
      </c>
    </row>
    <row r="12" spans="2:157" s="2" customFormat="1" ht="15">
      <c r="B12" s="25" t="s">
        <v>51</v>
      </c>
      <c r="AU12" s="2">
        <f t="shared" ref="AU12:BO12" si="18">SUM(AU7:AU11)</f>
        <v>41159</v>
      </c>
      <c r="AV12" s="2">
        <f t="shared" si="18"/>
        <v>38297</v>
      </c>
      <c r="AW12" s="2">
        <f t="shared" si="18"/>
        <v>46173</v>
      </c>
      <c r="AX12" s="2">
        <f t="shared" si="18"/>
        <v>56898</v>
      </c>
      <c r="AY12" s="2">
        <f t="shared" si="18"/>
        <v>55314</v>
      </c>
      <c r="AZ12" s="2">
        <f t="shared" si="18"/>
        <v>61880</v>
      </c>
      <c r="BA12" s="2">
        <f t="shared" si="18"/>
        <v>65118</v>
      </c>
      <c r="BB12" s="2">
        <f t="shared" si="18"/>
        <v>75325</v>
      </c>
      <c r="BC12" s="2">
        <f t="shared" si="18"/>
        <v>68011</v>
      </c>
      <c r="BD12" s="2">
        <f t="shared" si="18"/>
        <v>69685</v>
      </c>
      <c r="BE12" s="2">
        <f t="shared" si="18"/>
        <v>69092</v>
      </c>
      <c r="BF12" s="2">
        <f t="shared" si="18"/>
        <v>76048</v>
      </c>
      <c r="BG12" s="2">
        <f t="shared" si="18"/>
        <v>69787</v>
      </c>
      <c r="BH12" s="2">
        <f t="shared" si="18"/>
        <v>74604</v>
      </c>
      <c r="BI12" s="2">
        <f t="shared" si="18"/>
        <v>76693</v>
      </c>
      <c r="BJ12" s="2">
        <f t="shared" si="18"/>
        <v>86310</v>
      </c>
      <c r="BK12" s="2">
        <f t="shared" si="18"/>
        <v>80539</v>
      </c>
      <c r="BL12" s="2">
        <f t="shared" si="18"/>
        <v>84742</v>
      </c>
      <c r="BM12" s="2">
        <f t="shared" si="18"/>
        <v>88268</v>
      </c>
      <c r="BN12" s="2">
        <f t="shared" si="18"/>
        <v>96469</v>
      </c>
      <c r="BO12" s="2">
        <f t="shared" si="18"/>
        <v>90234</v>
      </c>
      <c r="BP12" s="2">
        <f t="shared" ref="BP12:BQ12" si="19">SUM(BP7:BP11)</f>
        <v>96428</v>
      </c>
      <c r="BQ12" s="2">
        <f t="shared" si="19"/>
        <v>102346</v>
      </c>
      <c r="BR12" s="26"/>
      <c r="BS12" s="26"/>
      <c r="BT12" s="26"/>
      <c r="BU12" s="26"/>
      <c r="BV12" s="26"/>
      <c r="BW12" s="26"/>
      <c r="BX12" s="26"/>
      <c r="BY12" s="26"/>
      <c r="BZ12" s="26"/>
      <c r="CL12" s="2">
        <f t="shared" si="3"/>
        <v>182527</v>
      </c>
      <c r="CM12" s="2">
        <f t="shared" si="4"/>
        <v>257637</v>
      </c>
      <c r="CN12" s="2">
        <f t="shared" si="5"/>
        <v>282836</v>
      </c>
      <c r="CO12" s="2">
        <f t="shared" si="6"/>
        <v>307394</v>
      </c>
      <c r="CP12" s="2">
        <f t="shared" si="7"/>
        <v>350018</v>
      </c>
      <c r="CQ12" s="44">
        <f t="shared" ref="CQ12:CZ12" si="20">SUM(CQ8:CQ11)+CQ7</f>
        <v>402346.49000000005</v>
      </c>
      <c r="CR12" s="44">
        <f t="shared" si="20"/>
        <v>467613.94705000002</v>
      </c>
      <c r="CS12" s="44">
        <f t="shared" si="20"/>
        <v>535767.37994499994</v>
      </c>
      <c r="CT12" s="44">
        <f t="shared" si="20"/>
        <v>604560.46243823005</v>
      </c>
      <c r="CU12" s="44">
        <f t="shared" si="20"/>
        <v>668653.94175390364</v>
      </c>
      <c r="CV12" s="44">
        <f t="shared" si="20"/>
        <v>732541.35299308412</v>
      </c>
      <c r="CW12" s="44">
        <f t="shared" si="20"/>
        <v>794973.73522182263</v>
      </c>
      <c r="CX12" s="44">
        <f t="shared" si="20"/>
        <v>854766.93705044664</v>
      </c>
      <c r="CY12" s="44">
        <f t="shared" si="20"/>
        <v>912205.84703735379</v>
      </c>
      <c r="CZ12" s="44">
        <f t="shared" si="20"/>
        <v>966048.29665226233</v>
      </c>
      <c r="DA12" s="26"/>
      <c r="DB12" s="26"/>
      <c r="DC12" s="26"/>
      <c r="DD12" s="26"/>
      <c r="DE12" s="26"/>
      <c r="DF12" s="26"/>
      <c r="DG12" s="26"/>
      <c r="DH12" s="26"/>
      <c r="DI12" s="26"/>
      <c r="DJ12" s="26"/>
      <c r="DK12" s="26"/>
      <c r="DL12" s="26"/>
      <c r="DM12" s="26"/>
      <c r="DN12" s="26"/>
      <c r="DO12" s="26"/>
      <c r="DP12" s="26"/>
      <c r="DQ12" s="26"/>
      <c r="DR12" s="26"/>
      <c r="DS12" s="26"/>
      <c r="DT12" s="26"/>
      <c r="DU12" s="26"/>
      <c r="DV12" s="26"/>
      <c r="DW12" s="26"/>
      <c r="DX12" s="26"/>
      <c r="DY12" s="26"/>
      <c r="DZ12" s="26"/>
      <c r="EA12" s="26"/>
      <c r="EB12" s="26"/>
      <c r="EC12" s="26"/>
      <c r="ED12" s="26"/>
      <c r="EE12" s="26"/>
      <c r="EF12" s="26"/>
      <c r="EG12" s="26"/>
      <c r="EH12" s="26"/>
      <c r="EI12" s="26"/>
      <c r="EJ12" s="26"/>
      <c r="EK12" s="26"/>
      <c r="EL12" s="26"/>
      <c r="EM12" s="26"/>
      <c r="EN12" s="26"/>
      <c r="EO12" s="26"/>
      <c r="EP12" s="26"/>
      <c r="EQ12" s="26"/>
      <c r="ER12" s="26"/>
      <c r="ES12" s="26"/>
      <c r="ET12" s="26"/>
      <c r="EU12" s="26"/>
      <c r="EV12" s="26"/>
      <c r="EW12" s="26"/>
      <c r="EX12" s="26"/>
    </row>
    <row r="13" spans="2:157">
      <c r="B13" s="28"/>
    </row>
    <row r="14" spans="2:157">
      <c r="B14" s="28" t="s">
        <v>225</v>
      </c>
      <c r="AY14" s="33">
        <f t="shared" ref="AY14:BH20" si="21">AY4/AU4-1</f>
        <v>0.30107746306423966</v>
      </c>
      <c r="AZ14" s="33">
        <f t="shared" si="21"/>
        <v>0.68136404146535945</v>
      </c>
      <c r="BA14" s="33">
        <f t="shared" si="21"/>
        <v>0.43997266307236682</v>
      </c>
      <c r="BB14" s="33">
        <f t="shared" si="21"/>
        <v>0.35727047613077145</v>
      </c>
      <c r="BC14" s="33">
        <f t="shared" si="21"/>
        <v>0.24276169265033398</v>
      </c>
      <c r="BD14" s="33">
        <f t="shared" si="21"/>
        <v>0.13513739712651684</v>
      </c>
      <c r="BE14" s="33">
        <f t="shared" si="21"/>
        <v>4.2530190370722032E-2</v>
      </c>
      <c r="BF14" s="33">
        <f t="shared" si="21"/>
        <v>-1.6096625943973542E-2</v>
      </c>
      <c r="BG14" s="33">
        <f t="shared" si="21"/>
        <v>1.8703619566863505E-2</v>
      </c>
      <c r="BH14" s="33">
        <f t="shared" si="21"/>
        <v>4.7654157143208309E-2</v>
      </c>
      <c r="BI14" s="33">
        <f t="shared" ref="BI14:BQ20" si="22">BI4/BE4-1</f>
        <v>0.11348289031083225</v>
      </c>
      <c r="BJ14" s="33">
        <f t="shared" si="22"/>
        <v>0.12712421368885551</v>
      </c>
      <c r="BK14" s="33">
        <f t="shared" si="22"/>
        <v>0.14363586808394668</v>
      </c>
      <c r="BL14" s="33">
        <f t="shared" si="22"/>
        <v>0.13796096462419061</v>
      </c>
      <c r="BM14" s="33">
        <f t="shared" si="22"/>
        <v>0.12172352700676869</v>
      </c>
      <c r="BN14" s="33">
        <f t="shared" si="22"/>
        <v>0.12523948354852155</v>
      </c>
      <c r="BO14" s="33">
        <f t="shared" si="22"/>
        <v>9.8492070370049367E-2</v>
      </c>
      <c r="BP14" s="33">
        <f t="shared" si="22"/>
        <v>0.11711228844132027</v>
      </c>
      <c r="BQ14" s="33">
        <f t="shared" si="22"/>
        <v>0.14542877391920617</v>
      </c>
      <c r="CM14" s="33">
        <f t="shared" ref="CM14:CP20" si="23">CM4/CL4-1</f>
        <v>0.43136783840402826</v>
      </c>
      <c r="CN14" s="33">
        <f t="shared" si="23"/>
        <v>9.0627118985438182E-2</v>
      </c>
      <c r="CO14" s="33">
        <f t="shared" si="23"/>
        <v>7.7457679285934056E-2</v>
      </c>
      <c r="CP14" s="33">
        <f t="shared" si="23"/>
        <v>0.13169516605440124</v>
      </c>
      <c r="CQ14" s="62">
        <v>0.14000000000000001</v>
      </c>
      <c r="CR14" s="62">
        <v>0.15</v>
      </c>
      <c r="CS14" s="62">
        <v>0.13</v>
      </c>
      <c r="CT14" s="62">
        <v>0.11</v>
      </c>
      <c r="CU14" s="62">
        <v>0.08</v>
      </c>
      <c r="CV14" s="62">
        <v>7.0000000000000007E-2</v>
      </c>
      <c r="CW14" s="62">
        <v>0.06</v>
      </c>
      <c r="CX14" s="62">
        <v>5.5E-2</v>
      </c>
      <c r="CY14" s="62">
        <v>0.05</v>
      </c>
      <c r="CZ14" s="62">
        <v>4.4999999999999998E-2</v>
      </c>
    </row>
    <row r="15" spans="2:157">
      <c r="B15" s="28" t="s">
        <v>226</v>
      </c>
      <c r="AY15" s="33">
        <f t="shared" si="21"/>
        <v>0.48712233779098568</v>
      </c>
      <c r="AZ15" s="33">
        <f t="shared" si="21"/>
        <v>0.83683105981112282</v>
      </c>
      <c r="BA15" s="33">
        <f t="shared" si="21"/>
        <v>0.4304149295215407</v>
      </c>
      <c r="BB15" s="33">
        <f t="shared" si="21"/>
        <v>0.25388525780682647</v>
      </c>
      <c r="BC15" s="33">
        <f t="shared" si="21"/>
        <v>0.143880099916736</v>
      </c>
      <c r="BD15" s="33">
        <f t="shared" si="21"/>
        <v>4.8271922307911996E-2</v>
      </c>
      <c r="BE15" s="33">
        <f t="shared" si="21"/>
        <v>-1.8598195697432374E-2</v>
      </c>
      <c r="BF15" s="33">
        <f t="shared" si="21"/>
        <v>-7.7609174099386058E-2</v>
      </c>
      <c r="BG15" s="33">
        <f t="shared" si="21"/>
        <v>-2.5622361333527466E-2</v>
      </c>
      <c r="BH15" s="33">
        <f t="shared" si="21"/>
        <v>4.4277929155313256E-2</v>
      </c>
      <c r="BI15" s="33">
        <f t="shared" si="22"/>
        <v>0.12459340970159816</v>
      </c>
      <c r="BJ15" s="33">
        <f t="shared" si="22"/>
        <v>0.15534346351877426</v>
      </c>
      <c r="BK15" s="33">
        <f t="shared" si="22"/>
        <v>0.20872553414014638</v>
      </c>
      <c r="BL15" s="33">
        <f t="shared" si="22"/>
        <v>0.13020221787345077</v>
      </c>
      <c r="BM15" s="33">
        <f t="shared" si="22"/>
        <v>0.12185613682092544</v>
      </c>
      <c r="BN15" s="33">
        <f t="shared" si="22"/>
        <v>0.1383695652173913</v>
      </c>
      <c r="BO15" s="33">
        <f t="shared" si="22"/>
        <v>0.10346106304079106</v>
      </c>
      <c r="BP15" s="33">
        <f t="shared" si="22"/>
        <v>0.1307861018123051</v>
      </c>
      <c r="BQ15" s="33">
        <f t="shared" si="22"/>
        <v>0.15020737585472488</v>
      </c>
      <c r="CM15" s="33">
        <f t="shared" si="23"/>
        <v>0.45888124620675708</v>
      </c>
      <c r="CN15" s="33">
        <f t="shared" si="23"/>
        <v>1.3797885248743258E-2</v>
      </c>
      <c r="CO15" s="33">
        <f t="shared" si="23"/>
        <v>7.7522825975447018E-2</v>
      </c>
      <c r="CP15" s="33">
        <f t="shared" si="23"/>
        <v>0.14715963186290071</v>
      </c>
      <c r="CQ15" s="62">
        <v>0.13500000000000001</v>
      </c>
      <c r="CR15" s="62">
        <v>0.18</v>
      </c>
      <c r="CS15" s="62">
        <v>0.16</v>
      </c>
      <c r="CT15" s="62">
        <v>0.13</v>
      </c>
      <c r="CU15" s="62">
        <v>0.11</v>
      </c>
      <c r="CV15" s="62">
        <v>0.09</v>
      </c>
      <c r="CW15" s="62">
        <v>0.08</v>
      </c>
      <c r="CX15" s="62">
        <v>7.0000000000000007E-2</v>
      </c>
      <c r="CY15" s="62">
        <v>0.06</v>
      </c>
      <c r="CZ15" s="62">
        <v>0.05</v>
      </c>
    </row>
    <row r="16" spans="2:157">
      <c r="B16" s="28" t="s">
        <v>227</v>
      </c>
      <c r="AY16" s="33">
        <f t="shared" si="21"/>
        <v>0.30193375454719518</v>
      </c>
      <c r="AZ16" s="33">
        <f t="shared" si="21"/>
        <v>0.60409628378378377</v>
      </c>
      <c r="BA16" s="33">
        <f t="shared" si="21"/>
        <v>0.3984265734265735</v>
      </c>
      <c r="BB16" s="33">
        <f t="shared" si="21"/>
        <v>0.25556605046552416</v>
      </c>
      <c r="BC16" s="33">
        <f t="shared" si="21"/>
        <v>0.20205882352941185</v>
      </c>
      <c r="BD16" s="33">
        <f t="shared" si="21"/>
        <v>8.7139660392260065E-2</v>
      </c>
      <c r="BE16" s="33">
        <f t="shared" si="21"/>
        <v>-1.587698462307785E-2</v>
      </c>
      <c r="BF16" s="33">
        <f t="shared" si="21"/>
        <v>-8.9199355185384244E-2</v>
      </c>
      <c r="BG16" s="33">
        <f t="shared" si="21"/>
        <v>-8.294592610716911E-2</v>
      </c>
      <c r="BH16" s="33">
        <f t="shared" si="21"/>
        <v>-4.9521733866085493E-2</v>
      </c>
      <c r="BI16" s="33">
        <f t="shared" si="22"/>
        <v>-2.5787601626016232E-2</v>
      </c>
      <c r="BJ16" s="33">
        <f t="shared" si="22"/>
        <v>-2.1002949852507391E-2</v>
      </c>
      <c r="BK16" s="33">
        <f t="shared" si="22"/>
        <v>-1.1072572038420492E-2</v>
      </c>
      <c r="BL16" s="33">
        <f t="shared" si="22"/>
        <v>-5.1719745222929991E-2</v>
      </c>
      <c r="BM16" s="33">
        <f t="shared" si="22"/>
        <v>-1.5777806754466051E-2</v>
      </c>
      <c r="BN16" s="33">
        <f t="shared" si="22"/>
        <v>-4.1340243461492121E-2</v>
      </c>
      <c r="BO16" s="33">
        <f t="shared" si="22"/>
        <v>-2.1179009847565045E-2</v>
      </c>
      <c r="BP16" s="33">
        <f t="shared" si="22"/>
        <v>-1.2090274046211769E-2</v>
      </c>
      <c r="BQ16" s="33">
        <f t="shared" si="22"/>
        <v>-2.5702172760996289E-2</v>
      </c>
      <c r="CM16" s="33">
        <f t="shared" si="23"/>
        <v>0.37293200519705505</v>
      </c>
      <c r="CN16" s="33">
        <f t="shared" si="23"/>
        <v>3.4036781174095365E-2</v>
      </c>
      <c r="CO16" s="33">
        <f t="shared" si="23"/>
        <v>-4.4783404514948111E-2</v>
      </c>
      <c r="CP16" s="33">
        <f t="shared" si="23"/>
        <v>-3.0435615738375055E-2</v>
      </c>
      <c r="CQ16" s="62">
        <v>-1.4999999999999999E-2</v>
      </c>
      <c r="CR16" s="62">
        <v>0.01</v>
      </c>
      <c r="CS16" s="62">
        <v>0.02</v>
      </c>
      <c r="CT16" s="62">
        <v>0.03</v>
      </c>
      <c r="CU16" s="62">
        <v>0.04</v>
      </c>
      <c r="CV16" s="62">
        <v>0.05</v>
      </c>
      <c r="CW16" s="62">
        <v>0.05</v>
      </c>
      <c r="CX16" s="62">
        <v>0.05</v>
      </c>
      <c r="CY16" s="62">
        <v>0.05</v>
      </c>
      <c r="CZ16" s="62">
        <v>0.05</v>
      </c>
    </row>
    <row r="17" spans="2:154" s="2" customFormat="1" ht="15">
      <c r="B17" s="25" t="s">
        <v>228</v>
      </c>
      <c r="AY17" s="34">
        <f t="shared" si="21"/>
        <v>0.32346059295678709</v>
      </c>
      <c r="AZ17" s="34">
        <f t="shared" si="21"/>
        <v>0.68895436434861224</v>
      </c>
      <c r="BA17" s="34">
        <f t="shared" si="21"/>
        <v>0.43226849979781634</v>
      </c>
      <c r="BB17" s="34">
        <f t="shared" si="21"/>
        <v>0.32554817203835573</v>
      </c>
      <c r="BC17" s="34">
        <f t="shared" si="21"/>
        <v>0.22327902604959271</v>
      </c>
      <c r="BD17" s="34">
        <f t="shared" si="21"/>
        <v>0.11585124098009669</v>
      </c>
      <c r="BE17" s="34">
        <f t="shared" si="21"/>
        <v>2.5447016751364515E-2</v>
      </c>
      <c r="BF17" s="34">
        <f t="shared" si="21"/>
        <v>-3.5875830761442851E-2</v>
      </c>
      <c r="BG17" s="34">
        <f t="shared" si="21"/>
        <v>-2.0672874627247761E-3</v>
      </c>
      <c r="BH17" s="34">
        <f t="shared" si="21"/>
        <v>3.2955514496873173E-2</v>
      </c>
      <c r="BI17" s="34">
        <f t="shared" si="22"/>
        <v>9.4801952938585288E-2</v>
      </c>
      <c r="BJ17" s="34">
        <f t="shared" si="22"/>
        <v>0.10966769418380129</v>
      </c>
      <c r="BK17" s="34">
        <f t="shared" si="22"/>
        <v>0.13036224976167787</v>
      </c>
      <c r="BL17" s="34">
        <f t="shared" si="22"/>
        <v>0.11132896479369836</v>
      </c>
      <c r="BM17" s="34">
        <f t="shared" si="22"/>
        <v>0.10406223280299098</v>
      </c>
      <c r="BN17" s="34">
        <f t="shared" si="22"/>
        <v>0.10598775890226975</v>
      </c>
      <c r="BO17" s="34">
        <f t="shared" si="22"/>
        <v>8.4756483238456637E-2</v>
      </c>
      <c r="BP17" s="34">
        <f t="shared" si="22"/>
        <v>0.10406091370558368</v>
      </c>
      <c r="BQ17" s="34">
        <f t="shared" si="22"/>
        <v>0.12646156649558105</v>
      </c>
      <c r="BR17" s="26"/>
      <c r="BS17" s="26"/>
      <c r="BT17" s="26"/>
      <c r="BU17" s="26"/>
      <c r="BV17" s="26"/>
      <c r="BW17" s="26"/>
      <c r="BX17" s="26"/>
      <c r="BY17" s="26"/>
      <c r="BZ17" s="26"/>
      <c r="CM17" s="33">
        <f t="shared" si="23"/>
        <v>0.42588685306689178</v>
      </c>
      <c r="CN17" s="33">
        <f t="shared" si="23"/>
        <v>7.14855105323704E-2</v>
      </c>
      <c r="CO17" s="33">
        <f t="shared" si="23"/>
        <v>5.9615187572670258E-2</v>
      </c>
      <c r="CP17" s="33">
        <f t="shared" si="23"/>
        <v>0.11240041201572382</v>
      </c>
      <c r="CQ17" s="63">
        <f t="shared" ref="CQ17:CZ17" si="24">CQ7/CP7-1</f>
        <v>0.12153225745493046</v>
      </c>
      <c r="CR17" s="63">
        <f t="shared" si="24"/>
        <v>0.14003963470874203</v>
      </c>
      <c r="CS17" s="63">
        <f t="shared" si="24"/>
        <v>0.12447257535065637</v>
      </c>
      <c r="CT17" s="63">
        <f t="shared" si="24"/>
        <v>0.10647385985321334</v>
      </c>
      <c r="CU17" s="63">
        <f t="shared" si="24"/>
        <v>8.1507438448251701E-2</v>
      </c>
      <c r="CV17" s="63">
        <f t="shared" si="24"/>
        <v>7.1644830151537553E-2</v>
      </c>
      <c r="CW17" s="63">
        <f t="shared" si="24"/>
        <v>6.2437399359072776E-2</v>
      </c>
      <c r="CX17" s="63">
        <f t="shared" si="24"/>
        <v>5.7048801428810414E-2</v>
      </c>
      <c r="CY17" s="63">
        <f t="shared" si="24"/>
        <v>5.1619457765188725E-2</v>
      </c>
      <c r="CZ17" s="63">
        <f t="shared" si="24"/>
        <v>4.6164286903456198E-2</v>
      </c>
      <c r="DA17" s="26"/>
      <c r="DB17" s="26"/>
      <c r="DC17" s="26"/>
      <c r="DD17" s="26"/>
      <c r="DE17" s="26"/>
      <c r="DF17" s="26"/>
      <c r="DG17" s="26"/>
      <c r="DH17" s="26"/>
      <c r="DI17" s="26"/>
      <c r="DJ17" s="26"/>
      <c r="DK17" s="26"/>
      <c r="DL17" s="26"/>
      <c r="DM17" s="26"/>
      <c r="DN17" s="26"/>
      <c r="DO17" s="26"/>
      <c r="DP17" s="26"/>
      <c r="DQ17" s="26"/>
      <c r="DR17" s="26"/>
      <c r="DS17" s="26"/>
      <c r="DT17" s="26"/>
      <c r="DU17" s="26"/>
      <c r="DV17" s="26"/>
      <c r="DW17" s="26"/>
      <c r="DX17" s="26"/>
      <c r="DY17" s="26"/>
      <c r="DZ17" s="26"/>
      <c r="EA17" s="26"/>
      <c r="EB17" s="26"/>
      <c r="EC17" s="26"/>
      <c r="ED17" s="26"/>
      <c r="EE17" s="26"/>
      <c r="EF17" s="26"/>
      <c r="EG17" s="26"/>
      <c r="EH17" s="26"/>
      <c r="EI17" s="26"/>
      <c r="EJ17" s="26"/>
      <c r="EK17" s="26"/>
      <c r="EL17" s="26"/>
      <c r="EM17" s="26"/>
      <c r="EN17" s="26"/>
      <c r="EO17" s="26"/>
      <c r="EP17" s="26"/>
      <c r="EQ17" s="26"/>
      <c r="ER17" s="26"/>
      <c r="ES17" s="26"/>
      <c r="ET17" s="26"/>
      <c r="EU17" s="26"/>
      <c r="EV17" s="26"/>
      <c r="EW17" s="26"/>
      <c r="EX17" s="26"/>
    </row>
    <row r="18" spans="2:154">
      <c r="B18" s="28" t="s">
        <v>229</v>
      </c>
      <c r="AY18" s="33">
        <f t="shared" si="21"/>
        <v>0.46426155580608786</v>
      </c>
      <c r="AZ18" s="33">
        <f t="shared" si="21"/>
        <v>0.29254488680718183</v>
      </c>
      <c r="BA18" s="33">
        <f t="shared" si="21"/>
        <v>0.23293172690763053</v>
      </c>
      <c r="BB18" s="33">
        <f t="shared" si="21"/>
        <v>0.22280491459394658</v>
      </c>
      <c r="BC18" s="33">
        <f t="shared" si="21"/>
        <v>4.8814290113951442E-2</v>
      </c>
      <c r="BD18" s="33">
        <f t="shared" si="21"/>
        <v>-1.0569228446323464E-2</v>
      </c>
      <c r="BE18" s="33">
        <f t="shared" si="21"/>
        <v>2.0876517619188739E-2</v>
      </c>
      <c r="BF18" s="33">
        <f t="shared" si="21"/>
        <v>7.7809092023036319E-2</v>
      </c>
      <c r="BG18" s="33">
        <f t="shared" si="21"/>
        <v>8.8386433710174739E-2</v>
      </c>
      <c r="BH18" s="33">
        <f t="shared" si="21"/>
        <v>0.24248435830917137</v>
      </c>
      <c r="BI18" s="33">
        <f t="shared" si="22"/>
        <v>0.20942712110224804</v>
      </c>
      <c r="BJ18" s="33">
        <f t="shared" si="22"/>
        <v>0.22714870395634379</v>
      </c>
      <c r="BK18" s="33">
        <f t="shared" si="22"/>
        <v>0.17887494941319293</v>
      </c>
      <c r="BL18" s="33">
        <f t="shared" si="22"/>
        <v>0.14369933677229185</v>
      </c>
      <c r="BM18" s="33">
        <f t="shared" si="22"/>
        <v>0.2778510612783307</v>
      </c>
      <c r="BN18" s="33">
        <f t="shared" si="22"/>
        <v>7.772836761163604E-2</v>
      </c>
      <c r="BO18" s="33">
        <f t="shared" si="22"/>
        <v>0.18766449250486317</v>
      </c>
      <c r="BP18" s="33">
        <f t="shared" si="22"/>
        <v>0.20307130584192445</v>
      </c>
      <c r="BQ18" s="33">
        <f t="shared" si="22"/>
        <v>0.20777027027027017</v>
      </c>
      <c r="CM18" s="33">
        <f t="shared" si="23"/>
        <v>0.29114273870388274</v>
      </c>
      <c r="CN18" s="33">
        <f t="shared" si="23"/>
        <v>3.6494006849315141E-2</v>
      </c>
      <c r="CO18" s="33">
        <f t="shared" si="23"/>
        <v>0.19387368783341929</v>
      </c>
      <c r="CP18" s="33">
        <f t="shared" si="23"/>
        <v>0.16293819188191883</v>
      </c>
      <c r="CQ18" s="62">
        <v>0.19</v>
      </c>
      <c r="CR18" s="62">
        <v>0.21</v>
      </c>
      <c r="CS18" s="62">
        <v>0.18</v>
      </c>
      <c r="CT18" s="62">
        <v>0.16</v>
      </c>
      <c r="CU18" s="62">
        <v>0.14000000000000001</v>
      </c>
      <c r="CV18" s="62">
        <v>0.13</v>
      </c>
      <c r="CW18" s="62">
        <v>0.12</v>
      </c>
      <c r="CX18" s="62">
        <v>0.11</v>
      </c>
      <c r="CY18" s="62">
        <v>0.09</v>
      </c>
      <c r="CZ18" s="62">
        <v>7.0000000000000007E-2</v>
      </c>
    </row>
    <row r="19" spans="2:154">
      <c r="B19" s="28" t="s">
        <v>231</v>
      </c>
      <c r="AY19" s="33">
        <f t="shared" si="21"/>
        <v>0.4573280518545193</v>
      </c>
      <c r="AZ19" s="33">
        <f t="shared" si="21"/>
        <v>0.53907549052211512</v>
      </c>
      <c r="BA19" s="33">
        <f t="shared" si="21"/>
        <v>0.44889663182346107</v>
      </c>
      <c r="BB19" s="33">
        <f t="shared" si="21"/>
        <v>0.44635865309318712</v>
      </c>
      <c r="BC19" s="33">
        <f t="shared" si="21"/>
        <v>0.4383493946132937</v>
      </c>
      <c r="BD19" s="33">
        <f t="shared" si="21"/>
        <v>0.35609334485738975</v>
      </c>
      <c r="BE19" s="33">
        <f t="shared" si="21"/>
        <v>0.37635270541082155</v>
      </c>
      <c r="BF19" s="33">
        <f t="shared" si="21"/>
        <v>0.3201588160981772</v>
      </c>
      <c r="BG19" s="33">
        <f t="shared" si="21"/>
        <v>0.28053599037965982</v>
      </c>
      <c r="BH19" s="33">
        <f t="shared" si="21"/>
        <v>0.2796367112810707</v>
      </c>
      <c r="BI19" s="33">
        <f t="shared" si="22"/>
        <v>0.22466511357018049</v>
      </c>
      <c r="BJ19" s="33">
        <f t="shared" si="22"/>
        <v>0.25659603554340404</v>
      </c>
      <c r="BK19" s="33">
        <f t="shared" si="22"/>
        <v>0.28441105446740012</v>
      </c>
      <c r="BL19" s="33">
        <f t="shared" si="22"/>
        <v>0.28838251774374291</v>
      </c>
      <c r="BM19" s="33">
        <f t="shared" si="22"/>
        <v>0.34978004993460954</v>
      </c>
      <c r="BN19" s="33">
        <f t="shared" si="22"/>
        <v>0.3005874673629243</v>
      </c>
      <c r="BO19" s="33">
        <f t="shared" si="22"/>
        <v>0.28055149362857734</v>
      </c>
      <c r="BP19" s="33">
        <f t="shared" si="22"/>
        <v>0.31671015753358467</v>
      </c>
      <c r="BQ19" s="33">
        <f t="shared" si="22"/>
        <v>0.33506562142165075</v>
      </c>
      <c r="CM19" s="33">
        <f t="shared" si="23"/>
        <v>0.47070985527222597</v>
      </c>
      <c r="CN19" s="33">
        <f t="shared" si="23"/>
        <v>0.36832239925023424</v>
      </c>
      <c r="CO19" s="33">
        <f t="shared" si="23"/>
        <v>0.25905631659056327</v>
      </c>
      <c r="CP19" s="33">
        <f t="shared" si="23"/>
        <v>0.30648573500967125</v>
      </c>
      <c r="CQ19" s="62">
        <v>0.28999999999999998</v>
      </c>
      <c r="CR19" s="62">
        <v>0.24</v>
      </c>
      <c r="CS19" s="62">
        <v>0.22</v>
      </c>
      <c r="CT19" s="62">
        <v>0.2</v>
      </c>
      <c r="CU19" s="62">
        <v>0.18</v>
      </c>
      <c r="CV19" s="62">
        <v>0.16</v>
      </c>
      <c r="CW19" s="62">
        <v>0.14000000000000001</v>
      </c>
      <c r="CX19" s="62">
        <v>0.11</v>
      </c>
      <c r="CY19" s="62">
        <v>0.1</v>
      </c>
      <c r="CZ19" s="62">
        <v>0.09</v>
      </c>
    </row>
    <row r="20" spans="2:154">
      <c r="B20" s="28" t="s">
        <v>232</v>
      </c>
      <c r="AY20" s="33">
        <f t="shared" si="21"/>
        <v>0.46666666666666656</v>
      </c>
      <c r="AZ20" s="33">
        <f t="shared" si="21"/>
        <v>0.29729729729729737</v>
      </c>
      <c r="BA20" s="33">
        <f t="shared" si="21"/>
        <v>2.2471910112359605E-2</v>
      </c>
      <c r="BB20" s="33">
        <f t="shared" si="21"/>
        <v>-7.6530612244897989E-2</v>
      </c>
      <c r="BC20" s="33">
        <f t="shared" si="21"/>
        <v>1.2222222222222223</v>
      </c>
      <c r="BD20" s="33">
        <f t="shared" si="21"/>
        <v>5.2083333333332593E-3</v>
      </c>
      <c r="BE20" s="33">
        <f t="shared" si="21"/>
        <v>0.14835164835164827</v>
      </c>
      <c r="BF20" s="33">
        <f t="shared" si="21"/>
        <v>0.24861878453038666</v>
      </c>
      <c r="BG20" s="33">
        <f t="shared" si="21"/>
        <v>-0.34545454545454546</v>
      </c>
      <c r="BH20" s="33">
        <f t="shared" si="21"/>
        <v>0.47668393782383411</v>
      </c>
      <c r="BI20" s="33">
        <f t="shared" si="22"/>
        <v>0.42105263157894735</v>
      </c>
      <c r="BJ20" s="33">
        <f t="shared" si="22"/>
        <v>1.9070796460176993</v>
      </c>
      <c r="BK20" s="33">
        <f t="shared" si="22"/>
        <v>0.71875</v>
      </c>
      <c r="BL20" s="33">
        <f t="shared" si="22"/>
        <v>0.2807017543859649</v>
      </c>
      <c r="BM20" s="33">
        <f t="shared" si="22"/>
        <v>0.30639730639730645</v>
      </c>
      <c r="BN20" s="33">
        <f t="shared" si="22"/>
        <v>-0.39117199391171997</v>
      </c>
      <c r="BO20" s="33">
        <f t="shared" si="22"/>
        <v>-9.0909090909090939E-2</v>
      </c>
      <c r="BP20" s="33">
        <f t="shared" si="22"/>
        <v>2.1917808219177992E-2</v>
      </c>
      <c r="BQ20" s="33">
        <f t="shared" si="22"/>
        <v>-0.11340206185567014</v>
      </c>
      <c r="CM20" s="33">
        <f t="shared" si="23"/>
        <v>0.14611872146118721</v>
      </c>
      <c r="CN20" s="33">
        <f t="shared" si="23"/>
        <v>0.41832669322709171</v>
      </c>
      <c r="CO20" s="33">
        <f t="shared" si="23"/>
        <v>0.4297752808988764</v>
      </c>
      <c r="CP20" s="33">
        <f t="shared" si="23"/>
        <v>7.9240340537000575E-2</v>
      </c>
      <c r="CQ20" s="62">
        <v>-0.02</v>
      </c>
      <c r="CR20" s="62">
        <v>0.15</v>
      </c>
      <c r="CS20" s="62">
        <v>0.2</v>
      </c>
      <c r="CT20" s="62">
        <v>0.2</v>
      </c>
      <c r="CU20" s="62">
        <v>0.16</v>
      </c>
      <c r="CV20" s="62">
        <v>0.12</v>
      </c>
      <c r="CW20" s="62">
        <v>0.08</v>
      </c>
      <c r="CX20" s="62">
        <v>0.06</v>
      </c>
      <c r="CY20" s="62">
        <v>0.04</v>
      </c>
      <c r="CZ20" s="62">
        <v>0.04</v>
      </c>
    </row>
    <row r="21" spans="2:154" s="2" customFormat="1" ht="15">
      <c r="B21" s="25" t="s">
        <v>233</v>
      </c>
      <c r="G21" s="34">
        <f t="shared" ref="G21:AW21" si="25">G48/C48-1</f>
        <v>0.22980577237248134</v>
      </c>
      <c r="H21" s="34">
        <f t="shared" si="25"/>
        <v>0.23483613977910567</v>
      </c>
      <c r="I21" s="34">
        <f t="shared" si="25"/>
        <v>0.2255677039529016</v>
      </c>
      <c r="J21" s="34">
        <f t="shared" si="25"/>
        <v>0.26460893017680553</v>
      </c>
      <c r="K21" s="34">
        <f t="shared" si="25"/>
        <v>0.26568265682656822</v>
      </c>
      <c r="L21" s="34">
        <f t="shared" si="25"/>
        <v>0.32346041055718477</v>
      </c>
      <c r="M21" s="34">
        <f t="shared" si="25"/>
        <v>0.33406533077134237</v>
      </c>
      <c r="N21" s="34">
        <f t="shared" si="25"/>
        <v>0.2540284360189573</v>
      </c>
      <c r="O21" s="34">
        <f t="shared" si="25"/>
        <v>0.24139941690962097</v>
      </c>
      <c r="P21" s="34">
        <f t="shared" si="25"/>
        <v>0.30810990471969868</v>
      </c>
      <c r="Q21" s="34">
        <f t="shared" si="25"/>
        <v>0.36872427983539091</v>
      </c>
      <c r="R21" s="34">
        <f t="shared" si="25"/>
        <v>-2.8439153439153486E-2</v>
      </c>
      <c r="S21" s="34">
        <f t="shared" si="25"/>
        <v>0.21662752465946444</v>
      </c>
      <c r="T21" s="34">
        <f t="shared" si="25"/>
        <v>0.11010417548911655</v>
      </c>
      <c r="U21" s="34">
        <f t="shared" si="25"/>
        <v>3.3824413710162426E-2</v>
      </c>
      <c r="V21" s="34">
        <f t="shared" si="25"/>
        <v>0.52747252747252737</v>
      </c>
      <c r="W21" s="34">
        <f t="shared" si="25"/>
        <v>0.19064164929349081</v>
      </c>
      <c r="X21" s="34">
        <f t="shared" si="25"/>
        <v>0.21728847180895694</v>
      </c>
      <c r="Y21" s="34">
        <f t="shared" si="25"/>
        <v>0.20132325141776941</v>
      </c>
      <c r="Z21" s="34">
        <f t="shared" si="25"/>
        <v>0.15254345196409247</v>
      </c>
      <c r="AA21" s="34">
        <f t="shared" si="25"/>
        <v>0.11919584954604412</v>
      </c>
      <c r="AB21" s="34">
        <f t="shared" si="25"/>
        <v>0.11106236289564397</v>
      </c>
      <c r="AC21" s="34">
        <f t="shared" si="25"/>
        <v>0.13024269200508387</v>
      </c>
      <c r="AD21" s="34">
        <f t="shared" si="25"/>
        <v>0.17820250787162339</v>
      </c>
      <c r="AE21" s="34">
        <f t="shared" si="25"/>
        <v>0.17377448139993046</v>
      </c>
      <c r="AF21" s="34">
        <f t="shared" si="25"/>
        <v>0.21283917188469559</v>
      </c>
      <c r="AG21" s="34">
        <f t="shared" si="25"/>
        <v>0.20219544846050863</v>
      </c>
      <c r="AH21" s="34">
        <f t="shared" si="25"/>
        <v>0.22199821838811018</v>
      </c>
      <c r="AI21" s="34">
        <f t="shared" si="25"/>
        <v>0.22179987164930637</v>
      </c>
      <c r="AJ21" s="34">
        <f t="shared" si="25"/>
        <v>0.20976744186046514</v>
      </c>
      <c r="AK21" s="34">
        <f t="shared" si="25"/>
        <v>0.23700503318337707</v>
      </c>
      <c r="AL21" s="34">
        <f t="shared" si="25"/>
        <v>0.24013965623081646</v>
      </c>
      <c r="AM21" s="34">
        <f t="shared" si="25"/>
        <v>0.25842424242424245</v>
      </c>
      <c r="AN21" s="34">
        <f t="shared" si="25"/>
        <v>0.25555555555555554</v>
      </c>
      <c r="AO21" s="34">
        <f t="shared" si="25"/>
        <v>0.21489269768111763</v>
      </c>
      <c r="AP21" s="34">
        <f t="shared" si="25"/>
        <v>0.21510998360300704</v>
      </c>
      <c r="AQ21" s="34">
        <f t="shared" si="25"/>
        <v>0.16673088036987083</v>
      </c>
      <c r="AR21" s="34">
        <f t="shared" si="25"/>
        <v>0.19251615273907574</v>
      </c>
      <c r="AS21" s="34">
        <f t="shared" si="25"/>
        <v>0.2003260225251926</v>
      </c>
      <c r="AT21" s="34">
        <f t="shared" si="25"/>
        <v>0.17310825949689379</v>
      </c>
      <c r="AU21" s="34">
        <f t="shared" si="25"/>
        <v>0.13263986350752632</v>
      </c>
      <c r="AV21" s="34">
        <f t="shared" si="25"/>
        <v>-1.6613599013968749E-2</v>
      </c>
      <c r="AW21" s="34">
        <f t="shared" si="25"/>
        <v>0.14010222474628997</v>
      </c>
      <c r="AX21" s="34">
        <f>AX48/AT48-1</f>
        <v>0.23489962018448174</v>
      </c>
      <c r="AY21" s="34">
        <f t="shared" ref="AY21:BQ21" si="26">AY12/AU12-1</f>
        <v>0.34391020189994892</v>
      </c>
      <c r="AZ21" s="34">
        <f t="shared" si="26"/>
        <v>0.61579235971486024</v>
      </c>
      <c r="BA21" s="34">
        <f t="shared" si="26"/>
        <v>0.41030472353973102</v>
      </c>
      <c r="BB21" s="34">
        <f t="shared" si="26"/>
        <v>0.32386024113325607</v>
      </c>
      <c r="BC21" s="34">
        <f t="shared" si="26"/>
        <v>0.22954405756228069</v>
      </c>
      <c r="BD21" s="34">
        <f t="shared" si="26"/>
        <v>0.12613122171945701</v>
      </c>
      <c r="BE21" s="34">
        <f t="shared" si="26"/>
        <v>6.1027672840074931E-2</v>
      </c>
      <c r="BF21" s="34">
        <f t="shared" si="26"/>
        <v>9.5984069034185104E-3</v>
      </c>
      <c r="BG21" s="34">
        <f t="shared" si="26"/>
        <v>2.6113422828660138E-2</v>
      </c>
      <c r="BH21" s="34">
        <f t="shared" si="26"/>
        <v>7.0589079428858392E-2</v>
      </c>
      <c r="BI21" s="34">
        <f t="shared" si="26"/>
        <v>0.11001273664100042</v>
      </c>
      <c r="BJ21" s="34">
        <f t="shared" si="26"/>
        <v>0.13494108983799702</v>
      </c>
      <c r="BK21" s="34">
        <f t="shared" si="26"/>
        <v>0.15406880937710454</v>
      </c>
      <c r="BL21" s="34">
        <f t="shared" si="26"/>
        <v>0.13589083695244231</v>
      </c>
      <c r="BM21" s="34">
        <f t="shared" si="26"/>
        <v>0.15092642092498654</v>
      </c>
      <c r="BN21" s="34">
        <f t="shared" si="26"/>
        <v>0.11770362646275045</v>
      </c>
      <c r="BO21" s="34">
        <f t="shared" si="26"/>
        <v>0.12037646357665222</v>
      </c>
      <c r="BP21" s="34">
        <f t="shared" si="26"/>
        <v>0.13790092280097244</v>
      </c>
      <c r="BQ21" s="34">
        <f t="shared" si="26"/>
        <v>0.1594915484660353</v>
      </c>
      <c r="BR21" s="26"/>
      <c r="BS21" s="26"/>
      <c r="BT21" s="26"/>
      <c r="BU21" s="26"/>
      <c r="BV21" s="26"/>
      <c r="BW21" s="26"/>
      <c r="BX21" s="26"/>
      <c r="BY21" s="26"/>
      <c r="BZ21" s="26"/>
      <c r="CB21" s="34">
        <f t="shared" ref="CB21:CK21" si="27">CB48/CA48-1</f>
        <v>0.23973616337575576</v>
      </c>
      <c r="CC21" s="34">
        <f t="shared" si="27"/>
        <v>0.2927594556802291</v>
      </c>
      <c r="CD21" s="34">
        <f t="shared" si="27"/>
        <v>0.21458910433979694</v>
      </c>
      <c r="CE21" s="34">
        <f t="shared" si="27"/>
        <v>0.2059123786355046</v>
      </c>
      <c r="CF21" s="34">
        <f t="shared" si="27"/>
        <v>0.18880023055170292</v>
      </c>
      <c r="CG21" s="34">
        <f t="shared" si="27"/>
        <v>0.13617975485219924</v>
      </c>
      <c r="CH21" s="34">
        <f t="shared" si="27"/>
        <v>0.20380322447292265</v>
      </c>
      <c r="CI21" s="34">
        <f t="shared" si="27"/>
        <v>0.22801090038993266</v>
      </c>
      <c r="CJ21" s="34">
        <f t="shared" si="27"/>
        <v>0.23421586757475987</v>
      </c>
      <c r="CK21" s="34">
        <f t="shared" si="27"/>
        <v>0.18300089899794614</v>
      </c>
      <c r="CL21" s="34">
        <f>CL48/CK48-1</f>
        <v>0.12770532012826141</v>
      </c>
      <c r="CM21" s="34">
        <f t="shared" ref="CM21:CZ21" si="28">CM12/CL12-1</f>
        <v>0.41150076427049154</v>
      </c>
      <c r="CN21" s="34">
        <f t="shared" si="28"/>
        <v>9.7808156437157789E-2</v>
      </c>
      <c r="CO21" s="34">
        <f t="shared" si="28"/>
        <v>8.6827702272695095E-2</v>
      </c>
      <c r="CP21" s="34">
        <f t="shared" si="28"/>
        <v>0.13866243322901561</v>
      </c>
      <c r="CQ21" s="63">
        <f t="shared" si="28"/>
        <v>0.14950228273974497</v>
      </c>
      <c r="CR21" s="63">
        <f t="shared" si="28"/>
        <v>0.16221704096387168</v>
      </c>
      <c r="CS21" s="63">
        <f t="shared" si="28"/>
        <v>0.14574722016944586</v>
      </c>
      <c r="CT21" s="63">
        <f t="shared" si="28"/>
        <v>0.12840102826023525</v>
      </c>
      <c r="CU21" s="63">
        <f t="shared" si="28"/>
        <v>0.10601665722098419</v>
      </c>
      <c r="CV21" s="63">
        <f t="shared" si="28"/>
        <v>9.5546301681257439E-2</v>
      </c>
      <c r="CW21" s="63">
        <f t="shared" si="28"/>
        <v>8.5227109669162804E-2</v>
      </c>
      <c r="CX21" s="63">
        <f t="shared" si="28"/>
        <v>7.5214059508443842E-2</v>
      </c>
      <c r="CY21" s="63">
        <f t="shared" si="28"/>
        <v>6.7198329155210734E-2</v>
      </c>
      <c r="CZ21" s="63">
        <f t="shared" si="28"/>
        <v>5.9024451322886362E-2</v>
      </c>
      <c r="DA21" s="26"/>
      <c r="DB21" s="26"/>
      <c r="DC21" s="26"/>
      <c r="DD21" s="26"/>
      <c r="DE21" s="26"/>
      <c r="DF21" s="26"/>
      <c r="DG21" s="26"/>
      <c r="DH21" s="26"/>
      <c r="DI21" s="26"/>
      <c r="DJ21" s="26"/>
      <c r="DK21" s="26"/>
      <c r="DL21" s="26"/>
      <c r="DM21" s="26"/>
      <c r="DN21" s="26"/>
      <c r="DO21" s="26"/>
      <c r="DP21" s="26"/>
      <c r="DQ21" s="26"/>
      <c r="DR21" s="26"/>
      <c r="DS21" s="26"/>
      <c r="DT21" s="26"/>
      <c r="DU21" s="26"/>
      <c r="DV21" s="26"/>
      <c r="DW21" s="26"/>
      <c r="DX21" s="26"/>
      <c r="DY21" s="26"/>
      <c r="DZ21" s="26"/>
      <c r="EA21" s="26"/>
      <c r="EB21" s="26"/>
      <c r="EC21" s="26"/>
      <c r="ED21" s="26"/>
      <c r="EE21" s="26"/>
      <c r="EF21" s="26"/>
      <c r="EG21" s="26"/>
      <c r="EH21" s="26"/>
      <c r="EI21" s="26"/>
      <c r="EJ21" s="26"/>
      <c r="EK21" s="26"/>
      <c r="EL21" s="26"/>
      <c r="EM21" s="26"/>
      <c r="EN21" s="26"/>
      <c r="EO21" s="26"/>
      <c r="EP21" s="26"/>
      <c r="EQ21" s="26"/>
      <c r="ER21" s="26"/>
      <c r="ES21" s="26"/>
      <c r="ET21" s="26"/>
      <c r="EU21" s="26"/>
      <c r="EV21" s="26"/>
      <c r="EW21" s="26"/>
      <c r="EX21" s="26"/>
    </row>
    <row r="23" spans="2:154">
      <c r="B23" s="28" t="s">
        <v>234</v>
      </c>
      <c r="AU23" s="33">
        <f t="shared" ref="AU23:BO23" si="29">AU4/AU12</f>
        <v>0.5953011492018756</v>
      </c>
      <c r="AV23" s="33">
        <f t="shared" si="29"/>
        <v>0.55667545760764547</v>
      </c>
      <c r="AW23" s="33">
        <f t="shared" si="29"/>
        <v>0.57041994239057459</v>
      </c>
      <c r="AX23" s="33">
        <f t="shared" si="29"/>
        <v>0.56070512144539353</v>
      </c>
      <c r="AY23" s="33">
        <f t="shared" si="29"/>
        <v>0.57632787359438842</v>
      </c>
      <c r="AZ23" s="33">
        <f t="shared" si="29"/>
        <v>0.57926632191338079</v>
      </c>
      <c r="BA23" s="33">
        <f t="shared" si="29"/>
        <v>0.58241960748180222</v>
      </c>
      <c r="BB23" s="33">
        <f t="shared" si="29"/>
        <v>0.5748556256223033</v>
      </c>
      <c r="BC23" s="33">
        <f t="shared" si="29"/>
        <v>0.58252341532987306</v>
      </c>
      <c r="BD23" s="33">
        <f t="shared" si="29"/>
        <v>0.58389897395422252</v>
      </c>
      <c r="BE23" s="33">
        <f t="shared" si="29"/>
        <v>0.57226596422161757</v>
      </c>
      <c r="BF23" s="33">
        <f t="shared" si="29"/>
        <v>0.56022512097622557</v>
      </c>
      <c r="BG23" s="33">
        <f t="shared" si="29"/>
        <v>0.57831687850172664</v>
      </c>
      <c r="BH23" s="33">
        <f t="shared" si="29"/>
        <v>0.57139027397994746</v>
      </c>
      <c r="BI23" s="33">
        <f t="shared" si="29"/>
        <v>0.574054998500515</v>
      </c>
      <c r="BJ23" s="33">
        <f t="shared" si="29"/>
        <v>0.55636658556366581</v>
      </c>
      <c r="BK23" s="33">
        <f t="shared" si="29"/>
        <v>0.57308881411490087</v>
      </c>
      <c r="BL23" s="33">
        <f t="shared" si="29"/>
        <v>0.57243161596374881</v>
      </c>
      <c r="BM23" s="33">
        <f t="shared" si="29"/>
        <v>0.55948928263923503</v>
      </c>
      <c r="BN23" s="33">
        <f t="shared" si="29"/>
        <v>0.5601177580362604</v>
      </c>
      <c r="BO23" s="33">
        <f t="shared" si="29"/>
        <v>0.56189462951880664</v>
      </c>
      <c r="BP23" s="33">
        <f t="shared" ref="BP23:BQ23" si="30">BP4/BP12</f>
        <v>0.56197370058489238</v>
      </c>
      <c r="BQ23" s="33">
        <f t="shared" si="30"/>
        <v>0.55270357415043092</v>
      </c>
      <c r="CL23" s="33">
        <f>BK4/BK12</f>
        <v>0.57308881411490087</v>
      </c>
      <c r="CM23" s="33">
        <f>BL4/BL12</f>
        <v>0.57243161596374881</v>
      </c>
      <c r="CN23" s="33">
        <f>BM4/BM12</f>
        <v>0.55948928263923503</v>
      </c>
      <c r="CO23" s="33">
        <f>BN4/BN12</f>
        <v>0.5601177580362604</v>
      </c>
      <c r="CP23" s="33">
        <f>BO4/BO12</f>
        <v>0.56189462951880664</v>
      </c>
    </row>
    <row r="24" spans="2:154">
      <c r="B24" s="28" t="s">
        <v>235</v>
      </c>
      <c r="AU24" s="33">
        <f t="shared" ref="AU24:BO24" si="31">AU8/AU12</f>
        <v>0.10775286085667776</v>
      </c>
      <c r="AV24" s="33">
        <f t="shared" si="31"/>
        <v>0.13379638091756535</v>
      </c>
      <c r="AW24" s="33">
        <f t="shared" si="31"/>
        <v>0.11864076408290559</v>
      </c>
      <c r="AX24" s="33">
        <f t="shared" si="31"/>
        <v>0.11729762030299835</v>
      </c>
      <c r="AY24" s="33">
        <f t="shared" si="31"/>
        <v>0.11740246592182811</v>
      </c>
      <c r="AZ24" s="33">
        <f t="shared" si="31"/>
        <v>0.10702973497091144</v>
      </c>
      <c r="BA24" s="33">
        <f t="shared" si="31"/>
        <v>0.10371940170152646</v>
      </c>
      <c r="BB24" s="33">
        <f t="shared" si="31"/>
        <v>0.10834384334550282</v>
      </c>
      <c r="BC24" s="33">
        <f t="shared" si="31"/>
        <v>0.10014556468806517</v>
      </c>
      <c r="BD24" s="33">
        <f t="shared" si="31"/>
        <v>9.4037454258448727E-2</v>
      </c>
      <c r="BE24" s="33">
        <f t="shared" si="31"/>
        <v>9.9794476929311648E-2</v>
      </c>
      <c r="BF24" s="33">
        <f t="shared" si="31"/>
        <v>0.11566379128971176</v>
      </c>
      <c r="BG24" s="33">
        <f t="shared" si="31"/>
        <v>0.10622322209007408</v>
      </c>
      <c r="BH24" s="33">
        <f t="shared" si="31"/>
        <v>0.10913623934373493</v>
      </c>
      <c r="BI24" s="33">
        <f t="shared" si="31"/>
        <v>0.10873221806423011</v>
      </c>
      <c r="BJ24" s="33">
        <f t="shared" si="31"/>
        <v>0.12506082725060827</v>
      </c>
      <c r="BK24" s="33">
        <f t="shared" si="31"/>
        <v>0.10850643787481841</v>
      </c>
      <c r="BL24" s="33">
        <f t="shared" si="31"/>
        <v>0.10988647895966581</v>
      </c>
      <c r="BM24" s="33">
        <f t="shared" si="31"/>
        <v>0.12072325191462364</v>
      </c>
      <c r="BN24" s="33">
        <f t="shared" si="31"/>
        <v>0.12058796089935626</v>
      </c>
      <c r="BO24" s="33">
        <f t="shared" si="31"/>
        <v>0.11502316200101957</v>
      </c>
      <c r="BP24" s="33">
        <f t="shared" ref="BP24:BQ24" si="32">BP8/BP12</f>
        <v>0.11617994773302361</v>
      </c>
      <c r="BQ24" s="33">
        <f t="shared" si="32"/>
        <v>0.1257499071776132</v>
      </c>
      <c r="CL24" s="33">
        <f>BK8/BK12</f>
        <v>0.10850643787481841</v>
      </c>
      <c r="CM24" s="33">
        <f>BL8/BL12</f>
        <v>0.10988647895966581</v>
      </c>
      <c r="CN24" s="33">
        <f>BM8/BM12</f>
        <v>0.12072325191462364</v>
      </c>
      <c r="CO24" s="33">
        <f>BN8/BN12</f>
        <v>0.12058796089935626</v>
      </c>
      <c r="CP24" s="33">
        <f>BO8/BO12</f>
        <v>0.11502316200101957</v>
      </c>
    </row>
    <row r="25" spans="2:154">
      <c r="B25" s="28" t="s">
        <v>236</v>
      </c>
      <c r="AU25" s="33">
        <f t="shared" ref="AU25:BO25" si="33">AU9/AU12</f>
        <v>6.7470055151971617E-2</v>
      </c>
      <c r="AV25" s="33">
        <f t="shared" si="33"/>
        <v>7.8517899574379199E-2</v>
      </c>
      <c r="AW25" s="33">
        <f t="shared" si="33"/>
        <v>7.4589045546098368E-2</v>
      </c>
      <c r="AX25" s="33">
        <f t="shared" si="33"/>
        <v>6.7331013392386382E-2</v>
      </c>
      <c r="AY25" s="33">
        <f t="shared" si="33"/>
        <v>7.3164117583251975E-2</v>
      </c>
      <c r="AZ25" s="33">
        <f t="shared" si="33"/>
        <v>7.4789915966386553E-2</v>
      </c>
      <c r="BA25" s="33">
        <f t="shared" si="33"/>
        <v>7.6630117632605424E-2</v>
      </c>
      <c r="BB25" s="33">
        <f t="shared" si="33"/>
        <v>7.3561234649850649E-2</v>
      </c>
      <c r="BC25" s="33">
        <f t="shared" si="33"/>
        <v>8.5589095881548574E-2</v>
      </c>
      <c r="BD25" s="33">
        <f t="shared" si="33"/>
        <v>9.0062423764081218E-2</v>
      </c>
      <c r="BE25" s="33">
        <f t="shared" si="33"/>
        <v>9.9403693625890119E-2</v>
      </c>
      <c r="BF25" s="33">
        <f t="shared" si="33"/>
        <v>9.6189248895434468E-2</v>
      </c>
      <c r="BG25" s="33">
        <f t="shared" si="33"/>
        <v>0.10681072406035508</v>
      </c>
      <c r="BH25" s="33">
        <f t="shared" si="33"/>
        <v>0.10764838346469358</v>
      </c>
      <c r="BI25" s="33">
        <f t="shared" si="33"/>
        <v>0.10967102603888229</v>
      </c>
      <c r="BJ25" s="33">
        <f t="shared" si="33"/>
        <v>0.10649982620785541</v>
      </c>
      <c r="BK25" s="33">
        <f t="shared" si="33"/>
        <v>0.11887408584660848</v>
      </c>
      <c r="BL25" s="33">
        <f t="shared" si="33"/>
        <v>0.1221000212409431</v>
      </c>
      <c r="BM25" s="33">
        <f t="shared" si="33"/>
        <v>0.12861965831331854</v>
      </c>
      <c r="BN25" s="33">
        <f t="shared" si="33"/>
        <v>0.12392582072997543</v>
      </c>
      <c r="BO25" s="33">
        <f t="shared" si="33"/>
        <v>0.13586896291863376</v>
      </c>
      <c r="BP25" s="33">
        <f t="shared" ref="BP25:BQ25" si="34">BP9/BP12</f>
        <v>0.14128676318081884</v>
      </c>
      <c r="BQ25" s="33">
        <f t="shared" si="34"/>
        <v>0.1480956754538526</v>
      </c>
      <c r="CL25" s="33">
        <f>BK9/BK12</f>
        <v>0.11887408584660848</v>
      </c>
      <c r="CM25" s="33">
        <f>BL9/BL12</f>
        <v>0.1221000212409431</v>
      </c>
      <c r="CN25" s="33">
        <f>BM9/BM12</f>
        <v>0.12861965831331854</v>
      </c>
      <c r="CO25" s="33">
        <f>BN9/BN12</f>
        <v>0.12392582072997543</v>
      </c>
      <c r="CP25" s="33">
        <f>BO9/BO12</f>
        <v>0.13586896291863376</v>
      </c>
    </row>
    <row r="26" spans="2:154">
      <c r="B26" s="28" t="s">
        <v>237</v>
      </c>
      <c r="AU26" s="33">
        <f t="shared" ref="AU26:BO26" si="35">AU10/AU12</f>
        <v>3.2799630700454338E-3</v>
      </c>
      <c r="AV26" s="33">
        <f t="shared" si="35"/>
        <v>3.8645324699062588E-3</v>
      </c>
      <c r="AW26" s="33">
        <f t="shared" si="35"/>
        <v>3.8550668139388819E-3</v>
      </c>
      <c r="AX26" s="33">
        <f t="shared" si="35"/>
        <v>3.4447608000281204E-3</v>
      </c>
      <c r="AY26" s="33">
        <f t="shared" si="35"/>
        <v>3.5795639440286365E-3</v>
      </c>
      <c r="AZ26" s="33">
        <f t="shared" si="35"/>
        <v>3.1027795733678085E-3</v>
      </c>
      <c r="BA26" s="33">
        <f t="shared" si="35"/>
        <v>2.7949261340950273E-3</v>
      </c>
      <c r="BB26" s="33">
        <f t="shared" si="35"/>
        <v>2.4029206770660471E-3</v>
      </c>
      <c r="BC26" s="33">
        <f t="shared" si="35"/>
        <v>6.4695416917851523E-3</v>
      </c>
      <c r="BD26" s="33">
        <f t="shared" si="35"/>
        <v>2.7696060845232118E-3</v>
      </c>
      <c r="BE26" s="33">
        <f t="shared" si="35"/>
        <v>3.0249522375962487E-3</v>
      </c>
      <c r="BF26" s="33">
        <f t="shared" si="35"/>
        <v>2.9718072796128762E-3</v>
      </c>
      <c r="BG26" s="33">
        <f t="shared" si="35"/>
        <v>4.1268431083153019E-3</v>
      </c>
      <c r="BH26" s="33">
        <f t="shared" si="35"/>
        <v>3.8201705002412741E-3</v>
      </c>
      <c r="BI26" s="33">
        <f t="shared" si="35"/>
        <v>3.8725828954402617E-3</v>
      </c>
      <c r="BJ26" s="33">
        <f t="shared" si="35"/>
        <v>7.6120959332638162E-3</v>
      </c>
      <c r="BK26" s="33">
        <f t="shared" si="35"/>
        <v>6.1460907138156671E-3</v>
      </c>
      <c r="BL26" s="33">
        <f t="shared" si="35"/>
        <v>4.3071912392910246E-3</v>
      </c>
      <c r="BM26" s="33">
        <f t="shared" si="35"/>
        <v>4.395703992386822E-3</v>
      </c>
      <c r="BN26" s="33">
        <f t="shared" si="35"/>
        <v>4.146409727477221E-3</v>
      </c>
      <c r="BO26" s="33">
        <f t="shared" si="35"/>
        <v>4.9870337123478952E-3</v>
      </c>
      <c r="BP26" s="33">
        <f t="shared" ref="BP26:BQ26" si="36">BP10/BP12</f>
        <v>3.8681710706433814E-3</v>
      </c>
      <c r="BQ26" s="33">
        <f t="shared" si="36"/>
        <v>3.3611474801164675E-3</v>
      </c>
      <c r="CL26" s="33">
        <f>BK10/BK12</f>
        <v>6.1460907138156671E-3</v>
      </c>
      <c r="CM26" s="33">
        <f>BL10/BL12</f>
        <v>4.3071912392910246E-3</v>
      </c>
      <c r="CN26" s="33">
        <f>BM10/BM12</f>
        <v>4.395703992386822E-3</v>
      </c>
      <c r="CO26" s="33">
        <f>BN10/BN12</f>
        <v>4.146409727477221E-3</v>
      </c>
      <c r="CP26" s="33">
        <f>BO10/BO12</f>
        <v>4.9870337123478952E-3</v>
      </c>
    </row>
    <row r="27" spans="2:154">
      <c r="B27" s="28" t="s">
        <v>238</v>
      </c>
      <c r="AU27" s="33">
        <f t="shared" ref="AU27:BO27" si="37">AU11/AU12</f>
        <v>1.190505114312787E-3</v>
      </c>
      <c r="AV27" s="33">
        <f t="shared" si="37"/>
        <v>3.9428675875394937E-3</v>
      </c>
      <c r="AW27" s="33">
        <f t="shared" si="37"/>
        <v>-4.7646893205986182E-4</v>
      </c>
      <c r="AX27" s="33">
        <f t="shared" si="37"/>
        <v>-3.5150620408450207E-5</v>
      </c>
      <c r="AY27" s="33">
        <f t="shared" si="37"/>
        <v>-1.9705680297935424E-3</v>
      </c>
      <c r="AZ27" s="33">
        <f t="shared" si="37"/>
        <v>-1.1312217194570136E-4</v>
      </c>
      <c r="BA27" s="33">
        <f t="shared" si="37"/>
        <v>9.5211769403237198E-4</v>
      </c>
      <c r="BB27" s="33">
        <f t="shared" si="37"/>
        <v>2.6949883836707603E-3</v>
      </c>
      <c r="BC27" s="33">
        <f t="shared" si="37"/>
        <v>4.0875740689006188E-3</v>
      </c>
      <c r="BD27" s="33">
        <f t="shared" si="37"/>
        <v>5.3813589725191938E-3</v>
      </c>
      <c r="BE27" s="33">
        <f t="shared" si="37"/>
        <v>9.2340647252938113E-3</v>
      </c>
      <c r="BF27" s="33">
        <f t="shared" si="37"/>
        <v>8.7970755312434257E-3</v>
      </c>
      <c r="BG27" s="33">
        <f t="shared" si="37"/>
        <v>1.2036625732586299E-3</v>
      </c>
      <c r="BH27" s="33">
        <f t="shared" si="37"/>
        <v>4.0212321055171307E-5</v>
      </c>
      <c r="BI27" s="33">
        <f t="shared" si="37"/>
        <v>-1.303899964794701E-5</v>
      </c>
      <c r="BJ27" s="33">
        <f t="shared" si="37"/>
        <v>1.7379214459506431E-3</v>
      </c>
      <c r="BK27" s="33">
        <f t="shared" si="37"/>
        <v>8.9397683110046069E-4</v>
      </c>
      <c r="BL27" s="33">
        <f t="shared" si="37"/>
        <v>1.2036534422128343E-3</v>
      </c>
      <c r="BM27" s="33">
        <f t="shared" si="37"/>
        <v>1.9259527801694838E-4</v>
      </c>
      <c r="BN27" s="33">
        <f t="shared" si="37"/>
        <v>2.0732048637386104E-4</v>
      </c>
      <c r="BO27" s="33">
        <f t="shared" si="37"/>
        <v>2.8813972560232286E-3</v>
      </c>
      <c r="BP27" s="33">
        <f t="shared" ref="BP27:BQ27" si="38">BP11/BP12</f>
        <v>-1.1614883643754927E-3</v>
      </c>
      <c r="BQ27" s="33">
        <f t="shared" si="38"/>
        <v>-2.0225509546049673E-3</v>
      </c>
      <c r="CL27" s="33">
        <f>BK11/BK12</f>
        <v>8.9397683110046069E-4</v>
      </c>
      <c r="CM27" s="33">
        <f>BL11/BL12</f>
        <v>1.2036534422128343E-3</v>
      </c>
      <c r="CN27" s="33">
        <f>BM11/BM12</f>
        <v>1.9259527801694838E-4</v>
      </c>
      <c r="CO27" s="33">
        <f>BN11/BN12</f>
        <v>2.0732048637386104E-4</v>
      </c>
      <c r="CP27" s="33">
        <f>BO11/BO12</f>
        <v>2.8813972560232286E-3</v>
      </c>
    </row>
    <row r="29" spans="2:154">
      <c r="B29" s="28" t="s">
        <v>52</v>
      </c>
      <c r="AU29" s="1">
        <v>18870</v>
      </c>
      <c r="AV29" s="1">
        <v>17999</v>
      </c>
      <c r="AW29" s="1">
        <v>21442</v>
      </c>
      <c r="AX29" s="1">
        <f>85014-SUM(AU29:AW29)</f>
        <v>26703</v>
      </c>
      <c r="AY29" s="1">
        <v>25032</v>
      </c>
      <c r="AZ29" s="1">
        <v>28208</v>
      </c>
      <c r="BA29" s="1">
        <v>29824</v>
      </c>
      <c r="BB29" s="1">
        <f>117854-SUM(AY29:BA29)</f>
        <v>34790</v>
      </c>
      <c r="BC29" s="1">
        <v>31733</v>
      </c>
      <c r="BD29" s="1">
        <v>32727</v>
      </c>
      <c r="BE29" s="1">
        <v>33372</v>
      </c>
      <c r="BF29" s="1">
        <f>134814-SUM(BC29:BE29)</f>
        <v>36982</v>
      </c>
      <c r="BG29" s="1">
        <v>32864</v>
      </c>
      <c r="BH29" s="1">
        <v>35073</v>
      </c>
      <c r="BI29" s="1">
        <v>36354</v>
      </c>
      <c r="BJ29" s="1">
        <f>146286-SUM(BG29:BI29)</f>
        <v>41995</v>
      </c>
      <c r="BK29" s="1">
        <v>38737</v>
      </c>
      <c r="BL29" s="1">
        <v>41196</v>
      </c>
      <c r="BM29" s="1">
        <v>43139</v>
      </c>
      <c r="BN29" s="1">
        <f>170447-SUM(BK29:BM29)</f>
        <v>47375</v>
      </c>
      <c r="BO29" s="1">
        <v>43964</v>
      </c>
      <c r="BP29" s="1">
        <v>46063</v>
      </c>
      <c r="CL29" s="1">
        <f t="shared" ref="CL29:CL34" si="39">SUM(AU29:AX29)</f>
        <v>85014</v>
      </c>
      <c r="CM29" s="1">
        <f t="shared" ref="CM29:CM34" si="40">SUM(AY29:BB29)</f>
        <v>117854</v>
      </c>
      <c r="CN29" s="1">
        <f t="shared" ref="CN29:CN34" si="41">SUM(BC29:BF29)</f>
        <v>134814</v>
      </c>
      <c r="CO29" s="1">
        <f t="shared" ref="CO29:CO34" si="42">SUM(BG29:BJ29)</f>
        <v>146286</v>
      </c>
      <c r="CP29" s="1">
        <f t="shared" ref="CP29:CP34" si="43">SUM(BK29:BN29)</f>
        <v>170447</v>
      </c>
    </row>
    <row r="30" spans="2:154">
      <c r="B30" s="28" t="s">
        <v>239</v>
      </c>
      <c r="AU30" s="1">
        <v>12845</v>
      </c>
      <c r="AV30" s="1">
        <v>11363</v>
      </c>
      <c r="AW30" s="1">
        <v>13924</v>
      </c>
      <c r="AX30" s="1">
        <f>55370-SUM(AU30:AW30)</f>
        <v>17238</v>
      </c>
      <c r="AY30" s="1">
        <v>17031</v>
      </c>
      <c r="AZ30" s="1">
        <v>19084</v>
      </c>
      <c r="BA30" s="1">
        <v>19839</v>
      </c>
      <c r="BB30" s="1">
        <f>79107-SUM(AY30:BA30)</f>
        <v>23153</v>
      </c>
      <c r="BC30" s="1">
        <v>20317</v>
      </c>
      <c r="BD30" s="1">
        <v>20533</v>
      </c>
      <c r="BE30" s="1">
        <v>19450</v>
      </c>
      <c r="BF30" s="1">
        <f>82062-SUM(BC30:BE30)</f>
        <v>21762</v>
      </c>
      <c r="BG30" s="1">
        <v>21078</v>
      </c>
      <c r="BH30" s="1">
        <v>22289</v>
      </c>
      <c r="BI30" s="1">
        <v>22661</v>
      </c>
      <c r="BJ30" s="1">
        <f>91038-SUM(BG30:BI30)</f>
        <v>25010</v>
      </c>
      <c r="BK30" s="1">
        <v>23788</v>
      </c>
      <c r="BL30" s="1">
        <v>24683</v>
      </c>
      <c r="BM30" s="1">
        <v>25472</v>
      </c>
      <c r="BN30" s="1">
        <f>102127-SUM(BK30:BM30)</f>
        <v>28184</v>
      </c>
      <c r="BO30" s="1">
        <v>25923</v>
      </c>
      <c r="BP30" s="1">
        <v>28262</v>
      </c>
      <c r="CL30" s="1">
        <f t="shared" si="39"/>
        <v>55370</v>
      </c>
      <c r="CM30" s="1">
        <f t="shared" si="40"/>
        <v>79107</v>
      </c>
      <c r="CN30" s="1">
        <f t="shared" si="41"/>
        <v>82062</v>
      </c>
      <c r="CO30" s="1">
        <f t="shared" si="42"/>
        <v>91038</v>
      </c>
      <c r="CP30" s="1">
        <f t="shared" si="43"/>
        <v>102127</v>
      </c>
    </row>
    <row r="31" spans="2:154">
      <c r="B31" s="28" t="s">
        <v>240</v>
      </c>
      <c r="AU31" s="1">
        <v>7238</v>
      </c>
      <c r="AV31" s="1">
        <v>6945</v>
      </c>
      <c r="AW31" s="1">
        <v>8458</v>
      </c>
      <c r="AX31" s="1">
        <f>32550-SUM(AU31:AW31)</f>
        <v>9909</v>
      </c>
      <c r="AY31" s="1">
        <v>10455</v>
      </c>
      <c r="AZ31" s="1">
        <v>11231</v>
      </c>
      <c r="BA31" s="1">
        <v>11705</v>
      </c>
      <c r="BB31" s="1">
        <f>46123-SUM(AY31:BA31)</f>
        <v>12732</v>
      </c>
      <c r="BC31" s="1">
        <v>11841</v>
      </c>
      <c r="BD31" s="1">
        <v>11710</v>
      </c>
      <c r="BE31" s="1">
        <v>11494</v>
      </c>
      <c r="BF31" s="1">
        <f>47024-SUM(BC31:BE31)</f>
        <v>11979</v>
      </c>
      <c r="BG31" s="1">
        <v>11681</v>
      </c>
      <c r="BH31" s="1">
        <v>12728</v>
      </c>
      <c r="BI31" s="1">
        <v>13126</v>
      </c>
      <c r="BJ31" s="1">
        <f>51514-SUM(BG31:BI31)</f>
        <v>13979</v>
      </c>
      <c r="BK31" s="1">
        <v>13289</v>
      </c>
      <c r="BL31" s="1">
        <v>13823</v>
      </c>
      <c r="BM31" s="1">
        <v>14547</v>
      </c>
      <c r="BN31" s="1">
        <f>56815-SUM(BK31:BM31)</f>
        <v>15156</v>
      </c>
      <c r="BO31" s="1">
        <v>14854</v>
      </c>
      <c r="BP31" s="1">
        <v>16480</v>
      </c>
      <c r="CL31" s="1">
        <f t="shared" si="39"/>
        <v>32550</v>
      </c>
      <c r="CM31" s="1">
        <f t="shared" si="40"/>
        <v>46123</v>
      </c>
      <c r="CN31" s="1">
        <f t="shared" si="41"/>
        <v>47024</v>
      </c>
      <c r="CO31" s="1">
        <f t="shared" si="42"/>
        <v>51514</v>
      </c>
      <c r="CP31" s="1">
        <f t="shared" si="43"/>
        <v>56815</v>
      </c>
    </row>
    <row r="32" spans="2:154">
      <c r="B32" s="28" t="s">
        <v>241</v>
      </c>
      <c r="AU32" s="1">
        <v>2157</v>
      </c>
      <c r="AV32" s="1">
        <v>1839</v>
      </c>
      <c r="AW32" s="1">
        <v>2371</v>
      </c>
      <c r="AX32" s="1">
        <f>9417-SUM(AU32:AW32)</f>
        <v>3050</v>
      </c>
      <c r="AY32" s="1">
        <v>2905</v>
      </c>
      <c r="AZ32" s="1">
        <v>3364</v>
      </c>
      <c r="BA32" s="1">
        <v>3688</v>
      </c>
      <c r="BB32" s="1">
        <f>14404-SUM(AY32:BA32)</f>
        <v>4447</v>
      </c>
      <c r="BC32" s="1">
        <v>3842</v>
      </c>
      <c r="BD32" s="1">
        <v>4340</v>
      </c>
      <c r="BE32" s="1">
        <v>4138</v>
      </c>
      <c r="BF32" s="1">
        <f>16976-SUM(BC32:BE32)</f>
        <v>4656</v>
      </c>
      <c r="BG32" s="1">
        <v>4080</v>
      </c>
      <c r="BH32" s="1">
        <v>4511</v>
      </c>
      <c r="BI32" s="1">
        <v>4553</v>
      </c>
      <c r="BJ32" s="1">
        <f>18320-SUM(BG32:BI32)</f>
        <v>5176</v>
      </c>
      <c r="BK32" s="1">
        <v>4653</v>
      </c>
      <c r="BL32" s="1">
        <v>4938</v>
      </c>
      <c r="BM32" s="1">
        <v>5093</v>
      </c>
      <c r="BN32" s="1">
        <f>20418-SUM(BK32:BM32)</f>
        <v>5734</v>
      </c>
      <c r="BO32" s="1">
        <v>5233</v>
      </c>
      <c r="BP32" s="1">
        <v>5735</v>
      </c>
      <c r="CL32" s="1">
        <f t="shared" si="39"/>
        <v>9417</v>
      </c>
      <c r="CM32" s="1">
        <f t="shared" si="40"/>
        <v>14404</v>
      </c>
      <c r="CN32" s="1">
        <f t="shared" si="41"/>
        <v>16976</v>
      </c>
      <c r="CO32" s="1">
        <f t="shared" si="42"/>
        <v>18320</v>
      </c>
      <c r="CP32" s="1">
        <f t="shared" si="43"/>
        <v>20418</v>
      </c>
    </row>
    <row r="33" spans="2:154">
      <c r="B33" s="28" t="s">
        <v>224</v>
      </c>
      <c r="AU33" s="1">
        <v>49</v>
      </c>
      <c r="AV33" s="1">
        <v>151</v>
      </c>
      <c r="AW33" s="1">
        <v>-22</v>
      </c>
      <c r="AX33" s="1">
        <f>176-SUM(AU33:AW33)</f>
        <v>-2</v>
      </c>
      <c r="AY33" s="1">
        <v>-109</v>
      </c>
      <c r="AZ33" s="1">
        <v>-7</v>
      </c>
      <c r="BA33" s="1">
        <v>62</v>
      </c>
      <c r="BB33" s="1">
        <f>149-SUM(AY33:BA33)</f>
        <v>203</v>
      </c>
      <c r="BC33" s="1">
        <v>278</v>
      </c>
      <c r="BD33" s="1">
        <v>375</v>
      </c>
      <c r="BE33" s="1">
        <v>638</v>
      </c>
      <c r="BF33" s="1">
        <f>1960-SUM(BC33:BE33)</f>
        <v>669</v>
      </c>
      <c r="BG33" s="1">
        <v>84</v>
      </c>
      <c r="BH33" s="1">
        <v>3</v>
      </c>
      <c r="BI33" s="1">
        <v>-1</v>
      </c>
      <c r="BJ33" s="1">
        <f>236-SUM(BG33:BI33)</f>
        <v>150</v>
      </c>
      <c r="BK33" s="1">
        <v>72</v>
      </c>
      <c r="BL33" s="1">
        <v>102</v>
      </c>
      <c r="BM33" s="1">
        <v>17</v>
      </c>
      <c r="BN33" s="1">
        <f>211-SUM(BK33:BM33)</f>
        <v>20</v>
      </c>
      <c r="BO33" s="1">
        <v>260</v>
      </c>
      <c r="BP33" s="1">
        <v>-112</v>
      </c>
      <c r="CL33" s="1">
        <f t="shared" si="39"/>
        <v>176</v>
      </c>
      <c r="CM33" s="1">
        <f t="shared" si="40"/>
        <v>149</v>
      </c>
      <c r="CN33" s="1">
        <f t="shared" si="41"/>
        <v>1960</v>
      </c>
      <c r="CO33" s="1">
        <f t="shared" si="42"/>
        <v>236</v>
      </c>
      <c r="CP33" s="1">
        <f t="shared" si="43"/>
        <v>211</v>
      </c>
    </row>
    <row r="34" spans="2:154" s="2" customFormat="1" ht="15">
      <c r="B34" s="25" t="s">
        <v>51</v>
      </c>
      <c r="AU34" s="2">
        <f t="shared" ref="AU34:BO34" si="44">SUM(AU29:AU33)</f>
        <v>41159</v>
      </c>
      <c r="AV34" s="2">
        <f t="shared" si="44"/>
        <v>38297</v>
      </c>
      <c r="AW34" s="2">
        <f t="shared" si="44"/>
        <v>46173</v>
      </c>
      <c r="AX34" s="2">
        <f t="shared" si="44"/>
        <v>56898</v>
      </c>
      <c r="AY34" s="2">
        <f t="shared" si="44"/>
        <v>55314</v>
      </c>
      <c r="AZ34" s="2">
        <f t="shared" si="44"/>
        <v>61880</v>
      </c>
      <c r="BA34" s="2">
        <f t="shared" si="44"/>
        <v>65118</v>
      </c>
      <c r="BB34" s="2">
        <f t="shared" si="44"/>
        <v>75325</v>
      </c>
      <c r="BC34" s="2">
        <f t="shared" si="44"/>
        <v>68011</v>
      </c>
      <c r="BD34" s="2">
        <f t="shared" si="44"/>
        <v>69685</v>
      </c>
      <c r="BE34" s="2">
        <f t="shared" si="44"/>
        <v>69092</v>
      </c>
      <c r="BF34" s="2">
        <f t="shared" si="44"/>
        <v>76048</v>
      </c>
      <c r="BG34" s="2">
        <f t="shared" si="44"/>
        <v>69787</v>
      </c>
      <c r="BH34" s="2">
        <f t="shared" si="44"/>
        <v>74604</v>
      </c>
      <c r="BI34" s="2">
        <f t="shared" si="44"/>
        <v>76693</v>
      </c>
      <c r="BJ34" s="2">
        <f t="shared" si="44"/>
        <v>86310</v>
      </c>
      <c r="BK34" s="2">
        <f t="shared" si="44"/>
        <v>80539</v>
      </c>
      <c r="BL34" s="2">
        <f t="shared" si="44"/>
        <v>84742</v>
      </c>
      <c r="BM34" s="2">
        <f t="shared" si="44"/>
        <v>88268</v>
      </c>
      <c r="BN34" s="2">
        <f t="shared" si="44"/>
        <v>96469</v>
      </c>
      <c r="BO34" s="2">
        <f t="shared" si="44"/>
        <v>90234</v>
      </c>
      <c r="BP34" s="2">
        <f t="shared" ref="BP34:BQ34" si="45">SUM(BP29:BP33)</f>
        <v>96428</v>
      </c>
      <c r="BQ34" s="2">
        <f t="shared" si="45"/>
        <v>0</v>
      </c>
      <c r="BR34" s="26"/>
      <c r="BS34" s="26"/>
      <c r="BT34" s="26"/>
      <c r="BU34" s="26"/>
      <c r="BV34" s="26"/>
      <c r="BW34" s="26"/>
      <c r="BX34" s="26"/>
      <c r="BY34" s="26"/>
      <c r="BZ34" s="26"/>
      <c r="CL34" s="2">
        <f t="shared" si="39"/>
        <v>182527</v>
      </c>
      <c r="CM34" s="2">
        <f t="shared" si="40"/>
        <v>257637</v>
      </c>
      <c r="CN34" s="2">
        <f t="shared" si="41"/>
        <v>282836</v>
      </c>
      <c r="CO34" s="2">
        <f t="shared" si="42"/>
        <v>307394</v>
      </c>
      <c r="CP34" s="2">
        <f t="shared" si="43"/>
        <v>350018</v>
      </c>
      <c r="CQ34" s="26"/>
      <c r="CR34" s="26"/>
      <c r="CS34" s="26"/>
      <c r="CT34" s="26"/>
      <c r="CU34" s="26"/>
      <c r="CV34" s="26"/>
      <c r="CW34" s="26"/>
      <c r="CX34" s="26"/>
      <c r="CY34" s="26"/>
      <c r="CZ34" s="26"/>
      <c r="DA34" s="26"/>
      <c r="DB34" s="26"/>
      <c r="DC34" s="26"/>
      <c r="DD34" s="26"/>
      <c r="DE34" s="26"/>
      <c r="DF34" s="26"/>
      <c r="DG34" s="26"/>
      <c r="DH34" s="26"/>
      <c r="DI34" s="26"/>
      <c r="DJ34" s="26"/>
      <c r="DK34" s="26"/>
      <c r="DL34" s="26"/>
      <c r="DM34" s="26"/>
      <c r="DN34" s="26"/>
      <c r="DO34" s="26"/>
      <c r="DP34" s="26"/>
      <c r="DQ34" s="26"/>
      <c r="DR34" s="26"/>
      <c r="DS34" s="26"/>
      <c r="DT34" s="26"/>
      <c r="DU34" s="26"/>
      <c r="DV34" s="26"/>
      <c r="DW34" s="26"/>
      <c r="DX34" s="26"/>
      <c r="DY34" s="26"/>
      <c r="DZ34" s="26"/>
      <c r="EA34" s="26"/>
      <c r="EB34" s="26"/>
      <c r="EC34" s="26"/>
      <c r="ED34" s="26"/>
      <c r="EE34" s="26"/>
      <c r="EF34" s="26"/>
      <c r="EG34" s="26"/>
      <c r="EH34" s="26"/>
      <c r="EI34" s="26"/>
      <c r="EJ34" s="26"/>
      <c r="EK34" s="26"/>
      <c r="EL34" s="26"/>
      <c r="EM34" s="26"/>
      <c r="EN34" s="26"/>
      <c r="EO34" s="26"/>
      <c r="EP34" s="26"/>
      <c r="EQ34" s="26"/>
      <c r="ER34" s="26"/>
      <c r="ES34" s="26"/>
      <c r="ET34" s="26"/>
      <c r="EU34" s="26"/>
      <c r="EV34" s="26"/>
      <c r="EW34" s="26"/>
      <c r="EX34" s="26"/>
    </row>
    <row r="36" spans="2:154">
      <c r="B36" s="60" t="s">
        <v>54</v>
      </c>
      <c r="AY36" s="33">
        <f t="shared" ref="AY36:BH39" si="46">AY29/AU29-1</f>
        <v>0.32655007949125592</v>
      </c>
      <c r="AZ36" s="33">
        <f t="shared" si="46"/>
        <v>0.56719817767653757</v>
      </c>
      <c r="BA36" s="33">
        <f t="shared" si="46"/>
        <v>0.39091502658334121</v>
      </c>
      <c r="BB36" s="33">
        <f t="shared" si="46"/>
        <v>0.30284986705613592</v>
      </c>
      <c r="BC36" s="33">
        <f t="shared" si="46"/>
        <v>0.26769734739533391</v>
      </c>
      <c r="BD36" s="33">
        <f t="shared" si="46"/>
        <v>0.1602027793533749</v>
      </c>
      <c r="BE36" s="33">
        <f t="shared" si="46"/>
        <v>0.11896459227467804</v>
      </c>
      <c r="BF36" s="33">
        <f t="shared" si="46"/>
        <v>6.3006611095142384E-2</v>
      </c>
      <c r="BG36" s="33">
        <f t="shared" si="46"/>
        <v>3.5641130684145761E-2</v>
      </c>
      <c r="BH36" s="33">
        <f t="shared" si="46"/>
        <v>7.1683930699422582E-2</v>
      </c>
      <c r="BI36" s="33">
        <f t="shared" ref="BI36:BQ39" si="47">BI29/BE29-1</f>
        <v>8.935634663789993E-2</v>
      </c>
      <c r="BJ36" s="33">
        <f t="shared" si="47"/>
        <v>0.13555243091233571</v>
      </c>
      <c r="BK36" s="33">
        <f t="shared" si="47"/>
        <v>0.17870618305744879</v>
      </c>
      <c r="BL36" s="33">
        <f t="shared" si="47"/>
        <v>0.17457873577965954</v>
      </c>
      <c r="BM36" s="33">
        <f t="shared" si="47"/>
        <v>0.18663695879408038</v>
      </c>
      <c r="BN36" s="33">
        <f t="shared" si="47"/>
        <v>0.12811048934396951</v>
      </c>
      <c r="BO36" s="33">
        <f t="shared" si="47"/>
        <v>0.13493559129514421</v>
      </c>
      <c r="BP36" s="33">
        <f t="shared" si="47"/>
        <v>0.11814253811049613</v>
      </c>
      <c r="BQ36" s="33">
        <f t="shared" si="47"/>
        <v>-1</v>
      </c>
      <c r="CM36" s="33">
        <f t="shared" ref="CM36:CP39" si="48">CM29/CL29-1</f>
        <v>0.38628931705366165</v>
      </c>
      <c r="CN36" s="33">
        <f t="shared" si="48"/>
        <v>0.14390686781950546</v>
      </c>
      <c r="CO36" s="33">
        <f t="shared" si="48"/>
        <v>8.5095019805064842E-2</v>
      </c>
      <c r="CP36" s="33">
        <f t="shared" si="48"/>
        <v>0.16516276335397784</v>
      </c>
    </row>
    <row r="37" spans="2:154">
      <c r="B37" s="60" t="s">
        <v>242</v>
      </c>
      <c r="AY37" s="33">
        <f t="shared" si="46"/>
        <v>0.32588555858310619</v>
      </c>
      <c r="AZ37" s="33">
        <f t="shared" si="46"/>
        <v>0.67948605121886829</v>
      </c>
      <c r="BA37" s="33">
        <f t="shared" si="46"/>
        <v>0.42480609020396431</v>
      </c>
      <c r="BB37" s="33">
        <f t="shared" si="46"/>
        <v>0.34313725490196068</v>
      </c>
      <c r="BC37" s="33">
        <f t="shared" si="46"/>
        <v>0.19294228172156647</v>
      </c>
      <c r="BD37" s="33">
        <f t="shared" si="46"/>
        <v>7.592747851603443E-2</v>
      </c>
      <c r="BE37" s="33">
        <f t="shared" si="46"/>
        <v>-1.9607843137254943E-2</v>
      </c>
      <c r="BF37" s="33">
        <f t="shared" si="46"/>
        <v>-6.0078607523862959E-2</v>
      </c>
      <c r="BG37" s="33">
        <f t="shared" si="46"/>
        <v>3.7456317369690462E-2</v>
      </c>
      <c r="BH37" s="33">
        <f t="shared" si="46"/>
        <v>8.5520868845273545E-2</v>
      </c>
      <c r="BI37" s="33">
        <f t="shared" si="47"/>
        <v>0.16508997429305916</v>
      </c>
      <c r="BJ37" s="33">
        <f t="shared" si="47"/>
        <v>0.14925098796066538</v>
      </c>
      <c r="BK37" s="33">
        <f t="shared" si="47"/>
        <v>0.12857007306196033</v>
      </c>
      <c r="BL37" s="33">
        <f t="shared" si="47"/>
        <v>0.1074072412400735</v>
      </c>
      <c r="BM37" s="33">
        <f t="shared" si="47"/>
        <v>0.1240457173116809</v>
      </c>
      <c r="BN37" s="33">
        <f t="shared" si="47"/>
        <v>0.12690923630547779</v>
      </c>
      <c r="BO37" s="33">
        <f t="shared" si="47"/>
        <v>8.9751135026063578E-2</v>
      </c>
      <c r="BP37" s="33">
        <f t="shared" si="47"/>
        <v>0.1449985820200137</v>
      </c>
      <c r="BQ37" s="33">
        <f t="shared" si="47"/>
        <v>-1</v>
      </c>
      <c r="CM37" s="33">
        <f t="shared" si="48"/>
        <v>0.42869785082174472</v>
      </c>
      <c r="CN37" s="33">
        <f t="shared" si="48"/>
        <v>3.7354469263150003E-2</v>
      </c>
      <c r="CO37" s="33">
        <f t="shared" si="48"/>
        <v>0.10938071214447609</v>
      </c>
      <c r="CP37" s="33">
        <f t="shared" si="48"/>
        <v>0.12180627869680793</v>
      </c>
    </row>
    <row r="38" spans="2:154">
      <c r="B38" s="60" t="s">
        <v>243</v>
      </c>
      <c r="AY38" s="33">
        <f t="shared" si="46"/>
        <v>0.44445979552362536</v>
      </c>
      <c r="AZ38" s="33">
        <f t="shared" si="46"/>
        <v>0.61713462922966156</v>
      </c>
      <c r="BA38" s="33">
        <f t="shared" si="46"/>
        <v>0.38389690234097906</v>
      </c>
      <c r="BB38" s="33">
        <f t="shared" si="46"/>
        <v>0.28489252194974268</v>
      </c>
      <c r="BC38" s="33">
        <f t="shared" si="46"/>
        <v>0.13256814921090387</v>
      </c>
      <c r="BD38" s="33">
        <f t="shared" si="46"/>
        <v>4.2649808565577318E-2</v>
      </c>
      <c r="BE38" s="33">
        <f t="shared" si="46"/>
        <v>-1.8026484408372512E-2</v>
      </c>
      <c r="BF38" s="33">
        <f t="shared" si="46"/>
        <v>-5.9142318567389274E-2</v>
      </c>
      <c r="BG38" s="33">
        <f t="shared" si="46"/>
        <v>-1.3512372265855888E-2</v>
      </c>
      <c r="BH38" s="33">
        <f t="shared" si="46"/>
        <v>8.6934244235695957E-2</v>
      </c>
      <c r="BI38" s="33">
        <f t="shared" si="47"/>
        <v>0.14198712371672184</v>
      </c>
      <c r="BJ38" s="33">
        <f t="shared" si="47"/>
        <v>0.16695884464479516</v>
      </c>
      <c r="BK38" s="33">
        <f t="shared" si="47"/>
        <v>0.13765944696515708</v>
      </c>
      <c r="BL38" s="33">
        <f t="shared" si="47"/>
        <v>8.6030798240100514E-2</v>
      </c>
      <c r="BM38" s="33">
        <f t="shared" si="47"/>
        <v>0.10825841840621675</v>
      </c>
      <c r="BN38" s="33">
        <f t="shared" si="47"/>
        <v>8.4197725159167236E-2</v>
      </c>
      <c r="BO38" s="33">
        <f t="shared" si="47"/>
        <v>0.11776657385807821</v>
      </c>
      <c r="BP38" s="33">
        <f t="shared" si="47"/>
        <v>0.19221587209722935</v>
      </c>
      <c r="BQ38" s="33">
        <f t="shared" si="47"/>
        <v>-1</v>
      </c>
      <c r="CM38" s="33">
        <f t="shared" si="48"/>
        <v>0.41698924731182796</v>
      </c>
      <c r="CN38" s="33">
        <f t="shared" si="48"/>
        <v>1.9534722372785751E-2</v>
      </c>
      <c r="CO38" s="33">
        <f t="shared" si="48"/>
        <v>9.5483157536577101E-2</v>
      </c>
      <c r="CP38" s="33">
        <f t="shared" si="48"/>
        <v>0.10290406491439219</v>
      </c>
    </row>
    <row r="39" spans="2:154">
      <c r="B39" s="60" t="s">
        <v>244</v>
      </c>
      <c r="AY39" s="33">
        <f t="shared" si="46"/>
        <v>0.34677793231339815</v>
      </c>
      <c r="AZ39" s="33">
        <f t="shared" si="46"/>
        <v>0.82925502990755851</v>
      </c>
      <c r="BA39" s="33">
        <f t="shared" si="46"/>
        <v>0.55546183045128639</v>
      </c>
      <c r="BB39" s="33">
        <f t="shared" si="46"/>
        <v>0.45803278688524585</v>
      </c>
      <c r="BC39" s="33">
        <f t="shared" si="46"/>
        <v>0.32254733218588649</v>
      </c>
      <c r="BD39" s="33">
        <f t="shared" si="46"/>
        <v>0.29013079667063013</v>
      </c>
      <c r="BE39" s="33">
        <f t="shared" si="46"/>
        <v>0.12201735357917576</v>
      </c>
      <c r="BF39" s="33">
        <f t="shared" si="46"/>
        <v>4.6997976163705824E-2</v>
      </c>
      <c r="BG39" s="33">
        <f t="shared" si="46"/>
        <v>6.1946902654867353E-2</v>
      </c>
      <c r="BH39" s="33">
        <f t="shared" si="46"/>
        <v>3.9400921658986121E-2</v>
      </c>
      <c r="BI39" s="33">
        <f t="shared" si="47"/>
        <v>0.1002899951667473</v>
      </c>
      <c r="BJ39" s="33">
        <f t="shared" si="47"/>
        <v>0.11168384879725091</v>
      </c>
      <c r="BK39" s="33">
        <f t="shared" si="47"/>
        <v>0.14044117647058818</v>
      </c>
      <c r="BL39" s="33">
        <f t="shared" si="47"/>
        <v>9.4657503879405969E-2</v>
      </c>
      <c r="BM39" s="33">
        <f t="shared" si="47"/>
        <v>0.11860311882275432</v>
      </c>
      <c r="BN39" s="33">
        <f t="shared" si="47"/>
        <v>0.10780525502318383</v>
      </c>
      <c r="BO39" s="33">
        <f t="shared" si="47"/>
        <v>0.12465076294863531</v>
      </c>
      <c r="BP39" s="33">
        <f t="shared" si="47"/>
        <v>0.16140137707573921</v>
      </c>
      <c r="BQ39" s="33">
        <f t="shared" si="47"/>
        <v>-1</v>
      </c>
      <c r="CM39" s="33">
        <f t="shared" si="48"/>
        <v>0.52957417436550913</v>
      </c>
      <c r="CN39" s="33">
        <f t="shared" si="48"/>
        <v>0.17856151069147463</v>
      </c>
      <c r="CO39" s="33">
        <f t="shared" si="48"/>
        <v>7.9170593779453347E-2</v>
      </c>
      <c r="CP39" s="33">
        <f t="shared" si="48"/>
        <v>0.1145196506550219</v>
      </c>
    </row>
    <row r="40" spans="2:154" ht="15">
      <c r="B40" s="2" t="s">
        <v>233</v>
      </c>
      <c r="AY40" s="33">
        <f t="shared" ref="AY40:BQ40" si="49">AY34/AU34-1</f>
        <v>0.34391020189994892</v>
      </c>
      <c r="AZ40" s="33">
        <f t="shared" si="49"/>
        <v>0.61579235971486024</v>
      </c>
      <c r="BA40" s="33">
        <f t="shared" si="49"/>
        <v>0.41030472353973102</v>
      </c>
      <c r="BB40" s="33">
        <f t="shared" si="49"/>
        <v>0.32386024113325607</v>
      </c>
      <c r="BC40" s="33">
        <f t="shared" si="49"/>
        <v>0.22954405756228069</v>
      </c>
      <c r="BD40" s="33">
        <f t="shared" si="49"/>
        <v>0.12613122171945701</v>
      </c>
      <c r="BE40" s="33">
        <f t="shared" si="49"/>
        <v>6.1027672840074931E-2</v>
      </c>
      <c r="BF40" s="33">
        <f t="shared" si="49"/>
        <v>9.5984069034185104E-3</v>
      </c>
      <c r="BG40" s="33">
        <f t="shared" si="49"/>
        <v>2.6113422828660138E-2</v>
      </c>
      <c r="BH40" s="33">
        <f t="shared" si="49"/>
        <v>7.0589079428858392E-2</v>
      </c>
      <c r="BI40" s="33">
        <f t="shared" si="49"/>
        <v>0.11001273664100042</v>
      </c>
      <c r="BJ40" s="33">
        <f t="shared" si="49"/>
        <v>0.13494108983799702</v>
      </c>
      <c r="BK40" s="33">
        <f t="shared" si="49"/>
        <v>0.15406880937710454</v>
      </c>
      <c r="BL40" s="33">
        <f t="shared" si="49"/>
        <v>0.13589083695244231</v>
      </c>
      <c r="BM40" s="33">
        <f t="shared" si="49"/>
        <v>0.15092642092498654</v>
      </c>
      <c r="BN40" s="33">
        <f t="shared" si="49"/>
        <v>0.11770362646275045</v>
      </c>
      <c r="BO40" s="33">
        <f t="shared" si="49"/>
        <v>0.12037646357665222</v>
      </c>
      <c r="BP40" s="33">
        <f t="shared" si="49"/>
        <v>0.13790092280097244</v>
      </c>
      <c r="BQ40" s="33">
        <f t="shared" si="49"/>
        <v>-1</v>
      </c>
      <c r="CM40" s="33">
        <f>CM34/CL34-1</f>
        <v>0.41150076427049154</v>
      </c>
      <c r="CN40" s="33">
        <f>CN34/CM34-1</f>
        <v>9.7808156437157789E-2</v>
      </c>
      <c r="CO40" s="33">
        <f>CO34/CN34-1</f>
        <v>8.6827702272695095E-2</v>
      </c>
      <c r="CP40" s="33">
        <f>CP34/CO34-1</f>
        <v>0.13866243322901561</v>
      </c>
    </row>
    <row r="42" spans="2:154">
      <c r="B42" s="28" t="s">
        <v>53</v>
      </c>
      <c r="AU42" s="33">
        <f t="shared" ref="AU42:BO42" si="50">AU29/AU34</f>
        <v>0.45846594912412836</v>
      </c>
      <c r="AV42" s="33">
        <f t="shared" si="50"/>
        <v>0.4699845940935321</v>
      </c>
      <c r="AW42" s="33">
        <f t="shared" si="50"/>
        <v>0.46438394732852534</v>
      </c>
      <c r="AX42" s="33">
        <f t="shared" si="50"/>
        <v>0.46931350838342295</v>
      </c>
      <c r="AY42" s="33">
        <f t="shared" si="50"/>
        <v>0.45254365983295369</v>
      </c>
      <c r="AZ42" s="33">
        <f t="shared" si="50"/>
        <v>0.45585003232062055</v>
      </c>
      <c r="BA42" s="33">
        <f t="shared" si="50"/>
        <v>0.45799932430357199</v>
      </c>
      <c r="BB42" s="33">
        <f t="shared" si="50"/>
        <v>0.46186525058081646</v>
      </c>
      <c r="BC42" s="33">
        <f t="shared" si="50"/>
        <v>0.46658628751231418</v>
      </c>
      <c r="BD42" s="33">
        <f t="shared" si="50"/>
        <v>0.46964196024969507</v>
      </c>
      <c r="BE42" s="33">
        <f t="shared" si="50"/>
        <v>0.48300816302900479</v>
      </c>
      <c r="BF42" s="33">
        <f t="shared" si="50"/>
        <v>0.48629812749842205</v>
      </c>
      <c r="BG42" s="33">
        <f t="shared" si="50"/>
        <v>0.4709186524710906</v>
      </c>
      <c r="BH42" s="33">
        <f t="shared" si="50"/>
        <v>0.47012224545600773</v>
      </c>
      <c r="BI42" s="33">
        <f t="shared" si="50"/>
        <v>0.47401979320146559</v>
      </c>
      <c r="BJ42" s="33">
        <f t="shared" si="50"/>
        <v>0.48656007415131503</v>
      </c>
      <c r="BK42" s="33">
        <f t="shared" si="50"/>
        <v>0.48097195147692423</v>
      </c>
      <c r="BL42" s="33">
        <f t="shared" si="50"/>
        <v>0.48613438436666589</v>
      </c>
      <c r="BM42" s="33">
        <f t="shared" si="50"/>
        <v>0.48872751166900802</v>
      </c>
      <c r="BN42" s="33">
        <f t="shared" si="50"/>
        <v>0.4910904020980833</v>
      </c>
      <c r="BO42" s="33">
        <f t="shared" si="50"/>
        <v>0.48722211139925081</v>
      </c>
      <c r="BP42" s="33">
        <f t="shared" ref="BP42:BQ42" si="51">BP29/BP34</f>
        <v>0.47769320114489566</v>
      </c>
      <c r="BQ42" s="33" t="e">
        <f t="shared" si="51"/>
        <v>#DIV/0!</v>
      </c>
      <c r="CL42" s="33">
        <f>CL29/CL34</f>
        <v>0.46576122984544754</v>
      </c>
      <c r="CM42" s="33">
        <f>CM29/CM34</f>
        <v>0.45744205995256892</v>
      </c>
      <c r="CN42" s="33">
        <f>CN29/CN34</f>
        <v>0.47665077995728972</v>
      </c>
      <c r="CO42" s="33">
        <f>CO29/CO34</f>
        <v>0.47589087620448023</v>
      </c>
      <c r="CP42" s="33">
        <f>CP29/CP34</f>
        <v>0.48696638458593561</v>
      </c>
    </row>
    <row r="43" spans="2:154">
      <c r="B43" s="60" t="s">
        <v>245</v>
      </c>
      <c r="AU43" s="33">
        <f t="shared" ref="AU43:BO43" si="52">AU30/AU34</f>
        <v>0.31208241210913773</v>
      </c>
      <c r="AV43" s="33">
        <f t="shared" si="52"/>
        <v>0.29670731388881638</v>
      </c>
      <c r="AW43" s="33">
        <f t="shared" si="52"/>
        <v>0.30156151863643255</v>
      </c>
      <c r="AX43" s="33">
        <f t="shared" si="52"/>
        <v>0.30296319730043236</v>
      </c>
      <c r="AY43" s="33">
        <f t="shared" si="52"/>
        <v>0.3078967350037965</v>
      </c>
      <c r="AZ43" s="33">
        <f t="shared" si="52"/>
        <v>0.30840336134453783</v>
      </c>
      <c r="BA43" s="33">
        <f t="shared" si="52"/>
        <v>0.30466230535335853</v>
      </c>
      <c r="BB43" s="33">
        <f t="shared" si="52"/>
        <v>0.30737470959176899</v>
      </c>
      <c r="BC43" s="33">
        <f t="shared" si="52"/>
        <v>0.2987310876181794</v>
      </c>
      <c r="BD43" s="33">
        <f t="shared" si="52"/>
        <v>0.29465451675396426</v>
      </c>
      <c r="BE43" s="33">
        <f t="shared" si="52"/>
        <v>0.28150871302032071</v>
      </c>
      <c r="BF43" s="33">
        <f t="shared" si="52"/>
        <v>0.2861613717652009</v>
      </c>
      <c r="BG43" s="33">
        <f t="shared" si="52"/>
        <v>0.30203332998982618</v>
      </c>
      <c r="BH43" s="33">
        <f t="shared" si="52"/>
        <v>0.29876414133290441</v>
      </c>
      <c r="BI43" s="33">
        <f t="shared" si="52"/>
        <v>0.29547677102212716</v>
      </c>
      <c r="BJ43" s="33">
        <f t="shared" si="52"/>
        <v>0.28976943575483721</v>
      </c>
      <c r="BK43" s="33">
        <f t="shared" si="52"/>
        <v>0.29536001191969108</v>
      </c>
      <c r="BL43" s="33">
        <f t="shared" si="52"/>
        <v>0.29127233249156265</v>
      </c>
      <c r="BM43" s="33">
        <f t="shared" si="52"/>
        <v>0.28857570127339466</v>
      </c>
      <c r="BN43" s="33">
        <f t="shared" si="52"/>
        <v>0.29215602939804497</v>
      </c>
      <c r="BO43" s="33">
        <f t="shared" si="52"/>
        <v>0.28728638872265444</v>
      </c>
      <c r="BP43" s="33">
        <f t="shared" ref="BP43:BQ43" si="53">BP30/BP34</f>
        <v>0.2930891442319658</v>
      </c>
      <c r="BQ43" s="33" t="e">
        <f t="shared" si="53"/>
        <v>#DIV/0!</v>
      </c>
      <c r="CL43" s="33">
        <f>CL30/CL34</f>
        <v>0.30335238074367082</v>
      </c>
      <c r="CM43" s="33">
        <f>CM30/CM34</f>
        <v>0.30704828887155183</v>
      </c>
      <c r="CN43" s="33">
        <f>CN30/CN34</f>
        <v>0.29013986904071615</v>
      </c>
      <c r="CO43" s="33">
        <f>CO30/CO34</f>
        <v>0.29616062772858287</v>
      </c>
      <c r="CP43" s="33">
        <f>CP30/CP34</f>
        <v>0.29177642292682093</v>
      </c>
    </row>
    <row r="44" spans="2:154">
      <c r="B44" s="60" t="s">
        <v>246</v>
      </c>
      <c r="AU44" s="33">
        <f t="shared" ref="AU44:BO44" si="54">AU31/AU34</f>
        <v>0.17585461259991739</v>
      </c>
      <c r="AV44" s="33">
        <f t="shared" si="54"/>
        <v>0.18134579732093897</v>
      </c>
      <c r="AW44" s="33">
        <f t="shared" si="54"/>
        <v>0.18318064669828688</v>
      </c>
      <c r="AX44" s="33">
        <f t="shared" si="54"/>
        <v>0.17415374881366655</v>
      </c>
      <c r="AY44" s="33">
        <f t="shared" si="54"/>
        <v>0.18901182340817876</v>
      </c>
      <c r="AZ44" s="33">
        <f t="shared" si="54"/>
        <v>0.18149644473173884</v>
      </c>
      <c r="BA44" s="33">
        <f t="shared" si="54"/>
        <v>0.17975060659111153</v>
      </c>
      <c r="BB44" s="33">
        <f t="shared" si="54"/>
        <v>0.16902754729505476</v>
      </c>
      <c r="BC44" s="33">
        <f t="shared" si="54"/>
        <v>0.17410418902824543</v>
      </c>
      <c r="BD44" s="33">
        <f t="shared" si="54"/>
        <v>0.16804190284853268</v>
      </c>
      <c r="BE44" s="33">
        <f t="shared" si="54"/>
        <v>0.16635789961211139</v>
      </c>
      <c r="BF44" s="33">
        <f t="shared" si="54"/>
        <v>0.15751893540921524</v>
      </c>
      <c r="BG44" s="33">
        <f t="shared" si="54"/>
        <v>0.16738074426469113</v>
      </c>
      <c r="BH44" s="33">
        <f t="shared" si="54"/>
        <v>0.17060747413007346</v>
      </c>
      <c r="BI44" s="33">
        <f t="shared" si="54"/>
        <v>0.17114990937895244</v>
      </c>
      <c r="BJ44" s="33">
        <f t="shared" si="54"/>
        <v>0.16196269261962692</v>
      </c>
      <c r="BK44" s="33">
        <f t="shared" si="54"/>
        <v>0.16500080706241696</v>
      </c>
      <c r="BL44" s="33">
        <f t="shared" si="54"/>
        <v>0.16311864246772556</v>
      </c>
      <c r="BM44" s="33">
        <f t="shared" si="54"/>
        <v>0.16480491231250283</v>
      </c>
      <c r="BN44" s="33">
        <f t="shared" si="54"/>
        <v>0.1571074645741119</v>
      </c>
      <c r="BO44" s="33">
        <f t="shared" si="54"/>
        <v>0.16461644169603476</v>
      </c>
      <c r="BP44" s="33">
        <f t="shared" ref="BP44:BQ44" si="55">BP31/BP34</f>
        <v>0.17090471647239391</v>
      </c>
      <c r="BQ44" s="33" t="e">
        <f t="shared" si="55"/>
        <v>#DIV/0!</v>
      </c>
      <c r="CL44" s="33">
        <f>CL31/CL34</f>
        <v>0.17832978134741709</v>
      </c>
      <c r="CM44" s="33">
        <f>CM31/CM34</f>
        <v>0.17902319930755287</v>
      </c>
      <c r="CN44" s="33">
        <f>CN31/CN34</f>
        <v>0.16625889207880185</v>
      </c>
      <c r="CO44" s="33">
        <f>CO31/CO34</f>
        <v>0.16758297169105449</v>
      </c>
      <c r="CP44" s="33">
        <f>CP31/CP34</f>
        <v>0.16232022353136125</v>
      </c>
    </row>
    <row r="45" spans="2:154">
      <c r="B45" s="60" t="s">
        <v>247</v>
      </c>
      <c r="AU45" s="33">
        <f t="shared" ref="AU45:BO45" si="56">AU32/AU34</f>
        <v>5.2406521052503707E-2</v>
      </c>
      <c r="AV45" s="33">
        <f t="shared" si="56"/>
        <v>4.8019427109173042E-2</v>
      </c>
      <c r="AW45" s="33">
        <f t="shared" si="56"/>
        <v>5.1350356268815109E-2</v>
      </c>
      <c r="AX45" s="33">
        <f t="shared" si="56"/>
        <v>5.3604696122886569E-2</v>
      </c>
      <c r="AY45" s="33">
        <f t="shared" si="56"/>
        <v>5.2518349784864589E-2</v>
      </c>
      <c r="AZ45" s="33">
        <f t="shared" si="56"/>
        <v>5.4363283775048482E-2</v>
      </c>
      <c r="BA45" s="33">
        <f t="shared" si="56"/>
        <v>5.6635646057925614E-2</v>
      </c>
      <c r="BB45" s="33">
        <f t="shared" si="56"/>
        <v>5.9037504148689017E-2</v>
      </c>
      <c r="BC45" s="33">
        <f t="shared" si="56"/>
        <v>5.6490861772360353E-2</v>
      </c>
      <c r="BD45" s="33">
        <f t="shared" si="56"/>
        <v>6.2280261175288801E-2</v>
      </c>
      <c r="BE45" s="33">
        <f t="shared" si="56"/>
        <v>5.9891159613269261E-2</v>
      </c>
      <c r="BF45" s="33">
        <f t="shared" si="56"/>
        <v>6.1224489795918366E-2</v>
      </c>
      <c r="BG45" s="33">
        <f t="shared" si="56"/>
        <v>5.8463610701133449E-2</v>
      </c>
      <c r="BH45" s="33">
        <f t="shared" si="56"/>
        <v>6.0465926759959251E-2</v>
      </c>
      <c r="BI45" s="33">
        <f t="shared" si="56"/>
        <v>5.9366565397102736E-2</v>
      </c>
      <c r="BJ45" s="33">
        <f t="shared" si="56"/>
        <v>5.996987602827019E-2</v>
      </c>
      <c r="BK45" s="33">
        <f t="shared" si="56"/>
        <v>5.7773252709867266E-2</v>
      </c>
      <c r="BL45" s="33">
        <f t="shared" si="56"/>
        <v>5.8270987231833091E-2</v>
      </c>
      <c r="BM45" s="33">
        <f t="shared" si="56"/>
        <v>5.7699279467077536E-2</v>
      </c>
      <c r="BN45" s="33">
        <f t="shared" si="56"/>
        <v>5.9438783443385955E-2</v>
      </c>
      <c r="BO45" s="33">
        <f t="shared" si="56"/>
        <v>5.799366092603675E-2</v>
      </c>
      <c r="BP45" s="33">
        <f t="shared" ref="BP45:BQ45" si="57">BP32/BP34</f>
        <v>5.9474426515120089E-2</v>
      </c>
      <c r="BQ45" s="33" t="e">
        <f t="shared" si="57"/>
        <v>#DIV/0!</v>
      </c>
      <c r="CL45" s="33">
        <f>CL32/CL34</f>
        <v>5.159236715663984E-2</v>
      </c>
      <c r="CM45" s="33">
        <f>CM32/CM34</f>
        <v>5.5908118787285986E-2</v>
      </c>
      <c r="CN45" s="33">
        <f>CN32/CN34</f>
        <v>6.0020648008032924E-2</v>
      </c>
      <c r="CO45" s="33">
        <f>CO32/CO34</f>
        <v>5.9597780047756302E-2</v>
      </c>
      <c r="CP45" s="33">
        <f>CP32/CP34</f>
        <v>5.8334142815512344E-2</v>
      </c>
    </row>
    <row r="46" spans="2:154">
      <c r="B46" s="60" t="s">
        <v>248</v>
      </c>
      <c r="AU46" s="33">
        <f t="shared" ref="AU46:BO46" si="58">AU33/AU34</f>
        <v>1.190505114312787E-3</v>
      </c>
      <c r="AV46" s="33">
        <f t="shared" si="58"/>
        <v>3.9428675875394937E-3</v>
      </c>
      <c r="AW46" s="33">
        <f t="shared" si="58"/>
        <v>-4.7646893205986182E-4</v>
      </c>
      <c r="AX46" s="33">
        <f t="shared" si="58"/>
        <v>-3.5150620408450207E-5</v>
      </c>
      <c r="AY46" s="33">
        <f t="shared" si="58"/>
        <v>-1.9705680297935424E-3</v>
      </c>
      <c r="AZ46" s="33">
        <f t="shared" si="58"/>
        <v>-1.1312217194570136E-4</v>
      </c>
      <c r="BA46" s="33">
        <f t="shared" si="58"/>
        <v>9.5211769403237198E-4</v>
      </c>
      <c r="BB46" s="33">
        <f t="shared" si="58"/>
        <v>2.6949883836707603E-3</v>
      </c>
      <c r="BC46" s="33">
        <f t="shared" si="58"/>
        <v>4.0875740689006188E-3</v>
      </c>
      <c r="BD46" s="33">
        <f t="shared" si="58"/>
        <v>5.3813589725191938E-3</v>
      </c>
      <c r="BE46" s="33">
        <f t="shared" si="58"/>
        <v>9.2340647252938113E-3</v>
      </c>
      <c r="BF46" s="33">
        <f t="shared" si="58"/>
        <v>8.7970755312434257E-3</v>
      </c>
      <c r="BG46" s="33">
        <f t="shared" si="58"/>
        <v>1.2036625732586299E-3</v>
      </c>
      <c r="BH46" s="33">
        <f t="shared" si="58"/>
        <v>4.0212321055171307E-5</v>
      </c>
      <c r="BI46" s="33">
        <f t="shared" si="58"/>
        <v>-1.303899964794701E-5</v>
      </c>
      <c r="BJ46" s="33">
        <f t="shared" si="58"/>
        <v>1.7379214459506431E-3</v>
      </c>
      <c r="BK46" s="33">
        <f t="shared" si="58"/>
        <v>8.9397683110046069E-4</v>
      </c>
      <c r="BL46" s="33">
        <f t="shared" si="58"/>
        <v>1.2036534422128343E-3</v>
      </c>
      <c r="BM46" s="33">
        <f t="shared" si="58"/>
        <v>1.9259527801694838E-4</v>
      </c>
      <c r="BN46" s="33">
        <f t="shared" si="58"/>
        <v>2.0732048637386104E-4</v>
      </c>
      <c r="BO46" s="33">
        <f t="shared" si="58"/>
        <v>2.8813972560232286E-3</v>
      </c>
      <c r="BP46" s="33">
        <f t="shared" ref="BP46:BQ46" si="59">BP33/BP34</f>
        <v>-1.1614883643754927E-3</v>
      </c>
      <c r="BQ46" s="33" t="e">
        <f t="shared" si="59"/>
        <v>#DIV/0!</v>
      </c>
      <c r="CL46" s="33">
        <f>CL33/CL34</f>
        <v>9.6424090682474377E-4</v>
      </c>
      <c r="CM46" s="33">
        <f>CM33/CM34</f>
        <v>5.783330810403785E-4</v>
      </c>
      <c r="CN46" s="33">
        <f>CN33/CN34</f>
        <v>6.9298109151593153E-3</v>
      </c>
      <c r="CO46" s="33">
        <f>CO33/CO34</f>
        <v>7.6774432812611829E-4</v>
      </c>
      <c r="CP46" s="33">
        <f>CP33/CP34</f>
        <v>6.0282614036992379E-4</v>
      </c>
    </row>
    <row r="48" spans="2:154" s="2" customFormat="1" ht="15">
      <c r="B48" s="2" t="s">
        <v>50</v>
      </c>
      <c r="C48" s="2">
        <v>5509</v>
      </c>
      <c r="D48" s="2">
        <v>5523</v>
      </c>
      <c r="E48" s="2">
        <v>5945</v>
      </c>
      <c r="F48" s="2">
        <v>6674</v>
      </c>
      <c r="G48" s="2">
        <v>6775</v>
      </c>
      <c r="H48" s="2">
        <v>6820</v>
      </c>
      <c r="I48" s="2">
        <v>7286</v>
      </c>
      <c r="J48" s="2">
        <v>8440</v>
      </c>
      <c r="K48" s="2">
        <v>8575</v>
      </c>
      <c r="L48" s="2">
        <v>9026</v>
      </c>
      <c r="M48" s="2">
        <v>9720</v>
      </c>
      <c r="N48" s="2">
        <v>10584</v>
      </c>
      <c r="O48" s="2">
        <v>10645</v>
      </c>
      <c r="P48" s="2">
        <v>11807</v>
      </c>
      <c r="Q48" s="2">
        <v>13304</v>
      </c>
      <c r="R48" s="2">
        <v>10283</v>
      </c>
      <c r="S48" s="2">
        <v>12951</v>
      </c>
      <c r="T48" s="2">
        <v>13107</v>
      </c>
      <c r="U48" s="2">
        <v>13754</v>
      </c>
      <c r="V48" s="2">
        <v>15707</v>
      </c>
      <c r="W48" s="2">
        <v>15420</v>
      </c>
      <c r="X48" s="2">
        <v>15955</v>
      </c>
      <c r="Y48" s="2">
        <v>16523</v>
      </c>
      <c r="Z48" s="2">
        <v>18103</v>
      </c>
      <c r="AA48" s="2">
        <v>17258</v>
      </c>
      <c r="AB48" s="2">
        <v>17727</v>
      </c>
      <c r="AC48" s="2">
        <v>18675</v>
      </c>
      <c r="AD48" s="2">
        <v>21329</v>
      </c>
      <c r="AE48" s="2">
        <v>20257</v>
      </c>
      <c r="AF48" s="2">
        <v>21500</v>
      </c>
      <c r="AG48" s="2">
        <v>22451</v>
      </c>
      <c r="AH48" s="2">
        <v>26064</v>
      </c>
      <c r="AI48" s="2">
        <v>24750</v>
      </c>
      <c r="AJ48" s="2">
        <v>26010</v>
      </c>
      <c r="AK48" s="2">
        <v>27772</v>
      </c>
      <c r="AL48" s="2">
        <v>32323</v>
      </c>
      <c r="AM48" s="2">
        <v>31146</v>
      </c>
      <c r="AN48" s="2">
        <v>32657</v>
      </c>
      <c r="AO48" s="2">
        <v>33740</v>
      </c>
      <c r="AP48" s="2">
        <v>39276</v>
      </c>
      <c r="AQ48" s="2">
        <v>36339</v>
      </c>
      <c r="AR48" s="2">
        <v>38944</v>
      </c>
      <c r="AS48" s="2">
        <v>40499</v>
      </c>
      <c r="AT48" s="2">
        <v>46075</v>
      </c>
      <c r="AU48" s="2">
        <f t="shared" ref="AU48:BO48" si="60">AU12</f>
        <v>41159</v>
      </c>
      <c r="AV48" s="2">
        <f t="shared" si="60"/>
        <v>38297</v>
      </c>
      <c r="AW48" s="2">
        <f t="shared" si="60"/>
        <v>46173</v>
      </c>
      <c r="AX48" s="2">
        <f t="shared" si="60"/>
        <v>56898</v>
      </c>
      <c r="AY48" s="2">
        <f t="shared" si="60"/>
        <v>55314</v>
      </c>
      <c r="AZ48" s="2">
        <f t="shared" si="60"/>
        <v>61880</v>
      </c>
      <c r="BA48" s="2">
        <f t="shared" si="60"/>
        <v>65118</v>
      </c>
      <c r="BB48" s="2">
        <f t="shared" si="60"/>
        <v>75325</v>
      </c>
      <c r="BC48" s="2">
        <f t="shared" si="60"/>
        <v>68011</v>
      </c>
      <c r="BD48" s="2">
        <f t="shared" si="60"/>
        <v>69685</v>
      </c>
      <c r="BE48" s="2">
        <f t="shared" si="60"/>
        <v>69092</v>
      </c>
      <c r="BF48" s="2">
        <f t="shared" si="60"/>
        <v>76048</v>
      </c>
      <c r="BG48" s="2">
        <f t="shared" si="60"/>
        <v>69787</v>
      </c>
      <c r="BH48" s="2">
        <f t="shared" si="60"/>
        <v>74604</v>
      </c>
      <c r="BI48" s="2">
        <f t="shared" si="60"/>
        <v>76693</v>
      </c>
      <c r="BJ48" s="2">
        <f t="shared" si="60"/>
        <v>86310</v>
      </c>
      <c r="BK48" s="2">
        <f t="shared" si="60"/>
        <v>80539</v>
      </c>
      <c r="BL48" s="2">
        <f t="shared" si="60"/>
        <v>84742</v>
      </c>
      <c r="BM48" s="2">
        <f t="shared" si="60"/>
        <v>88268</v>
      </c>
      <c r="BN48" s="2">
        <f t="shared" si="60"/>
        <v>96469</v>
      </c>
      <c r="BO48" s="2">
        <f t="shared" si="60"/>
        <v>90234</v>
      </c>
      <c r="BP48" s="2">
        <f t="shared" ref="BP48:BQ48" si="61">BP12</f>
        <v>96428</v>
      </c>
      <c r="BQ48" s="2">
        <f t="shared" si="61"/>
        <v>102346</v>
      </c>
      <c r="BR48" s="26">
        <v>106460</v>
      </c>
      <c r="BS48" s="26">
        <v>99110</v>
      </c>
      <c r="BT48" s="26">
        <v>103130</v>
      </c>
      <c r="BU48" s="26">
        <v>106880</v>
      </c>
      <c r="BV48" s="26">
        <v>117030</v>
      </c>
      <c r="BW48" s="26">
        <v>108560</v>
      </c>
      <c r="BX48" s="26"/>
      <c r="BY48" s="26"/>
      <c r="BZ48" s="26"/>
      <c r="CA48" s="2">
        <f t="shared" ref="CA48:CA59" si="62">SUM(C48:F48)</f>
        <v>23651</v>
      </c>
      <c r="CB48" s="2">
        <f t="shared" ref="CB48:CB59" si="63">SUM(G48:J48)</f>
        <v>29321</v>
      </c>
      <c r="CC48" s="2">
        <f t="shared" ref="CC48:CC59" si="64">SUM(K48:N48)</f>
        <v>37905</v>
      </c>
      <c r="CD48" s="2">
        <f t="shared" ref="CD48:CD59" si="65">SUM(O48:R48)</f>
        <v>46039</v>
      </c>
      <c r="CE48" s="2">
        <f t="shared" ref="CE48:CE59" si="66">SUM(S48:V48)</f>
        <v>55519</v>
      </c>
      <c r="CF48" s="2">
        <f t="shared" ref="CF48:CF59" si="67">SUM(W48:Z48)</f>
        <v>66001</v>
      </c>
      <c r="CG48" s="2">
        <f t="shared" ref="CG48:CG59" si="68">SUM(AA48:AD48)</f>
        <v>74989</v>
      </c>
      <c r="CH48" s="2">
        <f t="shared" ref="CH48:CH59" si="69">SUM(AE48:AH48)</f>
        <v>90272</v>
      </c>
      <c r="CI48" s="2">
        <f t="shared" ref="CI48:CI59" si="70">SUM(AI48:AL48)</f>
        <v>110855</v>
      </c>
      <c r="CJ48" s="2">
        <f t="shared" ref="CJ48:CJ59" si="71">SUM(AM48:AP48)</f>
        <v>136819</v>
      </c>
      <c r="CK48" s="2">
        <f t="shared" ref="CK48:CK59" si="72">SUM(AQ48:AT48)</f>
        <v>161857</v>
      </c>
      <c r="CL48" s="2">
        <f t="shared" ref="CL48:CL59" si="73">SUM(AU48:AX48)</f>
        <v>182527</v>
      </c>
      <c r="CM48" s="2">
        <f t="shared" ref="CM48:CM59" si="74">SUM(AY48:BB48)</f>
        <v>257637</v>
      </c>
      <c r="CN48" s="2">
        <f t="shared" ref="CN48:CN59" si="75">SUM(BC48:BF48)</f>
        <v>282836</v>
      </c>
      <c r="CO48" s="2">
        <f t="shared" ref="CO48:CO59" si="76">SUM(BG48:BJ48)</f>
        <v>307394</v>
      </c>
      <c r="CP48" s="2">
        <f t="shared" ref="CP48:CP59" si="77">SUM(BK48:BN48)</f>
        <v>350018</v>
      </c>
      <c r="CQ48" s="44">
        <f t="shared" ref="CQ48:CZ48" si="78">CQ12</f>
        <v>402346.49000000005</v>
      </c>
      <c r="CR48" s="44">
        <f t="shared" si="78"/>
        <v>467613.94705000002</v>
      </c>
      <c r="CS48" s="44">
        <f t="shared" si="78"/>
        <v>535767.37994499994</v>
      </c>
      <c r="CT48" s="44">
        <f t="shared" si="78"/>
        <v>604560.46243823005</v>
      </c>
      <c r="CU48" s="44">
        <f t="shared" si="78"/>
        <v>668653.94175390364</v>
      </c>
      <c r="CV48" s="44">
        <f t="shared" si="78"/>
        <v>732541.35299308412</v>
      </c>
      <c r="CW48" s="44">
        <f t="shared" si="78"/>
        <v>794973.73522182263</v>
      </c>
      <c r="CX48" s="44">
        <f t="shared" si="78"/>
        <v>854766.93705044664</v>
      </c>
      <c r="CY48" s="44">
        <f t="shared" si="78"/>
        <v>912205.84703735379</v>
      </c>
      <c r="CZ48" s="44">
        <f t="shared" si="78"/>
        <v>966048.29665226233</v>
      </c>
      <c r="DA48" s="44"/>
      <c r="DB48" s="26"/>
      <c r="DC48" s="26"/>
      <c r="DD48" s="26"/>
      <c r="DE48" s="26"/>
      <c r="DF48" s="26"/>
      <c r="DG48" s="26"/>
      <c r="DH48" s="26"/>
      <c r="DI48" s="26"/>
      <c r="DJ48" s="26"/>
      <c r="DK48" s="26"/>
      <c r="DL48" s="26"/>
      <c r="DM48" s="26"/>
      <c r="DN48" s="26"/>
      <c r="DO48" s="26"/>
      <c r="DP48" s="26"/>
      <c r="DQ48" s="26"/>
      <c r="DR48" s="26"/>
      <c r="DS48" s="26"/>
      <c r="DT48" s="26"/>
      <c r="DU48" s="26"/>
      <c r="DV48" s="26"/>
      <c r="DW48" s="26"/>
      <c r="DX48" s="26"/>
      <c r="DY48" s="26"/>
      <c r="DZ48" s="26"/>
      <c r="EA48" s="26"/>
      <c r="EB48" s="26"/>
      <c r="EC48" s="26"/>
      <c r="ED48" s="26"/>
      <c r="EE48" s="26"/>
      <c r="EF48" s="26"/>
      <c r="EG48" s="26"/>
      <c r="EH48" s="26"/>
      <c r="EI48" s="26"/>
      <c r="EJ48" s="26"/>
      <c r="EK48" s="26"/>
      <c r="EL48" s="26"/>
      <c r="EM48" s="26"/>
      <c r="EN48" s="26"/>
      <c r="EO48" s="26"/>
      <c r="EP48" s="26"/>
      <c r="EQ48" s="26"/>
      <c r="ER48" s="26"/>
      <c r="ES48" s="26"/>
      <c r="ET48" s="26"/>
      <c r="EU48" s="26"/>
      <c r="EV48" s="26"/>
      <c r="EW48" s="26"/>
      <c r="EX48" s="26"/>
    </row>
    <row r="49" spans="2:154">
      <c r="B49" s="1" t="s">
        <v>55</v>
      </c>
      <c r="C49" s="1">
        <v>2102</v>
      </c>
      <c r="D49" s="1">
        <v>2108</v>
      </c>
      <c r="E49" s="1">
        <v>2226</v>
      </c>
      <c r="F49" s="1">
        <v>2408</v>
      </c>
      <c r="G49" s="1">
        <v>2452</v>
      </c>
      <c r="H49" s="1">
        <v>2467</v>
      </c>
      <c r="I49" s="1">
        <v>2552</v>
      </c>
      <c r="J49" s="1">
        <v>2946</v>
      </c>
      <c r="K49" s="1">
        <v>2936</v>
      </c>
      <c r="L49" s="1">
        <v>3172</v>
      </c>
      <c r="M49" s="1">
        <v>3378</v>
      </c>
      <c r="N49" s="1">
        <v>3702</v>
      </c>
      <c r="O49" s="1">
        <v>3789</v>
      </c>
      <c r="P49" s="1">
        <v>4677</v>
      </c>
      <c r="Q49" s="1">
        <v>5955</v>
      </c>
      <c r="R49" s="1">
        <v>2755</v>
      </c>
      <c r="S49" s="1">
        <v>5136</v>
      </c>
      <c r="T49" s="1">
        <v>5195</v>
      </c>
      <c r="U49" s="1">
        <v>5409</v>
      </c>
      <c r="V49" s="1">
        <v>6253</v>
      </c>
      <c r="W49" s="1">
        <v>5961</v>
      </c>
      <c r="X49" s="1">
        <v>6114</v>
      </c>
      <c r="Y49" s="1">
        <v>6695</v>
      </c>
      <c r="Z49" s="1">
        <v>6921</v>
      </c>
      <c r="AA49" s="1">
        <v>6356</v>
      </c>
      <c r="AB49" s="1">
        <v>6583</v>
      </c>
      <c r="AC49" s="1">
        <v>7037</v>
      </c>
      <c r="AD49" s="1">
        <v>8188</v>
      </c>
      <c r="AE49" s="1">
        <v>7648</v>
      </c>
      <c r="AF49" s="1">
        <v>8130</v>
      </c>
      <c r="AG49" s="1">
        <v>8699</v>
      </c>
      <c r="AH49" s="1">
        <v>10661</v>
      </c>
      <c r="AI49" s="1">
        <v>9795</v>
      </c>
      <c r="AJ49" s="1">
        <v>10373</v>
      </c>
      <c r="AK49" s="1">
        <v>11148</v>
      </c>
      <c r="AL49" s="1">
        <v>14267</v>
      </c>
      <c r="AM49" s="1">
        <v>13467</v>
      </c>
      <c r="AN49" s="1">
        <v>13883</v>
      </c>
      <c r="AO49" s="1">
        <v>14281</v>
      </c>
      <c r="AP49" s="1">
        <v>17918</v>
      </c>
      <c r="AQ49" s="1">
        <v>16012</v>
      </c>
      <c r="AR49" s="1">
        <v>17296</v>
      </c>
      <c r="AS49" s="1">
        <v>17568</v>
      </c>
      <c r="AT49" s="1">
        <v>21020</v>
      </c>
      <c r="AU49" s="1">
        <v>18982</v>
      </c>
      <c r="AV49" s="1">
        <v>18553</v>
      </c>
      <c r="AW49" s="1">
        <v>21117</v>
      </c>
      <c r="AX49" s="1">
        <f>84732-SUM(AU49:AW49)</f>
        <v>26080</v>
      </c>
      <c r="AY49" s="1">
        <v>24103</v>
      </c>
      <c r="AZ49" s="1">
        <v>26227</v>
      </c>
      <c r="BA49" s="1">
        <v>27621</v>
      </c>
      <c r="BB49" s="1">
        <f>110939-SUM(AY49:BA49)</f>
        <v>32988</v>
      </c>
      <c r="BC49" s="1">
        <v>29599</v>
      </c>
      <c r="BD49" s="1">
        <v>30104</v>
      </c>
      <c r="BE49" s="1">
        <v>31158</v>
      </c>
      <c r="BF49" s="1">
        <f>126203-SUM(BC49:BE49)</f>
        <v>35342</v>
      </c>
      <c r="BG49" s="1">
        <v>30612</v>
      </c>
      <c r="BH49" s="1">
        <v>31916</v>
      </c>
      <c r="BI49" s="1">
        <v>33229</v>
      </c>
      <c r="BJ49" s="1">
        <f>133332-SUM(BG49:BI49)</f>
        <v>37575</v>
      </c>
      <c r="BK49" s="1">
        <v>33712</v>
      </c>
      <c r="BL49" s="1">
        <v>35507</v>
      </c>
      <c r="BM49" s="1">
        <v>36474</v>
      </c>
      <c r="BN49" s="1">
        <f>146306-SUM(BK49:BM49)</f>
        <v>40613</v>
      </c>
      <c r="BO49" s="1">
        <v>36361</v>
      </c>
      <c r="BP49" s="1">
        <v>39039</v>
      </c>
      <c r="BQ49" s="1">
        <v>41369</v>
      </c>
      <c r="CA49" s="1">
        <f t="shared" si="62"/>
        <v>8844</v>
      </c>
      <c r="CB49" s="1">
        <f t="shared" si="63"/>
        <v>10417</v>
      </c>
      <c r="CC49" s="1">
        <f t="shared" si="64"/>
        <v>13188</v>
      </c>
      <c r="CD49" s="1">
        <f t="shared" si="65"/>
        <v>17176</v>
      </c>
      <c r="CE49" s="1">
        <f t="shared" si="66"/>
        <v>21993</v>
      </c>
      <c r="CF49" s="1">
        <f t="shared" si="67"/>
        <v>25691</v>
      </c>
      <c r="CG49" s="1">
        <f t="shared" si="68"/>
        <v>28164</v>
      </c>
      <c r="CH49" s="1">
        <f t="shared" si="69"/>
        <v>35138</v>
      </c>
      <c r="CI49" s="1">
        <f t="shared" si="70"/>
        <v>45583</v>
      </c>
      <c r="CJ49" s="1">
        <f t="shared" si="71"/>
        <v>59549</v>
      </c>
      <c r="CK49" s="1">
        <f t="shared" si="72"/>
        <v>71896</v>
      </c>
      <c r="CL49" s="1">
        <f t="shared" si="73"/>
        <v>84732</v>
      </c>
      <c r="CM49" s="1">
        <f t="shared" si="74"/>
        <v>110939</v>
      </c>
      <c r="CN49" s="1">
        <f t="shared" si="75"/>
        <v>126203</v>
      </c>
      <c r="CO49" s="1">
        <f t="shared" si="76"/>
        <v>133332</v>
      </c>
      <c r="CP49" s="1">
        <f t="shared" si="77"/>
        <v>146306</v>
      </c>
      <c r="CQ49" s="43">
        <f t="shared" ref="CQ49:CZ49" si="79">CQ48*(1-CQ63)</f>
        <v>161139.769245</v>
      </c>
      <c r="CR49" s="43">
        <f t="shared" si="79"/>
        <v>185642.73697885001</v>
      </c>
      <c r="CS49" s="43">
        <f t="shared" si="79"/>
        <v>206270.44127882499</v>
      </c>
      <c r="CT49" s="43">
        <f t="shared" si="79"/>
        <v>229732.97572652742</v>
      </c>
      <c r="CU49" s="43">
        <f t="shared" si="79"/>
        <v>250745.22815771386</v>
      </c>
      <c r="CV49" s="43">
        <f t="shared" si="79"/>
        <v>271040.30060744111</v>
      </c>
      <c r="CW49" s="43">
        <f t="shared" si="79"/>
        <v>290165.41335596523</v>
      </c>
      <c r="CX49" s="43">
        <f t="shared" si="79"/>
        <v>307716.09733816079</v>
      </c>
      <c r="CY49" s="43">
        <f t="shared" si="79"/>
        <v>326113.590315854</v>
      </c>
      <c r="CZ49" s="43">
        <f t="shared" si="79"/>
        <v>342947.14531155309</v>
      </c>
    </row>
    <row r="50" spans="2:154">
      <c r="B50" s="1" t="s">
        <v>56</v>
      </c>
      <c r="C50" s="1">
        <f t="shared" ref="C50:AF50" si="80">C48-C49</f>
        <v>3407</v>
      </c>
      <c r="D50" s="1">
        <f t="shared" si="80"/>
        <v>3415</v>
      </c>
      <c r="E50" s="1">
        <f t="shared" si="80"/>
        <v>3719</v>
      </c>
      <c r="F50" s="1">
        <f t="shared" si="80"/>
        <v>4266</v>
      </c>
      <c r="G50" s="1">
        <f t="shared" si="80"/>
        <v>4323</v>
      </c>
      <c r="H50" s="1">
        <f t="shared" si="80"/>
        <v>4353</v>
      </c>
      <c r="I50" s="1">
        <f t="shared" si="80"/>
        <v>4734</v>
      </c>
      <c r="J50" s="1">
        <f t="shared" si="80"/>
        <v>5494</v>
      </c>
      <c r="K50" s="1">
        <f t="shared" si="80"/>
        <v>5639</v>
      </c>
      <c r="L50" s="1">
        <f t="shared" si="80"/>
        <v>5854</v>
      </c>
      <c r="M50" s="1">
        <f t="shared" si="80"/>
        <v>6342</v>
      </c>
      <c r="N50" s="1">
        <f t="shared" si="80"/>
        <v>6882</v>
      </c>
      <c r="O50" s="1">
        <f t="shared" si="80"/>
        <v>6856</v>
      </c>
      <c r="P50" s="1">
        <f t="shared" si="80"/>
        <v>7130</v>
      </c>
      <c r="Q50" s="1">
        <f t="shared" si="80"/>
        <v>7349</v>
      </c>
      <c r="R50" s="1">
        <f t="shared" si="80"/>
        <v>7528</v>
      </c>
      <c r="S50" s="1">
        <f t="shared" si="80"/>
        <v>7815</v>
      </c>
      <c r="T50" s="1">
        <f t="shared" si="80"/>
        <v>7912</v>
      </c>
      <c r="U50" s="1">
        <f t="shared" si="80"/>
        <v>8345</v>
      </c>
      <c r="V50" s="1">
        <f t="shared" si="80"/>
        <v>9454</v>
      </c>
      <c r="W50" s="1">
        <f t="shared" si="80"/>
        <v>9459</v>
      </c>
      <c r="X50" s="1">
        <f t="shared" si="80"/>
        <v>9841</v>
      </c>
      <c r="Y50" s="1">
        <f t="shared" si="80"/>
        <v>9828</v>
      </c>
      <c r="Z50" s="1">
        <f t="shared" si="80"/>
        <v>11182</v>
      </c>
      <c r="AA50" s="1">
        <f t="shared" si="80"/>
        <v>10902</v>
      </c>
      <c r="AB50" s="1">
        <f t="shared" si="80"/>
        <v>11144</v>
      </c>
      <c r="AC50" s="1">
        <f t="shared" si="80"/>
        <v>11638</v>
      </c>
      <c r="AD50" s="1">
        <f t="shared" si="80"/>
        <v>13141</v>
      </c>
      <c r="AE50" s="1">
        <f t="shared" si="80"/>
        <v>12609</v>
      </c>
      <c r="AF50" s="1">
        <f t="shared" si="80"/>
        <v>13370</v>
      </c>
      <c r="AG50" s="1">
        <f t="shared" ref="AG50:BL50" si="81">AG48-AG49</f>
        <v>13752</v>
      </c>
      <c r="AH50" s="1">
        <f t="shared" si="81"/>
        <v>15403</v>
      </c>
      <c r="AI50" s="1">
        <f t="shared" si="81"/>
        <v>14955</v>
      </c>
      <c r="AJ50" s="1">
        <f t="shared" si="81"/>
        <v>15637</v>
      </c>
      <c r="AK50" s="1">
        <f t="shared" si="81"/>
        <v>16624</v>
      </c>
      <c r="AL50" s="1">
        <f t="shared" si="81"/>
        <v>18056</v>
      </c>
      <c r="AM50" s="1">
        <f t="shared" si="81"/>
        <v>17679</v>
      </c>
      <c r="AN50" s="1">
        <f t="shared" si="81"/>
        <v>18774</v>
      </c>
      <c r="AO50" s="1">
        <f t="shared" si="81"/>
        <v>19459</v>
      </c>
      <c r="AP50" s="1">
        <f t="shared" si="81"/>
        <v>21358</v>
      </c>
      <c r="AQ50" s="1">
        <f t="shared" si="81"/>
        <v>20327</v>
      </c>
      <c r="AR50" s="1">
        <f t="shared" si="81"/>
        <v>21648</v>
      </c>
      <c r="AS50" s="1">
        <f t="shared" si="81"/>
        <v>22931</v>
      </c>
      <c r="AT50" s="1">
        <f t="shared" si="81"/>
        <v>25055</v>
      </c>
      <c r="AU50" s="1">
        <f t="shared" si="81"/>
        <v>22177</v>
      </c>
      <c r="AV50" s="1">
        <f t="shared" si="81"/>
        <v>19744</v>
      </c>
      <c r="AW50" s="1">
        <f t="shared" si="81"/>
        <v>25056</v>
      </c>
      <c r="AX50" s="1">
        <f t="shared" si="81"/>
        <v>30818</v>
      </c>
      <c r="AY50" s="1">
        <f t="shared" si="81"/>
        <v>31211</v>
      </c>
      <c r="AZ50" s="1">
        <f t="shared" si="81"/>
        <v>35653</v>
      </c>
      <c r="BA50" s="1">
        <f t="shared" si="81"/>
        <v>37497</v>
      </c>
      <c r="BB50" s="1">
        <f t="shared" si="81"/>
        <v>42337</v>
      </c>
      <c r="BC50" s="1">
        <f t="shared" si="81"/>
        <v>38412</v>
      </c>
      <c r="BD50" s="1">
        <f t="shared" si="81"/>
        <v>39581</v>
      </c>
      <c r="BE50" s="1">
        <f t="shared" si="81"/>
        <v>37934</v>
      </c>
      <c r="BF50" s="1">
        <f t="shared" si="81"/>
        <v>40706</v>
      </c>
      <c r="BG50" s="1">
        <f t="shared" si="81"/>
        <v>39175</v>
      </c>
      <c r="BH50" s="1">
        <f t="shared" si="81"/>
        <v>42688</v>
      </c>
      <c r="BI50" s="1">
        <f t="shared" si="81"/>
        <v>43464</v>
      </c>
      <c r="BJ50" s="1">
        <f t="shared" si="81"/>
        <v>48735</v>
      </c>
      <c r="BK50" s="1">
        <f t="shared" si="81"/>
        <v>46827</v>
      </c>
      <c r="BL50" s="1">
        <f t="shared" si="81"/>
        <v>49235</v>
      </c>
      <c r="BM50" s="1">
        <f t="shared" ref="BM50:BO50" si="82">BM48-BM49</f>
        <v>51794</v>
      </c>
      <c r="BN50" s="1">
        <f t="shared" si="82"/>
        <v>55856</v>
      </c>
      <c r="BO50" s="1">
        <f t="shared" si="82"/>
        <v>53873</v>
      </c>
      <c r="BP50" s="1">
        <f t="shared" ref="BP50:BQ50" si="83">BP48-BP49</f>
        <v>57389</v>
      </c>
      <c r="BQ50" s="1">
        <f t="shared" si="83"/>
        <v>60977</v>
      </c>
      <c r="CA50" s="1">
        <f t="shared" si="62"/>
        <v>14807</v>
      </c>
      <c r="CB50" s="1">
        <f t="shared" si="63"/>
        <v>18904</v>
      </c>
      <c r="CC50" s="1">
        <f t="shared" si="64"/>
        <v>24717</v>
      </c>
      <c r="CD50" s="1">
        <f t="shared" si="65"/>
        <v>28863</v>
      </c>
      <c r="CE50" s="1">
        <f t="shared" si="66"/>
        <v>33526</v>
      </c>
      <c r="CF50" s="1">
        <f t="shared" si="67"/>
        <v>40310</v>
      </c>
      <c r="CG50" s="1">
        <f t="shared" si="68"/>
        <v>46825</v>
      </c>
      <c r="CH50" s="1">
        <f t="shared" si="69"/>
        <v>55134</v>
      </c>
      <c r="CI50" s="1">
        <f t="shared" si="70"/>
        <v>65272</v>
      </c>
      <c r="CJ50" s="1">
        <f t="shared" si="71"/>
        <v>77270</v>
      </c>
      <c r="CK50" s="1">
        <f t="shared" si="72"/>
        <v>89961</v>
      </c>
      <c r="CL50" s="1">
        <f t="shared" si="73"/>
        <v>97795</v>
      </c>
      <c r="CM50" s="1">
        <f t="shared" si="74"/>
        <v>146698</v>
      </c>
      <c r="CN50" s="1">
        <f t="shared" si="75"/>
        <v>156633</v>
      </c>
      <c r="CO50" s="1">
        <f t="shared" si="76"/>
        <v>174062</v>
      </c>
      <c r="CP50" s="1">
        <f t="shared" si="77"/>
        <v>203712</v>
      </c>
      <c r="CQ50" s="43">
        <f t="shared" ref="CQ50:CZ50" si="84">CQ48-CQ49</f>
        <v>241206.72075500005</v>
      </c>
      <c r="CR50" s="43">
        <f t="shared" si="84"/>
        <v>281971.21007114998</v>
      </c>
      <c r="CS50" s="43">
        <f t="shared" si="84"/>
        <v>329496.93866617494</v>
      </c>
      <c r="CT50" s="43">
        <f t="shared" si="84"/>
        <v>374827.48671170266</v>
      </c>
      <c r="CU50" s="43">
        <f t="shared" si="84"/>
        <v>417908.71359618974</v>
      </c>
      <c r="CV50" s="43">
        <f t="shared" si="84"/>
        <v>461501.05238564301</v>
      </c>
      <c r="CW50" s="43">
        <f t="shared" si="84"/>
        <v>504808.3218658574</v>
      </c>
      <c r="CX50" s="43">
        <f t="shared" si="84"/>
        <v>547050.8397122859</v>
      </c>
      <c r="CY50" s="43">
        <f t="shared" si="84"/>
        <v>586092.25672149984</v>
      </c>
      <c r="CZ50" s="43">
        <f t="shared" si="84"/>
        <v>623101.1513407093</v>
      </c>
    </row>
    <row r="51" spans="2:154">
      <c r="B51" s="1" t="s">
        <v>257</v>
      </c>
      <c r="C51" s="1">
        <v>642</v>
      </c>
      <c r="D51" s="1">
        <v>708</v>
      </c>
      <c r="E51" s="1">
        <v>758</v>
      </c>
      <c r="F51" s="1">
        <v>735</v>
      </c>
      <c r="G51" s="1">
        <v>818</v>
      </c>
      <c r="H51" s="1">
        <v>898</v>
      </c>
      <c r="I51" s="1">
        <v>994</v>
      </c>
      <c r="J51" s="1">
        <v>1052</v>
      </c>
      <c r="K51" s="1">
        <v>1226</v>
      </c>
      <c r="L51" s="1">
        <v>1234</v>
      </c>
      <c r="M51" s="1">
        <v>1404</v>
      </c>
      <c r="N51" s="1">
        <v>1298</v>
      </c>
      <c r="O51" s="1">
        <v>1441</v>
      </c>
      <c r="P51" s="1">
        <v>1538</v>
      </c>
      <c r="Q51" s="1">
        <v>1879</v>
      </c>
      <c r="R51" s="1">
        <v>1225</v>
      </c>
      <c r="S51" s="1">
        <v>1617</v>
      </c>
      <c r="T51" s="1">
        <v>1766</v>
      </c>
      <c r="U51" s="1">
        <v>1821</v>
      </c>
      <c r="V51" s="1">
        <v>1933</v>
      </c>
      <c r="W51" s="1">
        <v>2126</v>
      </c>
      <c r="X51" s="1">
        <v>2238</v>
      </c>
      <c r="Y51" s="1">
        <v>2655</v>
      </c>
      <c r="Z51" s="1">
        <v>2813</v>
      </c>
      <c r="AA51" s="1">
        <v>2753</v>
      </c>
      <c r="AB51" s="1">
        <v>2789</v>
      </c>
      <c r="AC51" s="1">
        <v>3230</v>
      </c>
      <c r="AD51" s="1">
        <v>3510</v>
      </c>
      <c r="AE51" s="1">
        <v>3367</v>
      </c>
      <c r="AF51" s="1">
        <v>3363</v>
      </c>
      <c r="AG51" s="1">
        <v>3596</v>
      </c>
      <c r="AH51" s="1">
        <v>3622</v>
      </c>
      <c r="AI51" s="1">
        <v>3942</v>
      </c>
      <c r="AJ51" s="1">
        <v>4172</v>
      </c>
      <c r="AK51" s="1">
        <v>4205</v>
      </c>
      <c r="AL51" s="1">
        <v>4306</v>
      </c>
      <c r="AM51" s="1">
        <v>5039</v>
      </c>
      <c r="AN51" s="1">
        <v>5114</v>
      </c>
      <c r="AO51" s="1">
        <v>5232</v>
      </c>
      <c r="AP51" s="1">
        <v>6034</v>
      </c>
      <c r="AQ51" s="1">
        <v>6029</v>
      </c>
      <c r="AR51" s="1">
        <v>6213</v>
      </c>
      <c r="AS51" s="1">
        <v>6554</v>
      </c>
      <c r="AT51" s="1">
        <v>7222</v>
      </c>
      <c r="AU51" s="1">
        <v>6820</v>
      </c>
      <c r="AV51" s="1">
        <v>6875</v>
      </c>
      <c r="AW51" s="1">
        <v>6856</v>
      </c>
      <c r="AX51" s="1">
        <f>27573-SUM(AU51:AW51)</f>
        <v>7022</v>
      </c>
      <c r="AY51" s="1">
        <v>7485</v>
      </c>
      <c r="AZ51" s="1">
        <v>7675</v>
      </c>
      <c r="BA51" s="1">
        <v>7694</v>
      </c>
      <c r="BB51" s="1">
        <f>31562-SUM(AY51:BA51)</f>
        <v>8708</v>
      </c>
      <c r="BC51" s="1">
        <v>9119</v>
      </c>
      <c r="BD51" s="1">
        <v>9841</v>
      </c>
      <c r="BE51" s="1">
        <v>10273</v>
      </c>
      <c r="BF51" s="1">
        <f>39500-SUM(BC51:BE51)</f>
        <v>10267</v>
      </c>
      <c r="BG51" s="1">
        <v>11468</v>
      </c>
      <c r="BH51" s="1">
        <v>10588</v>
      </c>
      <c r="BI51" s="1">
        <v>11258</v>
      </c>
      <c r="BJ51" s="1">
        <f>45427-SUM(BG51:BI51)</f>
        <v>12113</v>
      </c>
      <c r="BK51" s="1">
        <v>11903</v>
      </c>
      <c r="BL51" s="1">
        <v>11860</v>
      </c>
      <c r="BM51" s="1">
        <v>12447</v>
      </c>
      <c r="BN51" s="1">
        <f>49326-SUM(BK51:BM51)</f>
        <v>13116</v>
      </c>
      <c r="BO51" s="1">
        <v>13556</v>
      </c>
      <c r="BP51" s="1">
        <v>13808</v>
      </c>
      <c r="BQ51" s="1">
        <v>15151</v>
      </c>
      <c r="CA51" s="1">
        <f t="shared" si="62"/>
        <v>2843</v>
      </c>
      <c r="CB51" s="1">
        <f t="shared" si="63"/>
        <v>3762</v>
      </c>
      <c r="CC51" s="1">
        <f t="shared" si="64"/>
        <v>5162</v>
      </c>
      <c r="CD51" s="1">
        <f t="shared" si="65"/>
        <v>6083</v>
      </c>
      <c r="CE51" s="1">
        <f t="shared" si="66"/>
        <v>7137</v>
      </c>
      <c r="CF51" s="1">
        <f t="shared" si="67"/>
        <v>9832</v>
      </c>
      <c r="CG51" s="1">
        <f t="shared" si="68"/>
        <v>12282</v>
      </c>
      <c r="CH51" s="1">
        <f t="shared" si="69"/>
        <v>13948</v>
      </c>
      <c r="CI51" s="1">
        <f t="shared" si="70"/>
        <v>16625</v>
      </c>
      <c r="CJ51" s="1">
        <f t="shared" si="71"/>
        <v>21419</v>
      </c>
      <c r="CK51" s="1">
        <f t="shared" si="72"/>
        <v>26018</v>
      </c>
      <c r="CL51" s="1">
        <f t="shared" si="73"/>
        <v>27573</v>
      </c>
      <c r="CM51" s="1">
        <f t="shared" si="74"/>
        <v>31562</v>
      </c>
      <c r="CN51" s="1">
        <f t="shared" si="75"/>
        <v>39500</v>
      </c>
      <c r="CO51" s="1">
        <f t="shared" si="76"/>
        <v>45427</v>
      </c>
      <c r="CP51" s="1">
        <f t="shared" si="77"/>
        <v>49326</v>
      </c>
      <c r="CQ51" s="43">
        <f t="shared" ref="CQ51:CZ51" si="85">CQ48*CQ64</f>
        <v>57937.894560000001</v>
      </c>
      <c r="CR51" s="43">
        <f t="shared" si="85"/>
        <v>70142.092057500005</v>
      </c>
      <c r="CS51" s="43">
        <f t="shared" si="85"/>
        <v>79025.688541887488</v>
      </c>
      <c r="CT51" s="43">
        <f t="shared" si="85"/>
        <v>87661.267053543357</v>
      </c>
      <c r="CU51" s="43">
        <f t="shared" si="85"/>
        <v>95283.186699931262</v>
      </c>
      <c r="CV51" s="43">
        <f t="shared" si="85"/>
        <v>102555.78941903179</v>
      </c>
      <c r="CW51" s="43">
        <f t="shared" si="85"/>
        <v>107321.45425494606</v>
      </c>
      <c r="CX51" s="43">
        <f t="shared" si="85"/>
        <v>111119.70181655807</v>
      </c>
      <c r="CY51" s="43">
        <f t="shared" si="85"/>
        <v>114025.73087966922</v>
      </c>
      <c r="CZ51" s="43">
        <f t="shared" si="85"/>
        <v>115925.79559827148</v>
      </c>
    </row>
    <row r="52" spans="2:154">
      <c r="B52" s="60" t="s">
        <v>259</v>
      </c>
      <c r="C52" s="1">
        <f>1523-C51-C53</f>
        <v>434</v>
      </c>
      <c r="D52" s="1">
        <f>1541-D51-D53</f>
        <v>469</v>
      </c>
      <c r="E52" s="1">
        <f>1645-E51-E53</f>
        <v>498</v>
      </c>
      <c r="F52" s="1">
        <f>1786-F51-F53</f>
        <v>583</v>
      </c>
      <c r="G52" s="1">
        <f>1835-G51-G53</f>
        <v>607</v>
      </c>
      <c r="H52" s="1">
        <f>1988-H51-H53</f>
        <v>629</v>
      </c>
      <c r="I52" s="1">
        <f>2187-I51-I53</f>
        <v>661</v>
      </c>
      <c r="J52" s="1">
        <f>2513-J51-J53</f>
        <v>902</v>
      </c>
      <c r="K52" s="1">
        <f>3343-K51-K53</f>
        <v>1526</v>
      </c>
      <c r="L52" s="1">
        <f>2973-L51-L53</f>
        <v>1091</v>
      </c>
      <c r="M52" s="1">
        <f>3284-M51-M53</f>
        <v>1204</v>
      </c>
      <c r="N52" s="1">
        <f>3375-N51-N53</f>
        <v>1268</v>
      </c>
      <c r="O52" s="1">
        <f>3467-O51-O53</f>
        <v>1269</v>
      </c>
      <c r="P52" s="1">
        <f>3893-P51-P53</f>
        <v>1413</v>
      </c>
      <c r="Q52" s="1">
        <f>4609-Q51-Q53</f>
        <v>1710</v>
      </c>
      <c r="R52" s="1">
        <f>3060-R51-R53</f>
        <v>1073</v>
      </c>
      <c r="S52" s="1">
        <f>4067-S51-S53</f>
        <v>1435</v>
      </c>
      <c r="T52" s="1">
        <f>4447-T51-T53</f>
        <v>1583</v>
      </c>
      <c r="U52" s="1">
        <f>4584-U51-U53</f>
        <v>1628</v>
      </c>
      <c r="V52" s="1">
        <f>5025-V51-V53</f>
        <v>1908</v>
      </c>
      <c r="W52" s="1">
        <f>5344-W51-W53</f>
        <v>1729</v>
      </c>
      <c r="X52" s="1">
        <f>5583-X51-X53</f>
        <v>1941</v>
      </c>
      <c r="Y52" s="1">
        <f>6104-Y51-Y53</f>
        <v>2084</v>
      </c>
      <c r="Z52" s="1">
        <f>6783-Z51-Z53</f>
        <v>2377</v>
      </c>
      <c r="AA52" s="1">
        <f>6455-AA51-AA53</f>
        <v>2065</v>
      </c>
      <c r="AB52" s="1">
        <f>6319-AB51-AB53</f>
        <v>2080</v>
      </c>
      <c r="AC52" s="1">
        <f>6930-AC51-AC53</f>
        <v>2223</v>
      </c>
      <c r="AD52" s="1">
        <f>7761-AD51-AD53</f>
        <v>2679</v>
      </c>
      <c r="AE52" s="1">
        <f>7267-AE51-AE53</f>
        <v>2387</v>
      </c>
      <c r="AF52" s="1">
        <f>7402-AF51-AF53</f>
        <v>2415</v>
      </c>
      <c r="AG52" s="1">
        <f>7985-AG51-AG53</f>
        <v>2565</v>
      </c>
      <c r="AH52" s="1">
        <f>8764-AH51-AH53</f>
        <v>3118</v>
      </c>
      <c r="AI52" s="1">
        <f>8387-AI51-AI53</f>
        <v>2644</v>
      </c>
      <c r="AJ52" s="1">
        <f>11505-AJ51-AJ53</f>
        <v>5633</v>
      </c>
      <c r="AK52" s="1">
        <f>8842-AK51-AK53</f>
        <v>3042</v>
      </c>
      <c r="AL52" s="1">
        <f>10360-AL51-AL53</f>
        <v>4310</v>
      </c>
      <c r="AM52" s="1">
        <f>10046-AM51-AM53</f>
        <v>3604</v>
      </c>
      <c r="AN52" s="1">
        <f>15729-AN51-AN53</f>
        <v>8851</v>
      </c>
      <c r="AO52" s="1">
        <f>10834-AO51-AO53</f>
        <v>3849</v>
      </c>
      <c r="AP52" s="1">
        <f>13137-AP51-AP53</f>
        <v>5100</v>
      </c>
      <c r="AQ52" s="1">
        <f>13719-AQ51-AQ53</f>
        <v>5602</v>
      </c>
      <c r="AR52" s="1">
        <f>12468-AR51-AR53</f>
        <v>4212</v>
      </c>
      <c r="AS52" s="1">
        <f>13754-AS51-AS53</f>
        <v>4609</v>
      </c>
      <c r="AT52" s="1">
        <f>15789-AT51-AT53</f>
        <v>5738</v>
      </c>
      <c r="AU52" s="1">
        <v>4500</v>
      </c>
      <c r="AV52" s="1">
        <v>3901</v>
      </c>
      <c r="AW52" s="1">
        <v>4231</v>
      </c>
      <c r="AX52" s="1">
        <f>17946-SUM(AU52:AW52)</f>
        <v>5314</v>
      </c>
      <c r="AY52" s="1">
        <v>4516</v>
      </c>
      <c r="AZ52" s="1">
        <v>5276</v>
      </c>
      <c r="BA52" s="1">
        <v>5516</v>
      </c>
      <c r="BB52" s="1">
        <f>22912-SUM(AY52:BA52)</f>
        <v>7604</v>
      </c>
      <c r="BC52" s="1">
        <v>5825</v>
      </c>
      <c r="BD52" s="1">
        <v>6630</v>
      </c>
      <c r="BE52" s="1">
        <v>6929</v>
      </c>
      <c r="BF52" s="1">
        <f>26567-SUM(BC52:BE52)</f>
        <v>7183</v>
      </c>
      <c r="BG52" s="1">
        <v>6533</v>
      </c>
      <c r="BH52" s="1">
        <v>6781</v>
      </c>
      <c r="BI52" s="1">
        <v>6884</v>
      </c>
      <c r="BJ52" s="1">
        <f>27917-SUM(BG52:BI52)</f>
        <v>7719</v>
      </c>
      <c r="BK52" s="1">
        <v>6426</v>
      </c>
      <c r="BL52" s="1">
        <v>6792</v>
      </c>
      <c r="BM52" s="1">
        <v>7227</v>
      </c>
      <c r="BN52" s="1">
        <f>27808-SUM(BK52:BM52)</f>
        <v>7363</v>
      </c>
      <c r="BO52" s="1">
        <v>6172</v>
      </c>
      <c r="BP52" s="1">
        <v>7101</v>
      </c>
      <c r="BQ52" s="1">
        <v>7205</v>
      </c>
      <c r="CA52" s="1">
        <f t="shared" si="62"/>
        <v>1984</v>
      </c>
      <c r="CB52" s="1">
        <f t="shared" si="63"/>
        <v>2799</v>
      </c>
      <c r="CC52" s="1">
        <f t="shared" si="64"/>
        <v>5089</v>
      </c>
      <c r="CD52" s="1">
        <f t="shared" si="65"/>
        <v>5465</v>
      </c>
      <c r="CE52" s="1">
        <f t="shared" si="66"/>
        <v>6554</v>
      </c>
      <c r="CF52" s="1">
        <f t="shared" si="67"/>
        <v>8131</v>
      </c>
      <c r="CG52" s="1">
        <f t="shared" si="68"/>
        <v>9047</v>
      </c>
      <c r="CH52" s="1">
        <f t="shared" si="69"/>
        <v>10485</v>
      </c>
      <c r="CI52" s="1">
        <f t="shared" si="70"/>
        <v>15629</v>
      </c>
      <c r="CJ52" s="1">
        <f t="shared" si="71"/>
        <v>21404</v>
      </c>
      <c r="CK52" s="1">
        <f t="shared" si="72"/>
        <v>20161</v>
      </c>
      <c r="CL52" s="1">
        <f t="shared" si="73"/>
        <v>17946</v>
      </c>
      <c r="CM52" s="1">
        <f t="shared" si="74"/>
        <v>22912</v>
      </c>
      <c r="CN52" s="1">
        <f t="shared" si="75"/>
        <v>26567</v>
      </c>
      <c r="CO52" s="1">
        <f t="shared" si="76"/>
        <v>27917</v>
      </c>
      <c r="CP52" s="1">
        <f t="shared" si="77"/>
        <v>27808</v>
      </c>
      <c r="CQ52" s="43">
        <f t="shared" ref="CQ52:CZ52" si="86">CQ48*CQ65</f>
        <v>28566.60079</v>
      </c>
      <c r="CR52" s="43">
        <f t="shared" si="86"/>
        <v>32732.976293500004</v>
      </c>
      <c r="CS52" s="43">
        <f t="shared" si="86"/>
        <v>36967.949216205001</v>
      </c>
      <c r="CT52" s="43">
        <f t="shared" si="86"/>
        <v>40505.55098336142</v>
      </c>
      <c r="CU52" s="43">
        <f t="shared" si="86"/>
        <v>43462.506214003741</v>
      </c>
      <c r="CV52" s="43">
        <f t="shared" si="86"/>
        <v>46882.646591557386</v>
      </c>
      <c r="CW52" s="43">
        <f t="shared" si="86"/>
        <v>50083.345318974825</v>
      </c>
      <c r="CX52" s="43">
        <f t="shared" si="86"/>
        <v>52995.550097127692</v>
      </c>
      <c r="CY52" s="43">
        <f t="shared" si="86"/>
        <v>55644.55666927858</v>
      </c>
      <c r="CZ52" s="43">
        <f t="shared" si="86"/>
        <v>57962.897799135739</v>
      </c>
    </row>
    <row r="53" spans="2:154">
      <c r="B53" s="60" t="s">
        <v>258</v>
      </c>
      <c r="C53" s="1">
        <v>447</v>
      </c>
      <c r="D53" s="1">
        <v>364</v>
      </c>
      <c r="E53" s="1">
        <v>389</v>
      </c>
      <c r="F53" s="1">
        <v>468</v>
      </c>
      <c r="G53" s="1">
        <v>410</v>
      </c>
      <c r="H53" s="1">
        <v>461</v>
      </c>
      <c r="I53" s="1">
        <v>532</v>
      </c>
      <c r="J53" s="1">
        <v>559</v>
      </c>
      <c r="K53" s="1">
        <v>591</v>
      </c>
      <c r="L53" s="1">
        <v>648</v>
      </c>
      <c r="M53" s="1">
        <v>676</v>
      </c>
      <c r="N53" s="1">
        <v>809</v>
      </c>
      <c r="O53" s="1">
        <v>757</v>
      </c>
      <c r="P53" s="1">
        <v>942</v>
      </c>
      <c r="Q53" s="1">
        <v>1020</v>
      </c>
      <c r="R53" s="1">
        <v>762</v>
      </c>
      <c r="S53" s="1">
        <v>1015</v>
      </c>
      <c r="T53" s="1">
        <v>1098</v>
      </c>
      <c r="U53" s="1">
        <v>1135</v>
      </c>
      <c r="V53" s="1">
        <v>1184</v>
      </c>
      <c r="W53" s="1">
        <v>1489</v>
      </c>
      <c r="X53" s="1">
        <v>1404</v>
      </c>
      <c r="Y53" s="1">
        <v>1365</v>
      </c>
      <c r="Z53" s="1">
        <v>1593</v>
      </c>
      <c r="AA53" s="1">
        <v>1637</v>
      </c>
      <c r="AB53" s="1">
        <v>1450</v>
      </c>
      <c r="AC53" s="1">
        <v>1477</v>
      </c>
      <c r="AD53" s="1">
        <v>1572</v>
      </c>
      <c r="AE53" s="1">
        <v>1513</v>
      </c>
      <c r="AF53" s="1">
        <v>1624</v>
      </c>
      <c r="AG53" s="1">
        <v>1824</v>
      </c>
      <c r="AH53" s="1">
        <v>2024</v>
      </c>
      <c r="AI53" s="1">
        <v>1801</v>
      </c>
      <c r="AJ53" s="1">
        <v>1700</v>
      </c>
      <c r="AK53" s="1">
        <v>1595</v>
      </c>
      <c r="AL53" s="1">
        <v>1744</v>
      </c>
      <c r="AM53" s="1">
        <v>1403</v>
      </c>
      <c r="AN53" s="1">
        <v>1764</v>
      </c>
      <c r="AO53" s="1">
        <v>1753</v>
      </c>
      <c r="AP53" s="1">
        <v>2003</v>
      </c>
      <c r="AQ53" s="1">
        <v>2088</v>
      </c>
      <c r="AR53" s="1">
        <v>2043</v>
      </c>
      <c r="AS53" s="1">
        <v>2591</v>
      </c>
      <c r="AT53" s="1">
        <v>2829</v>
      </c>
      <c r="AU53" s="1">
        <v>2880</v>
      </c>
      <c r="AV53" s="1">
        <v>2585</v>
      </c>
      <c r="AW53" s="1">
        <v>2756</v>
      </c>
      <c r="AX53" s="1">
        <f>11052-SUM(AU53:AW53)</f>
        <v>2831</v>
      </c>
      <c r="AY53" s="1">
        <v>2773</v>
      </c>
      <c r="AZ53" s="1">
        <v>3341</v>
      </c>
      <c r="BA53" s="1">
        <v>3256</v>
      </c>
      <c r="BB53" s="1">
        <f>13510-SUM(AY53:BA53)</f>
        <v>4140</v>
      </c>
      <c r="BC53" s="1">
        <v>3374</v>
      </c>
      <c r="BD53" s="1">
        <v>3657</v>
      </c>
      <c r="BE53" s="1">
        <v>3597</v>
      </c>
      <c r="BF53" s="1">
        <f>15724-SUM(BC53:BE53)</f>
        <v>5096</v>
      </c>
      <c r="BG53" s="1">
        <v>3759</v>
      </c>
      <c r="BH53" s="1">
        <v>3481</v>
      </c>
      <c r="BI53" s="1">
        <v>3979</v>
      </c>
      <c r="BJ53" s="1">
        <f>16425-SUM(BG53:BI53)</f>
        <v>5206</v>
      </c>
      <c r="BK53" s="1">
        <v>3026</v>
      </c>
      <c r="BL53" s="1">
        <v>3158</v>
      </c>
      <c r="BM53" s="1">
        <v>3599</v>
      </c>
      <c r="BN53" s="1">
        <f>14188-SUM(BK53:BM53)</f>
        <v>4405</v>
      </c>
      <c r="BO53" s="1">
        <v>3539</v>
      </c>
      <c r="BP53" s="1">
        <v>5209</v>
      </c>
      <c r="BQ53" s="1">
        <v>7393</v>
      </c>
      <c r="CA53" s="1">
        <f t="shared" si="62"/>
        <v>1668</v>
      </c>
      <c r="CB53" s="1">
        <f t="shared" si="63"/>
        <v>1962</v>
      </c>
      <c r="CC53" s="1">
        <f t="shared" si="64"/>
        <v>2724</v>
      </c>
      <c r="CD53" s="1">
        <f t="shared" si="65"/>
        <v>3481</v>
      </c>
      <c r="CE53" s="1">
        <f t="shared" si="66"/>
        <v>4432</v>
      </c>
      <c r="CF53" s="1">
        <f t="shared" si="67"/>
        <v>5851</v>
      </c>
      <c r="CG53" s="1">
        <f t="shared" si="68"/>
        <v>6136</v>
      </c>
      <c r="CH53" s="1">
        <f t="shared" si="69"/>
        <v>6985</v>
      </c>
      <c r="CI53" s="1">
        <f t="shared" si="70"/>
        <v>6840</v>
      </c>
      <c r="CJ53" s="1">
        <f t="shared" si="71"/>
        <v>6923</v>
      </c>
      <c r="CK53" s="1">
        <f t="shared" si="72"/>
        <v>9551</v>
      </c>
      <c r="CL53" s="1">
        <f t="shared" si="73"/>
        <v>11052</v>
      </c>
      <c r="CM53" s="1">
        <f t="shared" si="74"/>
        <v>13510</v>
      </c>
      <c r="CN53" s="1">
        <f t="shared" si="75"/>
        <v>15724</v>
      </c>
      <c r="CO53" s="1">
        <f t="shared" si="76"/>
        <v>16425</v>
      </c>
      <c r="CP53" s="1">
        <f t="shared" si="77"/>
        <v>14188</v>
      </c>
      <c r="CQ53" s="43">
        <f t="shared" ref="CQ53:CZ53" si="87">CQ48*CQ66</f>
        <v>22129.056950000002</v>
      </c>
      <c r="CR53" s="43">
        <f t="shared" si="87"/>
        <v>21977.855511350001</v>
      </c>
      <c r="CS53" s="43">
        <f t="shared" si="87"/>
        <v>23037.997337634995</v>
      </c>
      <c r="CT53" s="43">
        <f t="shared" si="87"/>
        <v>22973.29757265274</v>
      </c>
      <c r="CU53" s="43">
        <f t="shared" si="87"/>
        <v>23402.88796138663</v>
      </c>
      <c r="CV53" s="43">
        <f t="shared" si="87"/>
        <v>25638.947354757947</v>
      </c>
      <c r="CW53" s="43">
        <f t="shared" si="87"/>
        <v>27824.080732763796</v>
      </c>
      <c r="CX53" s="43">
        <f t="shared" si="87"/>
        <v>29916.842796765635</v>
      </c>
      <c r="CY53" s="43">
        <f t="shared" si="87"/>
        <v>31927.204646307386</v>
      </c>
      <c r="CZ53" s="43">
        <f t="shared" si="87"/>
        <v>33811.690382829183</v>
      </c>
    </row>
    <row r="54" spans="2:154">
      <c r="B54" s="1" t="s">
        <v>260</v>
      </c>
      <c r="C54" s="35">
        <f t="shared" ref="C54:AT54" si="88">SUM(C52:C53)</f>
        <v>881</v>
      </c>
      <c r="D54" s="35">
        <f t="shared" si="88"/>
        <v>833</v>
      </c>
      <c r="E54" s="35">
        <f t="shared" si="88"/>
        <v>887</v>
      </c>
      <c r="F54" s="35">
        <f t="shared" si="88"/>
        <v>1051</v>
      </c>
      <c r="G54" s="35">
        <f t="shared" si="88"/>
        <v>1017</v>
      </c>
      <c r="H54" s="35">
        <f t="shared" si="88"/>
        <v>1090</v>
      </c>
      <c r="I54" s="35">
        <f t="shared" si="88"/>
        <v>1193</v>
      </c>
      <c r="J54" s="35">
        <f t="shared" si="88"/>
        <v>1461</v>
      </c>
      <c r="K54" s="35">
        <f t="shared" si="88"/>
        <v>2117</v>
      </c>
      <c r="L54" s="35">
        <f t="shared" si="88"/>
        <v>1739</v>
      </c>
      <c r="M54" s="35">
        <f t="shared" si="88"/>
        <v>1880</v>
      </c>
      <c r="N54" s="35">
        <f t="shared" si="88"/>
        <v>2077</v>
      </c>
      <c r="O54" s="35">
        <f t="shared" si="88"/>
        <v>2026</v>
      </c>
      <c r="P54" s="35">
        <f t="shared" si="88"/>
        <v>2355</v>
      </c>
      <c r="Q54" s="35">
        <f t="shared" si="88"/>
        <v>2730</v>
      </c>
      <c r="R54" s="35">
        <f t="shared" si="88"/>
        <v>1835</v>
      </c>
      <c r="S54" s="35">
        <f t="shared" si="88"/>
        <v>2450</v>
      </c>
      <c r="T54" s="35">
        <f t="shared" si="88"/>
        <v>2681</v>
      </c>
      <c r="U54" s="35">
        <f t="shared" si="88"/>
        <v>2763</v>
      </c>
      <c r="V54" s="35">
        <f t="shared" si="88"/>
        <v>3092</v>
      </c>
      <c r="W54" s="35">
        <f t="shared" si="88"/>
        <v>3218</v>
      </c>
      <c r="X54" s="35">
        <f t="shared" si="88"/>
        <v>3345</v>
      </c>
      <c r="Y54" s="35">
        <f t="shared" si="88"/>
        <v>3449</v>
      </c>
      <c r="Z54" s="35">
        <f t="shared" si="88"/>
        <v>3970</v>
      </c>
      <c r="AA54" s="35">
        <f t="shared" si="88"/>
        <v>3702</v>
      </c>
      <c r="AB54" s="35">
        <f t="shared" si="88"/>
        <v>3530</v>
      </c>
      <c r="AC54" s="35">
        <f t="shared" si="88"/>
        <v>3700</v>
      </c>
      <c r="AD54" s="35">
        <f t="shared" si="88"/>
        <v>4251</v>
      </c>
      <c r="AE54" s="35">
        <f t="shared" si="88"/>
        <v>3900</v>
      </c>
      <c r="AF54" s="35">
        <f t="shared" si="88"/>
        <v>4039</v>
      </c>
      <c r="AG54" s="35">
        <f t="shared" si="88"/>
        <v>4389</v>
      </c>
      <c r="AH54" s="35">
        <f t="shared" si="88"/>
        <v>5142</v>
      </c>
      <c r="AI54" s="35">
        <f t="shared" si="88"/>
        <v>4445</v>
      </c>
      <c r="AJ54" s="35">
        <f t="shared" si="88"/>
        <v>7333</v>
      </c>
      <c r="AK54" s="35">
        <f t="shared" si="88"/>
        <v>4637</v>
      </c>
      <c r="AL54" s="35">
        <f t="shared" si="88"/>
        <v>6054</v>
      </c>
      <c r="AM54" s="35">
        <f t="shared" si="88"/>
        <v>5007</v>
      </c>
      <c r="AN54" s="35">
        <f t="shared" si="88"/>
        <v>10615</v>
      </c>
      <c r="AO54" s="35">
        <f t="shared" si="88"/>
        <v>5602</v>
      </c>
      <c r="AP54" s="35">
        <f t="shared" si="88"/>
        <v>7103</v>
      </c>
      <c r="AQ54" s="35">
        <f t="shared" si="88"/>
        <v>7690</v>
      </c>
      <c r="AR54" s="35">
        <f t="shared" si="88"/>
        <v>6255</v>
      </c>
      <c r="AS54" s="35">
        <f t="shared" si="88"/>
        <v>7200</v>
      </c>
      <c r="AT54" s="35">
        <f t="shared" si="88"/>
        <v>8567</v>
      </c>
      <c r="AU54" s="35">
        <f t="shared" ref="AU54" si="89">SUM(AU52:AU53)</f>
        <v>7380</v>
      </c>
      <c r="AV54" s="1">
        <f t="shared" ref="AV54:BN54" si="90">AV52+AV53</f>
        <v>6486</v>
      </c>
      <c r="AW54" s="1">
        <f t="shared" si="90"/>
        <v>6987</v>
      </c>
      <c r="AX54" s="1">
        <f t="shared" si="90"/>
        <v>8145</v>
      </c>
      <c r="AY54" s="1">
        <f t="shared" si="90"/>
        <v>7289</v>
      </c>
      <c r="AZ54" s="1">
        <f t="shared" si="90"/>
        <v>8617</v>
      </c>
      <c r="BA54" s="1">
        <f t="shared" si="90"/>
        <v>8772</v>
      </c>
      <c r="BB54" s="1">
        <f t="shared" si="90"/>
        <v>11744</v>
      </c>
      <c r="BC54" s="1">
        <f t="shared" si="90"/>
        <v>9199</v>
      </c>
      <c r="BD54" s="1">
        <f t="shared" si="90"/>
        <v>10287</v>
      </c>
      <c r="BE54" s="1">
        <f t="shared" si="90"/>
        <v>10526</v>
      </c>
      <c r="BF54" s="1">
        <f t="shared" si="90"/>
        <v>12279</v>
      </c>
      <c r="BG54" s="1">
        <f t="shared" si="90"/>
        <v>10292</v>
      </c>
      <c r="BH54" s="1">
        <f t="shared" si="90"/>
        <v>10262</v>
      </c>
      <c r="BI54" s="1">
        <f t="shared" si="90"/>
        <v>10863</v>
      </c>
      <c r="BJ54" s="1">
        <f t="shared" si="90"/>
        <v>12925</v>
      </c>
      <c r="BK54" s="1">
        <f t="shared" si="90"/>
        <v>9452</v>
      </c>
      <c r="BL54" s="1">
        <f t="shared" si="90"/>
        <v>9950</v>
      </c>
      <c r="BM54" s="1">
        <f t="shared" si="90"/>
        <v>10826</v>
      </c>
      <c r="BN54" s="1">
        <f t="shared" si="90"/>
        <v>11768</v>
      </c>
      <c r="BO54" s="1">
        <f>BO52+BO53</f>
        <v>9711</v>
      </c>
      <c r="BP54" s="1">
        <f>BP52+BP53</f>
        <v>12310</v>
      </c>
      <c r="BQ54" s="1">
        <f>BQ52+BQ53</f>
        <v>14598</v>
      </c>
      <c r="CA54" s="1">
        <f t="shared" si="62"/>
        <v>3652</v>
      </c>
      <c r="CB54" s="1">
        <f t="shared" si="63"/>
        <v>4761</v>
      </c>
      <c r="CC54" s="1">
        <f t="shared" si="64"/>
        <v>7813</v>
      </c>
      <c r="CD54" s="1">
        <f t="shared" si="65"/>
        <v>8946</v>
      </c>
      <c r="CE54" s="1">
        <f t="shared" si="66"/>
        <v>10986</v>
      </c>
      <c r="CF54" s="1">
        <f t="shared" si="67"/>
        <v>13982</v>
      </c>
      <c r="CG54" s="1">
        <f t="shared" si="68"/>
        <v>15183</v>
      </c>
      <c r="CH54" s="1">
        <f t="shared" si="69"/>
        <v>17470</v>
      </c>
      <c r="CI54" s="1">
        <f t="shared" si="70"/>
        <v>22469</v>
      </c>
      <c r="CJ54" s="1">
        <f t="shared" si="71"/>
        <v>28327</v>
      </c>
      <c r="CK54" s="1">
        <f t="shared" si="72"/>
        <v>29712</v>
      </c>
      <c r="CL54" s="1">
        <f t="shared" si="73"/>
        <v>28998</v>
      </c>
      <c r="CM54" s="1">
        <f t="shared" si="74"/>
        <v>36422</v>
      </c>
      <c r="CN54" s="1">
        <f t="shared" si="75"/>
        <v>42291</v>
      </c>
      <c r="CO54" s="1">
        <f t="shared" si="76"/>
        <v>44342</v>
      </c>
      <c r="CP54" s="1">
        <f t="shared" si="77"/>
        <v>41996</v>
      </c>
      <c r="CQ54" s="43">
        <f>SUM(CQ52:CQ53)</f>
        <v>50695.657740000002</v>
      </c>
      <c r="CR54" s="43">
        <f t="shared" ref="CR54:CZ54" si="91">SUM(CR52:CR53)</f>
        <v>54710.831804850008</v>
      </c>
      <c r="CS54" s="43">
        <f t="shared" si="91"/>
        <v>60005.946553839996</v>
      </c>
      <c r="CT54" s="43">
        <f t="shared" si="91"/>
        <v>63478.848556014156</v>
      </c>
      <c r="CU54" s="43">
        <f t="shared" si="91"/>
        <v>66865.394175390364</v>
      </c>
      <c r="CV54" s="43">
        <f t="shared" si="91"/>
        <v>72521.593946315334</v>
      </c>
      <c r="CW54" s="43">
        <f t="shared" si="91"/>
        <v>77907.426051738614</v>
      </c>
      <c r="CX54" s="43">
        <f t="shared" si="91"/>
        <v>82912.392893893324</v>
      </c>
      <c r="CY54" s="43">
        <f t="shared" si="91"/>
        <v>87571.761315585958</v>
      </c>
      <c r="CZ54" s="43">
        <f t="shared" si="91"/>
        <v>91774.588181964922</v>
      </c>
    </row>
    <row r="55" spans="2:154">
      <c r="B55" s="1" t="s">
        <v>261</v>
      </c>
      <c r="C55" s="1">
        <f t="shared" ref="C55:AF55" si="92">C50-C51-C54</f>
        <v>1884</v>
      </c>
      <c r="D55" s="1">
        <f t="shared" si="92"/>
        <v>1874</v>
      </c>
      <c r="E55" s="1">
        <f t="shared" si="92"/>
        <v>2074</v>
      </c>
      <c r="F55" s="1">
        <f t="shared" si="92"/>
        <v>2480</v>
      </c>
      <c r="G55" s="1">
        <f t="shared" si="92"/>
        <v>2488</v>
      </c>
      <c r="H55" s="1">
        <f t="shared" si="92"/>
        <v>2365</v>
      </c>
      <c r="I55" s="1">
        <f t="shared" si="92"/>
        <v>2547</v>
      </c>
      <c r="J55" s="1">
        <f t="shared" si="92"/>
        <v>2981</v>
      </c>
      <c r="K55" s="1">
        <f t="shared" si="92"/>
        <v>2296</v>
      </c>
      <c r="L55" s="1">
        <f t="shared" si="92"/>
        <v>2881</v>
      </c>
      <c r="M55" s="1">
        <f t="shared" si="92"/>
        <v>3058</v>
      </c>
      <c r="N55" s="1">
        <f t="shared" si="92"/>
        <v>3507</v>
      </c>
      <c r="O55" s="1">
        <f t="shared" si="92"/>
        <v>3389</v>
      </c>
      <c r="P55" s="1">
        <f t="shared" si="92"/>
        <v>3237</v>
      </c>
      <c r="Q55" s="1">
        <f t="shared" si="92"/>
        <v>2740</v>
      </c>
      <c r="R55" s="1">
        <f t="shared" si="92"/>
        <v>4468</v>
      </c>
      <c r="S55" s="1">
        <f t="shared" si="92"/>
        <v>3748</v>
      </c>
      <c r="T55" s="1">
        <f t="shared" si="92"/>
        <v>3465</v>
      </c>
      <c r="U55" s="1">
        <f t="shared" si="92"/>
        <v>3761</v>
      </c>
      <c r="V55" s="1">
        <f t="shared" si="92"/>
        <v>4429</v>
      </c>
      <c r="W55" s="1">
        <f t="shared" si="92"/>
        <v>4115</v>
      </c>
      <c r="X55" s="1">
        <f t="shared" si="92"/>
        <v>4258</v>
      </c>
      <c r="Y55" s="1">
        <f t="shared" si="92"/>
        <v>3724</v>
      </c>
      <c r="Z55" s="1">
        <f t="shared" si="92"/>
        <v>4399</v>
      </c>
      <c r="AA55" s="1">
        <f t="shared" si="92"/>
        <v>4447</v>
      </c>
      <c r="AB55" s="1">
        <f t="shared" si="92"/>
        <v>4825</v>
      </c>
      <c r="AC55" s="1">
        <f t="shared" si="92"/>
        <v>4708</v>
      </c>
      <c r="AD55" s="1">
        <f t="shared" si="92"/>
        <v>5380</v>
      </c>
      <c r="AE55" s="1">
        <f t="shared" si="92"/>
        <v>5342</v>
      </c>
      <c r="AF55" s="1">
        <f t="shared" si="92"/>
        <v>5968</v>
      </c>
      <c r="AG55" s="1">
        <f t="shared" ref="AG55:BL55" si="93">AG50-AG51-AG54</f>
        <v>5767</v>
      </c>
      <c r="AH55" s="1">
        <f t="shared" si="93"/>
        <v>6639</v>
      </c>
      <c r="AI55" s="1">
        <f t="shared" si="93"/>
        <v>6568</v>
      </c>
      <c r="AJ55" s="1">
        <f t="shared" si="93"/>
        <v>4132</v>
      </c>
      <c r="AK55" s="1">
        <f t="shared" si="93"/>
        <v>7782</v>
      </c>
      <c r="AL55" s="1">
        <f t="shared" si="93"/>
        <v>7696</v>
      </c>
      <c r="AM55" s="1">
        <f t="shared" si="93"/>
        <v>7633</v>
      </c>
      <c r="AN55" s="1">
        <f t="shared" si="93"/>
        <v>3045</v>
      </c>
      <c r="AO55" s="1">
        <f t="shared" si="93"/>
        <v>8625</v>
      </c>
      <c r="AP55" s="1">
        <f t="shared" si="93"/>
        <v>8221</v>
      </c>
      <c r="AQ55" s="1">
        <f t="shared" si="93"/>
        <v>6608</v>
      </c>
      <c r="AR55" s="1">
        <f t="shared" si="93"/>
        <v>9180</v>
      </c>
      <c r="AS55" s="1">
        <f t="shared" si="93"/>
        <v>9177</v>
      </c>
      <c r="AT55" s="1">
        <f t="shared" si="93"/>
        <v>9266</v>
      </c>
      <c r="AU55" s="1">
        <f t="shared" si="93"/>
        <v>7977</v>
      </c>
      <c r="AV55" s="1">
        <f t="shared" si="93"/>
        <v>6383</v>
      </c>
      <c r="AW55" s="1">
        <f t="shared" si="93"/>
        <v>11213</v>
      </c>
      <c r="AX55" s="1">
        <f t="shared" si="93"/>
        <v>15651</v>
      </c>
      <c r="AY55" s="1">
        <f t="shared" si="93"/>
        <v>16437</v>
      </c>
      <c r="AZ55" s="1">
        <f t="shared" si="93"/>
        <v>19361</v>
      </c>
      <c r="BA55" s="1">
        <f t="shared" si="93"/>
        <v>21031</v>
      </c>
      <c r="BB55" s="1">
        <f t="shared" si="93"/>
        <v>21885</v>
      </c>
      <c r="BC55" s="1">
        <f t="shared" si="93"/>
        <v>20094</v>
      </c>
      <c r="BD55" s="1">
        <f t="shared" si="93"/>
        <v>19453</v>
      </c>
      <c r="BE55" s="1">
        <f t="shared" si="93"/>
        <v>17135</v>
      </c>
      <c r="BF55" s="1">
        <f t="shared" si="93"/>
        <v>18160</v>
      </c>
      <c r="BG55" s="1">
        <f t="shared" si="93"/>
        <v>17415</v>
      </c>
      <c r="BH55" s="1">
        <f t="shared" si="93"/>
        <v>21838</v>
      </c>
      <c r="BI55" s="1">
        <f t="shared" si="93"/>
        <v>21343</v>
      </c>
      <c r="BJ55" s="1">
        <f t="shared" si="93"/>
        <v>23697</v>
      </c>
      <c r="BK55" s="1">
        <f t="shared" si="93"/>
        <v>25472</v>
      </c>
      <c r="BL55" s="1">
        <f t="shared" si="93"/>
        <v>27425</v>
      </c>
      <c r="BM55" s="1">
        <f t="shared" ref="BM55:BO55" si="94">BM50-BM51-BM54</f>
        <v>28521</v>
      </c>
      <c r="BN55" s="1">
        <f t="shared" si="94"/>
        <v>30972</v>
      </c>
      <c r="BO55" s="1">
        <f t="shared" si="94"/>
        <v>30606</v>
      </c>
      <c r="BP55" s="1">
        <f t="shared" ref="BP55:BQ55" si="95">BP50-BP51-BP54</f>
        <v>31271</v>
      </c>
      <c r="BQ55" s="1">
        <f t="shared" si="95"/>
        <v>31228</v>
      </c>
      <c r="CA55" s="1">
        <f t="shared" si="62"/>
        <v>8312</v>
      </c>
      <c r="CB55" s="1">
        <f t="shared" si="63"/>
        <v>10381</v>
      </c>
      <c r="CC55" s="1">
        <f t="shared" si="64"/>
        <v>11742</v>
      </c>
      <c r="CD55" s="1">
        <f t="shared" si="65"/>
        <v>13834</v>
      </c>
      <c r="CE55" s="1">
        <f t="shared" si="66"/>
        <v>15403</v>
      </c>
      <c r="CF55" s="1">
        <f t="shared" si="67"/>
        <v>16496</v>
      </c>
      <c r="CG55" s="1">
        <f t="shared" si="68"/>
        <v>19360</v>
      </c>
      <c r="CH55" s="1">
        <f t="shared" si="69"/>
        <v>23716</v>
      </c>
      <c r="CI55" s="1">
        <f t="shared" si="70"/>
        <v>26178</v>
      </c>
      <c r="CJ55" s="1">
        <f t="shared" si="71"/>
        <v>27524</v>
      </c>
      <c r="CK55" s="1">
        <f t="shared" si="72"/>
        <v>34231</v>
      </c>
      <c r="CL55" s="1">
        <f t="shared" si="73"/>
        <v>41224</v>
      </c>
      <c r="CM55" s="1">
        <f t="shared" si="74"/>
        <v>78714</v>
      </c>
      <c r="CN55" s="1">
        <f t="shared" si="75"/>
        <v>74842</v>
      </c>
      <c r="CO55" s="1">
        <f t="shared" si="76"/>
        <v>84293</v>
      </c>
      <c r="CP55" s="1">
        <f t="shared" si="77"/>
        <v>112390</v>
      </c>
      <c r="CQ55" s="43">
        <f t="shared" ref="CQ55:CZ55" si="96">CQ50-SUM(CQ51:CQ53)</f>
        <v>132573.16845500004</v>
      </c>
      <c r="CR55" s="43">
        <f t="shared" si="96"/>
        <v>157118.28620879998</v>
      </c>
      <c r="CS55" s="43">
        <f t="shared" si="96"/>
        <v>190465.30357044746</v>
      </c>
      <c r="CT55" s="43">
        <f t="shared" si="96"/>
        <v>223687.37110214515</v>
      </c>
      <c r="CU55" s="43">
        <f t="shared" si="96"/>
        <v>255760.1327208681</v>
      </c>
      <c r="CV55" s="43">
        <f t="shared" si="96"/>
        <v>286423.66902029584</v>
      </c>
      <c r="CW55" s="43">
        <f t="shared" si="96"/>
        <v>319579.4415591727</v>
      </c>
      <c r="CX55" s="43">
        <f t="shared" si="96"/>
        <v>353018.74500183447</v>
      </c>
      <c r="CY55" s="43">
        <f t="shared" si="96"/>
        <v>384494.76452624466</v>
      </c>
      <c r="CZ55" s="43">
        <f t="shared" si="96"/>
        <v>415400.76756047289</v>
      </c>
    </row>
    <row r="56" spans="2:154">
      <c r="B56" s="1" t="s">
        <v>262</v>
      </c>
      <c r="C56" s="1">
        <v>6</v>
      </c>
      <c r="D56" s="1">
        <v>-18</v>
      </c>
      <c r="E56" s="1">
        <v>-7</v>
      </c>
      <c r="F56" s="1">
        <v>88</v>
      </c>
      <c r="G56" s="1">
        <v>18</v>
      </c>
      <c r="H56" s="1">
        <v>69</v>
      </c>
      <c r="I56" s="1">
        <v>167</v>
      </c>
      <c r="J56" s="1">
        <v>161</v>
      </c>
      <c r="K56" s="1">
        <v>96</v>
      </c>
      <c r="L56" s="1">
        <v>204</v>
      </c>
      <c r="M56" s="1">
        <v>302</v>
      </c>
      <c r="N56" s="1">
        <v>-18</v>
      </c>
      <c r="O56" s="1">
        <v>156</v>
      </c>
      <c r="P56" s="1">
        <v>253</v>
      </c>
      <c r="Q56" s="1">
        <v>65</v>
      </c>
      <c r="R56" s="1">
        <v>161</v>
      </c>
      <c r="S56" s="1">
        <v>134</v>
      </c>
      <c r="T56" s="1">
        <v>236</v>
      </c>
      <c r="U56" s="1">
        <v>14</v>
      </c>
      <c r="V56" s="1">
        <v>112</v>
      </c>
      <c r="W56" s="1">
        <v>357</v>
      </c>
      <c r="X56" s="1">
        <v>145</v>
      </c>
      <c r="Y56" s="1">
        <v>133</v>
      </c>
      <c r="Z56" s="1">
        <v>128</v>
      </c>
      <c r="AA56" s="1">
        <v>157</v>
      </c>
      <c r="AB56" s="1">
        <v>131</v>
      </c>
      <c r="AC56" s="1">
        <v>183</v>
      </c>
      <c r="AD56" s="1">
        <v>-180</v>
      </c>
      <c r="AE56" s="1">
        <v>-213</v>
      </c>
      <c r="AF56" s="1">
        <v>151</v>
      </c>
      <c r="AG56" s="1">
        <v>278</v>
      </c>
      <c r="AH56" s="1">
        <v>218</v>
      </c>
      <c r="AI56" s="1">
        <v>251</v>
      </c>
      <c r="AJ56" s="1">
        <v>245</v>
      </c>
      <c r="AK56" s="1">
        <v>197</v>
      </c>
      <c r="AL56" s="1">
        <v>322</v>
      </c>
      <c r="AM56" s="1">
        <v>2910</v>
      </c>
      <c r="AN56" s="1">
        <v>1170</v>
      </c>
      <c r="AO56" s="1">
        <v>1458</v>
      </c>
      <c r="AP56" s="1">
        <v>1851</v>
      </c>
      <c r="AQ56" s="1">
        <v>1538</v>
      </c>
      <c r="AR56" s="1">
        <v>2967</v>
      </c>
      <c r="AS56" s="1">
        <v>-549</v>
      </c>
      <c r="AT56" s="1">
        <v>1438</v>
      </c>
      <c r="AU56" s="1">
        <v>-220</v>
      </c>
      <c r="AV56" s="1">
        <v>1894</v>
      </c>
      <c r="AW56" s="1">
        <v>2146</v>
      </c>
      <c r="AX56" s="1">
        <f>6858-SUM(AU56:AW56)</f>
        <v>3038</v>
      </c>
      <c r="AY56" s="1">
        <v>4846</v>
      </c>
      <c r="AZ56" s="1">
        <v>2624</v>
      </c>
      <c r="BA56" s="1">
        <v>2033</v>
      </c>
      <c r="BB56" s="1">
        <f>12020-SUM(AY56:BA56)</f>
        <v>2517</v>
      </c>
      <c r="BC56" s="1">
        <v>-1160</v>
      </c>
      <c r="BD56" s="1">
        <v>-439</v>
      </c>
      <c r="BE56" s="1">
        <v>-902</v>
      </c>
      <c r="BF56" s="1">
        <f>-3514-SUM(BC56:BE56)</f>
        <v>-1013</v>
      </c>
      <c r="BG56" s="1">
        <v>790</v>
      </c>
      <c r="BH56" s="1">
        <v>65</v>
      </c>
      <c r="BI56" s="1">
        <v>-146</v>
      </c>
      <c r="BJ56" s="1">
        <f>1424-SUM(BG56:BI56)</f>
        <v>715</v>
      </c>
      <c r="BK56" s="1">
        <v>2843</v>
      </c>
      <c r="BL56" s="1">
        <v>126</v>
      </c>
      <c r="BM56" s="1">
        <v>3185</v>
      </c>
      <c r="BN56" s="1">
        <f>7425-SUM(BK56:BM56)</f>
        <v>1271</v>
      </c>
      <c r="BO56" s="1">
        <v>11183</v>
      </c>
      <c r="BP56" s="1">
        <v>2662</v>
      </c>
      <c r="BQ56" s="1">
        <v>12759</v>
      </c>
      <c r="CA56" s="1">
        <f t="shared" si="62"/>
        <v>69</v>
      </c>
      <c r="CB56" s="1">
        <f t="shared" si="63"/>
        <v>415</v>
      </c>
      <c r="CC56" s="1">
        <f t="shared" si="64"/>
        <v>584</v>
      </c>
      <c r="CD56" s="1">
        <f t="shared" si="65"/>
        <v>635</v>
      </c>
      <c r="CE56" s="1">
        <f t="shared" si="66"/>
        <v>496</v>
      </c>
      <c r="CF56" s="1">
        <f t="shared" si="67"/>
        <v>763</v>
      </c>
      <c r="CG56" s="1">
        <f t="shared" si="68"/>
        <v>291</v>
      </c>
      <c r="CH56" s="1">
        <f t="shared" si="69"/>
        <v>434</v>
      </c>
      <c r="CI56" s="1">
        <f t="shared" si="70"/>
        <v>1015</v>
      </c>
      <c r="CJ56" s="1">
        <f t="shared" si="71"/>
        <v>7389</v>
      </c>
      <c r="CK56" s="1">
        <f t="shared" si="72"/>
        <v>5394</v>
      </c>
      <c r="CL56" s="1">
        <f t="shared" si="73"/>
        <v>6858</v>
      </c>
      <c r="CM56" s="1">
        <f t="shared" si="74"/>
        <v>12020</v>
      </c>
      <c r="CN56" s="1">
        <f t="shared" si="75"/>
        <v>-3514</v>
      </c>
      <c r="CO56" s="1">
        <f t="shared" si="76"/>
        <v>1424</v>
      </c>
      <c r="CP56" s="1">
        <f t="shared" si="77"/>
        <v>7425</v>
      </c>
      <c r="CQ56" s="43">
        <f t="shared" ref="CQ56:CZ56" si="97">CP56*(1+$CZ$74)</f>
        <v>10005.1875</v>
      </c>
      <c r="CR56" s="43">
        <f t="shared" si="97"/>
        <v>13481.99015625</v>
      </c>
      <c r="CS56" s="43">
        <f t="shared" si="97"/>
        <v>18166.981735546873</v>
      </c>
      <c r="CT56" s="43">
        <f t="shared" si="97"/>
        <v>24480.007888649408</v>
      </c>
      <c r="CU56" s="43">
        <f t="shared" si="97"/>
        <v>32986.810629955078</v>
      </c>
      <c r="CV56" s="43">
        <f t="shared" si="97"/>
        <v>44449.727323864463</v>
      </c>
      <c r="CW56" s="43">
        <f t="shared" si="97"/>
        <v>59896.007568907364</v>
      </c>
      <c r="CX56" s="43">
        <f t="shared" si="97"/>
        <v>80709.870199102661</v>
      </c>
      <c r="CY56" s="43">
        <f t="shared" si="97"/>
        <v>108756.55009329083</v>
      </c>
      <c r="CZ56" s="43">
        <f t="shared" si="97"/>
        <v>146549.45125070939</v>
      </c>
    </row>
    <row r="57" spans="2:154">
      <c r="B57" s="1" t="s">
        <v>263</v>
      </c>
      <c r="C57" s="1">
        <f t="shared" ref="C57:BM57" si="98">C55+C56</f>
        <v>1890</v>
      </c>
      <c r="D57" s="1">
        <f t="shared" si="98"/>
        <v>1856</v>
      </c>
      <c r="E57" s="1">
        <f t="shared" si="98"/>
        <v>2067</v>
      </c>
      <c r="F57" s="1">
        <f t="shared" si="98"/>
        <v>2568</v>
      </c>
      <c r="G57" s="1">
        <f t="shared" si="98"/>
        <v>2506</v>
      </c>
      <c r="H57" s="1">
        <f t="shared" si="98"/>
        <v>2434</v>
      </c>
      <c r="I57" s="1">
        <f t="shared" si="98"/>
        <v>2714</v>
      </c>
      <c r="J57" s="1">
        <f t="shared" si="98"/>
        <v>3142</v>
      </c>
      <c r="K57" s="1">
        <f t="shared" si="98"/>
        <v>2392</v>
      </c>
      <c r="L57" s="1">
        <f t="shared" si="98"/>
        <v>3085</v>
      </c>
      <c r="M57" s="1">
        <f t="shared" si="98"/>
        <v>3360</v>
      </c>
      <c r="N57" s="1">
        <f t="shared" si="98"/>
        <v>3489</v>
      </c>
      <c r="O57" s="1">
        <f t="shared" si="98"/>
        <v>3545</v>
      </c>
      <c r="P57" s="1">
        <f t="shared" si="98"/>
        <v>3490</v>
      </c>
      <c r="Q57" s="1">
        <f t="shared" si="98"/>
        <v>2805</v>
      </c>
      <c r="R57" s="1">
        <f t="shared" si="98"/>
        <v>4629</v>
      </c>
      <c r="S57" s="1">
        <f t="shared" si="98"/>
        <v>3882</v>
      </c>
      <c r="T57" s="1">
        <f t="shared" si="98"/>
        <v>3701</v>
      </c>
      <c r="U57" s="1">
        <f t="shared" si="98"/>
        <v>3775</v>
      </c>
      <c r="V57" s="1">
        <f t="shared" si="98"/>
        <v>4541</v>
      </c>
      <c r="W57" s="1">
        <f t="shared" si="98"/>
        <v>4472</v>
      </c>
      <c r="X57" s="1">
        <f t="shared" si="98"/>
        <v>4403</v>
      </c>
      <c r="Y57" s="1">
        <f t="shared" si="98"/>
        <v>3857</v>
      </c>
      <c r="Z57" s="1">
        <f t="shared" si="98"/>
        <v>4527</v>
      </c>
      <c r="AA57" s="1">
        <f t="shared" si="98"/>
        <v>4604</v>
      </c>
      <c r="AB57" s="1">
        <f t="shared" si="98"/>
        <v>4956</v>
      </c>
      <c r="AC57" s="1">
        <f t="shared" si="98"/>
        <v>4891</v>
      </c>
      <c r="AD57" s="1">
        <f t="shared" si="98"/>
        <v>5200</v>
      </c>
      <c r="AE57" s="1">
        <f t="shared" si="98"/>
        <v>5129</v>
      </c>
      <c r="AF57" s="1">
        <f t="shared" si="98"/>
        <v>6119</v>
      </c>
      <c r="AG57" s="1">
        <f t="shared" si="98"/>
        <v>6045</v>
      </c>
      <c r="AH57" s="1">
        <f t="shared" si="98"/>
        <v>6857</v>
      </c>
      <c r="AI57" s="1">
        <f t="shared" si="98"/>
        <v>6819</v>
      </c>
      <c r="AJ57" s="1">
        <f t="shared" si="98"/>
        <v>4377</v>
      </c>
      <c r="AK57" s="1">
        <f t="shared" si="98"/>
        <v>7979</v>
      </c>
      <c r="AL57" s="1">
        <f t="shared" si="98"/>
        <v>8018</v>
      </c>
      <c r="AM57" s="1">
        <f t="shared" si="98"/>
        <v>10543</v>
      </c>
      <c r="AN57" s="1">
        <f t="shared" si="98"/>
        <v>4215</v>
      </c>
      <c r="AO57" s="1">
        <f t="shared" si="98"/>
        <v>10083</v>
      </c>
      <c r="AP57" s="1">
        <f t="shared" si="98"/>
        <v>10072</v>
      </c>
      <c r="AQ57" s="1">
        <f t="shared" si="98"/>
        <v>8146</v>
      </c>
      <c r="AR57" s="1">
        <f t="shared" si="98"/>
        <v>12147</v>
      </c>
      <c r="AS57" s="1">
        <f t="shared" si="98"/>
        <v>8628</v>
      </c>
      <c r="AT57" s="1">
        <f t="shared" si="98"/>
        <v>10704</v>
      </c>
      <c r="AU57" s="1">
        <f t="shared" si="98"/>
        <v>7757</v>
      </c>
      <c r="AV57" s="1">
        <f t="shared" si="98"/>
        <v>8277</v>
      </c>
      <c r="AW57" s="1">
        <f t="shared" si="98"/>
        <v>13359</v>
      </c>
      <c r="AX57" s="1">
        <f t="shared" si="98"/>
        <v>18689</v>
      </c>
      <c r="AY57" s="1">
        <f t="shared" si="98"/>
        <v>21283</v>
      </c>
      <c r="AZ57" s="1">
        <f t="shared" si="98"/>
        <v>21985</v>
      </c>
      <c r="BA57" s="1">
        <f t="shared" si="98"/>
        <v>23064</v>
      </c>
      <c r="BB57" s="1">
        <f t="shared" si="98"/>
        <v>24402</v>
      </c>
      <c r="BC57" s="1">
        <f t="shared" si="98"/>
        <v>18934</v>
      </c>
      <c r="BD57" s="1">
        <f t="shared" si="98"/>
        <v>19014</v>
      </c>
      <c r="BE57" s="1">
        <f t="shared" si="98"/>
        <v>16233</v>
      </c>
      <c r="BF57" s="1">
        <f t="shared" si="98"/>
        <v>17147</v>
      </c>
      <c r="BG57" s="1">
        <f t="shared" si="98"/>
        <v>18205</v>
      </c>
      <c r="BH57" s="1">
        <f t="shared" si="98"/>
        <v>21903</v>
      </c>
      <c r="BI57" s="1">
        <f t="shared" si="98"/>
        <v>21197</v>
      </c>
      <c r="BJ57" s="1">
        <f t="shared" si="98"/>
        <v>24412</v>
      </c>
      <c r="BK57" s="1">
        <f t="shared" si="98"/>
        <v>28315</v>
      </c>
      <c r="BL57" s="1">
        <f t="shared" si="98"/>
        <v>27551</v>
      </c>
      <c r="BM57" s="1">
        <f t="shared" si="98"/>
        <v>31706</v>
      </c>
      <c r="BN57" s="1">
        <f t="shared" ref="BN57" si="99">BN55+BN56</f>
        <v>32243</v>
      </c>
      <c r="BO57" s="1">
        <f>BO55+BO56</f>
        <v>41789</v>
      </c>
      <c r="BP57" s="1">
        <f>BP55+BP56</f>
        <v>33933</v>
      </c>
      <c r="BQ57" s="1">
        <f>BQ55+BQ56</f>
        <v>43987</v>
      </c>
      <c r="CA57" s="1">
        <f t="shared" si="62"/>
        <v>8381</v>
      </c>
      <c r="CB57" s="1">
        <f t="shared" si="63"/>
        <v>10796</v>
      </c>
      <c r="CC57" s="1">
        <f t="shared" si="64"/>
        <v>12326</v>
      </c>
      <c r="CD57" s="1">
        <f t="shared" si="65"/>
        <v>14469</v>
      </c>
      <c r="CE57" s="1">
        <f t="shared" si="66"/>
        <v>15899</v>
      </c>
      <c r="CF57" s="1">
        <f t="shared" si="67"/>
        <v>17259</v>
      </c>
      <c r="CG57" s="1">
        <f t="shared" si="68"/>
        <v>19651</v>
      </c>
      <c r="CH57" s="1">
        <f t="shared" si="69"/>
        <v>24150</v>
      </c>
      <c r="CI57" s="1">
        <f t="shared" si="70"/>
        <v>27193</v>
      </c>
      <c r="CJ57" s="1">
        <f t="shared" si="71"/>
        <v>34913</v>
      </c>
      <c r="CK57" s="1">
        <f t="shared" si="72"/>
        <v>39625</v>
      </c>
      <c r="CL57" s="1">
        <f t="shared" si="73"/>
        <v>48082</v>
      </c>
      <c r="CM57" s="1">
        <f t="shared" si="74"/>
        <v>90734</v>
      </c>
      <c r="CN57" s="1">
        <f t="shared" si="75"/>
        <v>71328</v>
      </c>
      <c r="CO57" s="1">
        <f t="shared" si="76"/>
        <v>85717</v>
      </c>
      <c r="CP57" s="1">
        <f t="shared" si="77"/>
        <v>119815</v>
      </c>
      <c r="CQ57" s="43">
        <f>SUM(CQ55:CQ56)</f>
        <v>142578.35595500004</v>
      </c>
      <c r="CR57" s="43">
        <f t="shared" ref="CR57:CZ57" si="100">SUM(CR55:CR56)</f>
        <v>170600.27636504997</v>
      </c>
      <c r="CS57" s="43">
        <f t="shared" si="100"/>
        <v>208632.28530599433</v>
      </c>
      <c r="CT57" s="43">
        <f t="shared" si="100"/>
        <v>248167.37899079456</v>
      </c>
      <c r="CU57" s="43">
        <f t="shared" si="100"/>
        <v>288746.94335082319</v>
      </c>
      <c r="CV57" s="43">
        <f t="shared" si="100"/>
        <v>330873.39634416031</v>
      </c>
      <c r="CW57" s="43">
        <f t="shared" si="100"/>
        <v>379475.44912808004</v>
      </c>
      <c r="CX57" s="43">
        <f t="shared" si="100"/>
        <v>433728.61520093714</v>
      </c>
      <c r="CY57" s="43">
        <f t="shared" si="100"/>
        <v>493251.31461953546</v>
      </c>
      <c r="CZ57" s="43">
        <f t="shared" si="100"/>
        <v>561950.21881118231</v>
      </c>
    </row>
    <row r="58" spans="2:154">
      <c r="B58" s="1" t="s">
        <v>264</v>
      </c>
      <c r="C58" s="1">
        <v>467</v>
      </c>
      <c r="D58" s="1">
        <v>371</v>
      </c>
      <c r="E58" s="1">
        <v>428</v>
      </c>
      <c r="F58" s="1">
        <v>595</v>
      </c>
      <c r="G58" s="1">
        <v>551</v>
      </c>
      <c r="H58" s="1">
        <v>594</v>
      </c>
      <c r="I58" s="1">
        <v>547</v>
      </c>
      <c r="J58" s="1">
        <v>599</v>
      </c>
      <c r="K58" s="1">
        <v>594</v>
      </c>
      <c r="L58" s="1">
        <v>580</v>
      </c>
      <c r="M58" s="1">
        <v>631</v>
      </c>
      <c r="N58" s="1">
        <v>784</v>
      </c>
      <c r="O58" s="1">
        <v>655</v>
      </c>
      <c r="P58" s="1">
        <v>657</v>
      </c>
      <c r="Q58" s="1">
        <v>647</v>
      </c>
      <c r="R58" s="1">
        <v>957</v>
      </c>
      <c r="S58" s="1">
        <v>354</v>
      </c>
      <c r="T58" s="1">
        <v>927</v>
      </c>
      <c r="U58" s="1">
        <v>612</v>
      </c>
      <c r="V58" s="1">
        <v>846</v>
      </c>
      <c r="W58" s="1">
        <v>822</v>
      </c>
      <c r="X58" s="1">
        <v>984</v>
      </c>
      <c r="Y58" s="1">
        <v>933</v>
      </c>
      <c r="Z58" s="1">
        <v>900</v>
      </c>
      <c r="AA58" s="1">
        <v>1089</v>
      </c>
      <c r="AB58" s="1">
        <v>1025</v>
      </c>
      <c r="AC58" s="1">
        <v>912</v>
      </c>
      <c r="AD58" s="1">
        <v>277</v>
      </c>
      <c r="AE58" s="1">
        <v>922</v>
      </c>
      <c r="AF58" s="1">
        <v>1242</v>
      </c>
      <c r="AG58" s="1">
        <v>984</v>
      </c>
      <c r="AH58" s="1">
        <v>1524</v>
      </c>
      <c r="AI58" s="1">
        <v>1393</v>
      </c>
      <c r="AJ58" s="1">
        <v>853</v>
      </c>
      <c r="AK58" s="1">
        <v>1247</v>
      </c>
      <c r="AL58" s="1">
        <v>11038</v>
      </c>
      <c r="AM58" s="1">
        <v>1142</v>
      </c>
      <c r="AN58" s="1">
        <v>1020</v>
      </c>
      <c r="AO58" s="1">
        <v>891</v>
      </c>
      <c r="AP58" s="1">
        <v>1124</v>
      </c>
      <c r="AQ58" s="1">
        <v>1489</v>
      </c>
      <c r="AR58" s="1">
        <v>2200</v>
      </c>
      <c r="AS58" s="1">
        <v>1560</v>
      </c>
      <c r="AT58" s="1">
        <v>33</v>
      </c>
      <c r="AU58" s="1">
        <v>921</v>
      </c>
      <c r="AV58" s="1">
        <v>1318</v>
      </c>
      <c r="AW58" s="1">
        <v>2112</v>
      </c>
      <c r="AX58" s="1">
        <f>7813-SUM(AU58:AW58)</f>
        <v>3462</v>
      </c>
      <c r="AY58" s="1">
        <v>3353</v>
      </c>
      <c r="AZ58" s="1">
        <v>3460</v>
      </c>
      <c r="BA58" s="1">
        <v>4128</v>
      </c>
      <c r="BB58" s="1">
        <f>14701-SUM(AY58:BA58)</f>
        <v>3760</v>
      </c>
      <c r="BC58" s="1">
        <v>2498</v>
      </c>
      <c r="BD58" s="1">
        <v>3012</v>
      </c>
      <c r="BE58" s="1">
        <v>2323</v>
      </c>
      <c r="BF58" s="1">
        <f>11356-SUM(BC58:BE58)</f>
        <v>3523</v>
      </c>
      <c r="BG58" s="1">
        <v>3154</v>
      </c>
      <c r="BH58" s="1">
        <v>3535</v>
      </c>
      <c r="BI58" s="1">
        <v>1508</v>
      </c>
      <c r="BJ58" s="1">
        <f>11922-SUM(BG58:BI58)</f>
        <v>3725</v>
      </c>
      <c r="BK58" s="1">
        <v>4653</v>
      </c>
      <c r="BL58" s="1">
        <v>3932</v>
      </c>
      <c r="BM58" s="1">
        <v>5405</v>
      </c>
      <c r="BN58" s="1">
        <f>19697-SUM(BK58:BM58)</f>
        <v>5707</v>
      </c>
      <c r="BO58" s="1">
        <v>7249</v>
      </c>
      <c r="BP58" s="1">
        <v>5737</v>
      </c>
      <c r="BQ58" s="1">
        <v>9008</v>
      </c>
      <c r="CA58" s="1">
        <f t="shared" si="62"/>
        <v>1861</v>
      </c>
      <c r="CB58" s="1">
        <f t="shared" si="63"/>
        <v>2291</v>
      </c>
      <c r="CC58" s="1">
        <f t="shared" si="64"/>
        <v>2589</v>
      </c>
      <c r="CD58" s="1">
        <f t="shared" si="65"/>
        <v>2916</v>
      </c>
      <c r="CE58" s="1">
        <f t="shared" si="66"/>
        <v>2739</v>
      </c>
      <c r="CF58" s="1">
        <f t="shared" si="67"/>
        <v>3639</v>
      </c>
      <c r="CG58" s="1">
        <f t="shared" si="68"/>
        <v>3303</v>
      </c>
      <c r="CH58" s="1">
        <f t="shared" si="69"/>
        <v>4672</v>
      </c>
      <c r="CI58" s="1">
        <f t="shared" si="70"/>
        <v>14531</v>
      </c>
      <c r="CJ58" s="1">
        <f t="shared" si="71"/>
        <v>4177</v>
      </c>
      <c r="CK58" s="1">
        <f t="shared" si="72"/>
        <v>5282</v>
      </c>
      <c r="CL58" s="1">
        <f t="shared" si="73"/>
        <v>7813</v>
      </c>
      <c r="CM58" s="1">
        <f t="shared" si="74"/>
        <v>14701</v>
      </c>
      <c r="CN58" s="1">
        <f t="shared" si="75"/>
        <v>11356</v>
      </c>
      <c r="CO58" s="1">
        <f t="shared" si="76"/>
        <v>11922</v>
      </c>
      <c r="CP58" s="1">
        <f t="shared" si="77"/>
        <v>19697</v>
      </c>
      <c r="CQ58" s="43">
        <f t="shared" ref="CQ58:CZ58" si="101">CQ57*CQ69</f>
        <v>23953.163800440008</v>
      </c>
      <c r="CR58" s="43">
        <f t="shared" si="101"/>
        <v>30708.049745708995</v>
      </c>
      <c r="CS58" s="43">
        <f t="shared" si="101"/>
        <v>37553.811355078979</v>
      </c>
      <c r="CT58" s="43">
        <f t="shared" si="101"/>
        <v>44670.128218343016</v>
      </c>
      <c r="CU58" s="43">
        <f t="shared" si="101"/>
        <v>51974.449803148171</v>
      </c>
      <c r="CV58" s="43">
        <f t="shared" si="101"/>
        <v>59557.211341948852</v>
      </c>
      <c r="CW58" s="43">
        <f t="shared" si="101"/>
        <v>68305.580843054398</v>
      </c>
      <c r="CX58" s="43">
        <f t="shared" si="101"/>
        <v>78071.150736168682</v>
      </c>
      <c r="CY58" s="43">
        <f t="shared" si="101"/>
        <v>88785.236631516382</v>
      </c>
      <c r="CZ58" s="43">
        <f t="shared" si="101"/>
        <v>101151.03938601281</v>
      </c>
    </row>
    <row r="59" spans="2:154" s="2" customFormat="1" ht="15">
      <c r="B59" s="2" t="s">
        <v>265</v>
      </c>
      <c r="C59" s="2">
        <f t="shared" ref="C59:BM59" si="102">C57-C58</f>
        <v>1423</v>
      </c>
      <c r="D59" s="2">
        <f t="shared" si="102"/>
        <v>1485</v>
      </c>
      <c r="E59" s="2">
        <f t="shared" si="102"/>
        <v>1639</v>
      </c>
      <c r="F59" s="2">
        <f t="shared" si="102"/>
        <v>1973</v>
      </c>
      <c r="G59" s="2">
        <f t="shared" si="102"/>
        <v>1955</v>
      </c>
      <c r="H59" s="2">
        <f t="shared" si="102"/>
        <v>1840</v>
      </c>
      <c r="I59" s="2">
        <f t="shared" si="102"/>
        <v>2167</v>
      </c>
      <c r="J59" s="2">
        <f t="shared" si="102"/>
        <v>2543</v>
      </c>
      <c r="K59" s="2">
        <f t="shared" si="102"/>
        <v>1798</v>
      </c>
      <c r="L59" s="2">
        <f t="shared" si="102"/>
        <v>2505</v>
      </c>
      <c r="M59" s="2">
        <f t="shared" si="102"/>
        <v>2729</v>
      </c>
      <c r="N59" s="2">
        <f t="shared" si="102"/>
        <v>2705</v>
      </c>
      <c r="O59" s="2">
        <f t="shared" si="102"/>
        <v>2890</v>
      </c>
      <c r="P59" s="2">
        <f t="shared" si="102"/>
        <v>2833</v>
      </c>
      <c r="Q59" s="2">
        <f t="shared" si="102"/>
        <v>2158</v>
      </c>
      <c r="R59" s="2">
        <f t="shared" si="102"/>
        <v>3672</v>
      </c>
      <c r="S59" s="2">
        <f t="shared" si="102"/>
        <v>3528</v>
      </c>
      <c r="T59" s="2">
        <f t="shared" si="102"/>
        <v>2774</v>
      </c>
      <c r="U59" s="2">
        <f t="shared" si="102"/>
        <v>3163</v>
      </c>
      <c r="V59" s="2">
        <f t="shared" si="102"/>
        <v>3695</v>
      </c>
      <c r="W59" s="2">
        <f t="shared" si="102"/>
        <v>3650</v>
      </c>
      <c r="X59" s="2">
        <f t="shared" si="102"/>
        <v>3419</v>
      </c>
      <c r="Y59" s="2">
        <f t="shared" si="102"/>
        <v>2924</v>
      </c>
      <c r="Z59" s="2">
        <f t="shared" si="102"/>
        <v>3627</v>
      </c>
      <c r="AA59" s="2">
        <f t="shared" si="102"/>
        <v>3515</v>
      </c>
      <c r="AB59" s="2">
        <f t="shared" si="102"/>
        <v>3931</v>
      </c>
      <c r="AC59" s="2">
        <f t="shared" si="102"/>
        <v>3979</v>
      </c>
      <c r="AD59" s="2">
        <f t="shared" si="102"/>
        <v>4923</v>
      </c>
      <c r="AE59" s="2">
        <f t="shared" si="102"/>
        <v>4207</v>
      </c>
      <c r="AF59" s="2">
        <f t="shared" si="102"/>
        <v>4877</v>
      </c>
      <c r="AG59" s="2">
        <f t="shared" si="102"/>
        <v>5061</v>
      </c>
      <c r="AH59" s="2">
        <f t="shared" si="102"/>
        <v>5333</v>
      </c>
      <c r="AI59" s="2">
        <f t="shared" si="102"/>
        <v>5426</v>
      </c>
      <c r="AJ59" s="2">
        <f t="shared" si="102"/>
        <v>3524</v>
      </c>
      <c r="AK59" s="2">
        <f t="shared" si="102"/>
        <v>6732</v>
      </c>
      <c r="AL59" s="2">
        <f t="shared" si="102"/>
        <v>-3020</v>
      </c>
      <c r="AM59" s="2">
        <f t="shared" si="102"/>
        <v>9401</v>
      </c>
      <c r="AN59" s="2">
        <f t="shared" si="102"/>
        <v>3195</v>
      </c>
      <c r="AO59" s="2">
        <f t="shared" si="102"/>
        <v>9192</v>
      </c>
      <c r="AP59" s="2">
        <f t="shared" si="102"/>
        <v>8948</v>
      </c>
      <c r="AQ59" s="2">
        <f t="shared" si="102"/>
        <v>6657</v>
      </c>
      <c r="AR59" s="2">
        <f t="shared" si="102"/>
        <v>9947</v>
      </c>
      <c r="AS59" s="2">
        <f t="shared" si="102"/>
        <v>7068</v>
      </c>
      <c r="AT59" s="2">
        <f t="shared" si="102"/>
        <v>10671</v>
      </c>
      <c r="AU59" s="2">
        <f t="shared" si="102"/>
        <v>6836</v>
      </c>
      <c r="AV59" s="2">
        <f t="shared" si="102"/>
        <v>6959</v>
      </c>
      <c r="AW59" s="2">
        <f t="shared" si="102"/>
        <v>11247</v>
      </c>
      <c r="AX59" s="2">
        <f t="shared" si="102"/>
        <v>15227</v>
      </c>
      <c r="AY59" s="2">
        <f t="shared" si="102"/>
        <v>17930</v>
      </c>
      <c r="AZ59" s="2">
        <f t="shared" si="102"/>
        <v>18525</v>
      </c>
      <c r="BA59" s="2">
        <f t="shared" si="102"/>
        <v>18936</v>
      </c>
      <c r="BB59" s="2">
        <f t="shared" si="102"/>
        <v>20642</v>
      </c>
      <c r="BC59" s="2">
        <f t="shared" si="102"/>
        <v>16436</v>
      </c>
      <c r="BD59" s="2">
        <f t="shared" si="102"/>
        <v>16002</v>
      </c>
      <c r="BE59" s="2">
        <f t="shared" si="102"/>
        <v>13910</v>
      </c>
      <c r="BF59" s="2">
        <f t="shared" si="102"/>
        <v>13624</v>
      </c>
      <c r="BG59" s="2">
        <f t="shared" si="102"/>
        <v>15051</v>
      </c>
      <c r="BH59" s="2">
        <f t="shared" si="102"/>
        <v>18368</v>
      </c>
      <c r="BI59" s="2">
        <f t="shared" si="102"/>
        <v>19689</v>
      </c>
      <c r="BJ59" s="2">
        <f t="shared" si="102"/>
        <v>20687</v>
      </c>
      <c r="BK59" s="2">
        <f t="shared" si="102"/>
        <v>23662</v>
      </c>
      <c r="BL59" s="2">
        <f t="shared" si="102"/>
        <v>23619</v>
      </c>
      <c r="BM59" s="2">
        <f t="shared" si="102"/>
        <v>26301</v>
      </c>
      <c r="BN59" s="2">
        <f t="shared" ref="BN59" si="103">BN57-BN58</f>
        <v>26536</v>
      </c>
      <c r="BO59" s="2">
        <f>BO57-BO58</f>
        <v>34540</v>
      </c>
      <c r="BP59" s="2">
        <f>BP57-BP58</f>
        <v>28196</v>
      </c>
      <c r="BQ59" s="2">
        <f>BQ57-BQ58</f>
        <v>34979</v>
      </c>
      <c r="BR59" s="26">
        <v>29490</v>
      </c>
      <c r="BS59" s="26">
        <v>28340</v>
      </c>
      <c r="BT59" s="26">
        <v>29120</v>
      </c>
      <c r="BU59" s="26">
        <v>29980</v>
      </c>
      <c r="BV59" s="26">
        <v>32980</v>
      </c>
      <c r="BW59" s="26">
        <v>30680</v>
      </c>
      <c r="BX59" s="26"/>
      <c r="BY59" s="26"/>
      <c r="BZ59" s="26"/>
      <c r="CA59" s="2">
        <f t="shared" si="62"/>
        <v>6520</v>
      </c>
      <c r="CB59" s="2">
        <f t="shared" si="63"/>
        <v>8505</v>
      </c>
      <c r="CC59" s="2">
        <f t="shared" si="64"/>
        <v>9737</v>
      </c>
      <c r="CD59" s="2">
        <f t="shared" si="65"/>
        <v>11553</v>
      </c>
      <c r="CE59" s="2">
        <f t="shared" si="66"/>
        <v>13160</v>
      </c>
      <c r="CF59" s="2">
        <f t="shared" si="67"/>
        <v>13620</v>
      </c>
      <c r="CG59" s="2">
        <f t="shared" si="68"/>
        <v>16348</v>
      </c>
      <c r="CH59" s="2">
        <f t="shared" si="69"/>
        <v>19478</v>
      </c>
      <c r="CI59" s="2">
        <f t="shared" si="70"/>
        <v>12662</v>
      </c>
      <c r="CJ59" s="2">
        <f t="shared" si="71"/>
        <v>30736</v>
      </c>
      <c r="CK59" s="2">
        <f t="shared" si="72"/>
        <v>34343</v>
      </c>
      <c r="CL59" s="2">
        <f t="shared" si="73"/>
        <v>40269</v>
      </c>
      <c r="CM59" s="2">
        <f t="shared" si="74"/>
        <v>76033</v>
      </c>
      <c r="CN59" s="2">
        <f t="shared" si="75"/>
        <v>59972</v>
      </c>
      <c r="CO59" s="2">
        <f t="shared" si="76"/>
        <v>73795</v>
      </c>
      <c r="CP59" s="2">
        <f t="shared" si="77"/>
        <v>100118</v>
      </c>
      <c r="CQ59" s="44">
        <f>CQ57-CQ58</f>
        <v>118625.19215456003</v>
      </c>
      <c r="CR59" s="44">
        <f t="shared" ref="CR59:CZ59" si="104">CR57-CR58</f>
        <v>139892.22661934097</v>
      </c>
      <c r="CS59" s="44">
        <f t="shared" si="104"/>
        <v>171078.47395091536</v>
      </c>
      <c r="CT59" s="44">
        <f t="shared" si="104"/>
        <v>203497.25077245155</v>
      </c>
      <c r="CU59" s="44">
        <f t="shared" si="104"/>
        <v>236772.49354767503</v>
      </c>
      <c r="CV59" s="44">
        <f t="shared" si="104"/>
        <v>271316.18500221148</v>
      </c>
      <c r="CW59" s="44">
        <f t="shared" si="104"/>
        <v>311169.86828502564</v>
      </c>
      <c r="CX59" s="44">
        <f t="shared" si="104"/>
        <v>355657.46446476848</v>
      </c>
      <c r="CY59" s="44">
        <f t="shared" si="104"/>
        <v>404466.0779880191</v>
      </c>
      <c r="CZ59" s="44">
        <f t="shared" si="104"/>
        <v>460799.17942516948</v>
      </c>
      <c r="DA59" s="26">
        <f t="shared" ref="DA59:EF59" si="105">CZ59*(1+$CZ$75)</f>
        <v>473471.15685936168</v>
      </c>
      <c r="DB59" s="26">
        <f t="shared" si="105"/>
        <v>486491.61367299419</v>
      </c>
      <c r="DC59" s="26">
        <f t="shared" si="105"/>
        <v>499870.13304900157</v>
      </c>
      <c r="DD59" s="26">
        <f t="shared" si="105"/>
        <v>513616.56170784915</v>
      </c>
      <c r="DE59" s="26">
        <f t="shared" si="105"/>
        <v>527741.01715481502</v>
      </c>
      <c r="DF59" s="26">
        <f t="shared" si="105"/>
        <v>542253.89512657246</v>
      </c>
      <c r="DG59" s="26">
        <f t="shared" si="105"/>
        <v>557165.87724255328</v>
      </c>
      <c r="DH59" s="26">
        <f t="shared" si="105"/>
        <v>572487.93886672356</v>
      </c>
      <c r="DI59" s="26">
        <f t="shared" si="105"/>
        <v>588231.35718555853</v>
      </c>
      <c r="DJ59" s="26">
        <f t="shared" si="105"/>
        <v>604407.71950816142</v>
      </c>
      <c r="DK59" s="26">
        <f t="shared" si="105"/>
        <v>621028.93179463595</v>
      </c>
      <c r="DL59" s="26">
        <f t="shared" si="105"/>
        <v>638107.22741898848</v>
      </c>
      <c r="DM59" s="26">
        <f t="shared" si="105"/>
        <v>655655.17617301072</v>
      </c>
      <c r="DN59" s="26">
        <f t="shared" si="105"/>
        <v>673685.69351776852</v>
      </c>
      <c r="DO59" s="26">
        <f t="shared" si="105"/>
        <v>692212.05008950725</v>
      </c>
      <c r="DP59" s="26">
        <f t="shared" si="105"/>
        <v>711247.8814669688</v>
      </c>
      <c r="DQ59" s="26">
        <f t="shared" si="105"/>
        <v>730807.19820731052</v>
      </c>
      <c r="DR59" s="26">
        <f t="shared" si="105"/>
        <v>750904.39615801163</v>
      </c>
      <c r="DS59" s="26">
        <f t="shared" si="105"/>
        <v>771554.26705235697</v>
      </c>
      <c r="DT59" s="26">
        <f t="shared" si="105"/>
        <v>792772.00939629681</v>
      </c>
      <c r="DU59" s="26">
        <f t="shared" si="105"/>
        <v>814573.23965469503</v>
      </c>
      <c r="DV59" s="26">
        <f t="shared" si="105"/>
        <v>836974.00374519918</v>
      </c>
      <c r="DW59" s="26">
        <f t="shared" si="105"/>
        <v>859990.7888481922</v>
      </c>
      <c r="DX59" s="26">
        <f t="shared" si="105"/>
        <v>883640.53554151754</v>
      </c>
      <c r="DY59" s="26">
        <f t="shared" si="105"/>
        <v>907940.65026890929</v>
      </c>
      <c r="DZ59" s="26">
        <f t="shared" si="105"/>
        <v>932909.01815130434</v>
      </c>
      <c r="EA59" s="26">
        <f t="shared" si="105"/>
        <v>958564.01615046524</v>
      </c>
      <c r="EB59" s="26">
        <f t="shared" si="105"/>
        <v>984924.52659460308</v>
      </c>
      <c r="EC59" s="26">
        <f t="shared" si="105"/>
        <v>1012009.9510759547</v>
      </c>
      <c r="ED59" s="26">
        <f t="shared" si="105"/>
        <v>1039840.2247305436</v>
      </c>
      <c r="EE59" s="26">
        <f t="shared" si="105"/>
        <v>1068435.8309106336</v>
      </c>
      <c r="EF59" s="26">
        <f t="shared" si="105"/>
        <v>1097817.8162606761</v>
      </c>
      <c r="EG59" s="26">
        <f t="shared" ref="EG59:EX59" si="106">EF59*(1+$CZ$75)</f>
        <v>1128007.8062078448</v>
      </c>
      <c r="EH59" s="26">
        <f t="shared" si="106"/>
        <v>1159028.0208785606</v>
      </c>
      <c r="EI59" s="26">
        <f t="shared" si="106"/>
        <v>1190901.2914527212</v>
      </c>
      <c r="EJ59" s="26">
        <f t="shared" si="106"/>
        <v>1223651.076967671</v>
      </c>
      <c r="EK59" s="26">
        <f t="shared" si="106"/>
        <v>1257301.4815842821</v>
      </c>
      <c r="EL59" s="26">
        <f t="shared" si="106"/>
        <v>1291877.2723278499</v>
      </c>
      <c r="EM59" s="26">
        <f t="shared" si="106"/>
        <v>1327403.8973168659</v>
      </c>
      <c r="EN59" s="26">
        <f t="shared" si="106"/>
        <v>1363907.5044930798</v>
      </c>
      <c r="EO59" s="26">
        <f t="shared" si="106"/>
        <v>1401414.9608666396</v>
      </c>
      <c r="EP59" s="26">
        <f t="shared" si="106"/>
        <v>1439953.8722904723</v>
      </c>
      <c r="EQ59" s="26">
        <f t="shared" si="106"/>
        <v>1479552.6037784603</v>
      </c>
      <c r="ER59" s="26">
        <f t="shared" si="106"/>
        <v>1520240.300382368</v>
      </c>
      <c r="ES59" s="26">
        <f t="shared" si="106"/>
        <v>1562046.9086428832</v>
      </c>
      <c r="ET59" s="26">
        <f t="shared" si="106"/>
        <v>1605003.1986305625</v>
      </c>
      <c r="EU59" s="26">
        <f t="shared" si="106"/>
        <v>1649140.7865929031</v>
      </c>
      <c r="EV59" s="26">
        <f t="shared" si="106"/>
        <v>1694492.158224208</v>
      </c>
      <c r="EW59" s="26">
        <f t="shared" si="106"/>
        <v>1741090.6925753739</v>
      </c>
      <c r="EX59" s="26">
        <f t="shared" si="106"/>
        <v>1788970.6866211968</v>
      </c>
    </row>
    <row r="60" spans="2:154">
      <c r="B60" s="1" t="s">
        <v>75</v>
      </c>
      <c r="C60" s="1">
        <v>12610</v>
      </c>
      <c r="D60" s="1">
        <v>12636</v>
      </c>
      <c r="E60" s="1">
        <v>12660</v>
      </c>
      <c r="F60" s="1">
        <v>12649</v>
      </c>
      <c r="G60" s="1">
        <v>12716</v>
      </c>
      <c r="H60" s="1">
        <v>12734</v>
      </c>
      <c r="I60" s="1">
        <v>12745</v>
      </c>
      <c r="J60" s="1">
        <v>12748</v>
      </c>
      <c r="K60" s="1">
        <v>12861</v>
      </c>
      <c r="L60" s="1">
        <v>12889</v>
      </c>
      <c r="M60" s="1">
        <v>12926</v>
      </c>
      <c r="N60" s="1">
        <v>12911</v>
      </c>
      <c r="O60" s="1">
        <v>13012</v>
      </c>
      <c r="P60" s="1">
        <v>13051</v>
      </c>
      <c r="Q60" s="1">
        <v>13111</v>
      </c>
      <c r="R60" s="1">
        <v>13089</v>
      </c>
      <c r="S60" s="1">
        <v>13218</v>
      </c>
      <c r="T60" s="1">
        <v>13299</v>
      </c>
      <c r="U60" s="1">
        <v>13345</v>
      </c>
      <c r="V60" s="1">
        <v>13314</v>
      </c>
      <c r="W60" s="1">
        <v>13452</v>
      </c>
      <c r="X60" s="1">
        <v>13502</v>
      </c>
      <c r="Y60" s="1">
        <v>13542</v>
      </c>
      <c r="Z60" s="1">
        <v>13519</v>
      </c>
      <c r="AA60" s="1">
        <v>13618</v>
      </c>
      <c r="AB60" s="1">
        <v>13672</v>
      </c>
      <c r="AC60" s="1">
        <v>13729</v>
      </c>
      <c r="AD60" s="1">
        <v>13693</v>
      </c>
      <c r="AE60" s="1">
        <v>13750</v>
      </c>
      <c r="AF60" s="1">
        <v>13724</v>
      </c>
      <c r="AG60" s="1">
        <v>13751</v>
      </c>
      <c r="AH60" s="1">
        <v>13756</v>
      </c>
      <c r="AI60" s="1">
        <v>13831</v>
      </c>
      <c r="AJ60" s="1">
        <v>13839</v>
      </c>
      <c r="AK60" s="1">
        <v>13870</v>
      </c>
      <c r="AL60" s="1">
        <v>13858</v>
      </c>
      <c r="AM60" s="1">
        <v>13895</v>
      </c>
      <c r="AN60" s="1">
        <v>13899</v>
      </c>
      <c r="AO60" s="1">
        <v>13913</v>
      </c>
      <c r="AP60" s="1">
        <v>13903</v>
      </c>
      <c r="AQ60" s="1">
        <v>13897</v>
      </c>
      <c r="AR60" s="1">
        <v>13879</v>
      </c>
      <c r="AS60" s="1">
        <v>13855</v>
      </c>
      <c r="AT60" s="1">
        <v>13852</v>
      </c>
      <c r="AU60" s="1">
        <v>13729</v>
      </c>
      <c r="AV60" s="1">
        <v>13635</v>
      </c>
      <c r="AW60" s="1">
        <v>13589</v>
      </c>
      <c r="AX60" s="1">
        <v>13616</v>
      </c>
      <c r="AY60" s="1">
        <v>13464</v>
      </c>
      <c r="AZ60" s="1">
        <v>13379</v>
      </c>
      <c r="BA60" s="1">
        <v>13315</v>
      </c>
      <c r="BB60" s="1">
        <v>13353</v>
      </c>
      <c r="BC60" s="1">
        <v>13203</v>
      </c>
      <c r="BD60" s="1">
        <v>13133</v>
      </c>
      <c r="BE60" s="1">
        <v>13018</v>
      </c>
      <c r="BF60" s="1">
        <v>13063</v>
      </c>
      <c r="BG60" s="1">
        <v>12781</v>
      </c>
      <c r="BH60" s="1">
        <v>12668</v>
      </c>
      <c r="BI60" s="1">
        <v>12581</v>
      </c>
      <c r="BJ60" s="1">
        <v>12488</v>
      </c>
      <c r="BK60" s="1">
        <v>12415</v>
      </c>
      <c r="BL60" s="1">
        <v>12343</v>
      </c>
      <c r="BM60" s="1">
        <v>12290</v>
      </c>
      <c r="BN60" s="1">
        <v>12228</v>
      </c>
      <c r="BO60" s="1">
        <v>12183</v>
      </c>
      <c r="BP60" s="1">
        <v>12122</v>
      </c>
      <c r="BQ60" s="1">
        <v>12122</v>
      </c>
      <c r="CA60" s="1">
        <f>AVERAGE(C60:F60)</f>
        <v>12638.75</v>
      </c>
      <c r="CB60" s="1">
        <f>AVERAGE(G60:J60)</f>
        <v>12735.75</v>
      </c>
      <c r="CC60" s="1">
        <f>AVERAGE(K60:N60)</f>
        <v>12896.75</v>
      </c>
      <c r="CD60" s="1">
        <f>AVERAGE(O60:R60)</f>
        <v>13065.75</v>
      </c>
      <c r="CE60" s="1">
        <f>AVERAGE(S60:V60)</f>
        <v>13294</v>
      </c>
      <c r="CF60" s="1">
        <f>AVERAGE(W60:Z60)</f>
        <v>13503.75</v>
      </c>
      <c r="CG60" s="1">
        <f>AVERAGE(AA60:AD60)</f>
        <v>13678</v>
      </c>
      <c r="CH60" s="1">
        <f>AVERAGE(AE60:AH60)</f>
        <v>13745.25</v>
      </c>
      <c r="CI60" s="1">
        <f>AVERAGE(AI60:AL60)</f>
        <v>13849.5</v>
      </c>
      <c r="CJ60" s="1">
        <f>AVERAGE(AM60:AP60)</f>
        <v>13902.5</v>
      </c>
      <c r="CK60" s="1">
        <f>AVERAGE(AQ60:AT60)</f>
        <v>13870.75</v>
      </c>
      <c r="CL60" s="1">
        <f>AVERAGE(AU60:AX60)</f>
        <v>13642.25</v>
      </c>
      <c r="CM60" s="1">
        <f>AVERAGE(AY60:BB60)</f>
        <v>13377.75</v>
      </c>
      <c r="CN60" s="1">
        <f>AVERAGE(BC60:BF60)</f>
        <v>13104.25</v>
      </c>
      <c r="CO60" s="1">
        <f>AVERAGE(BG60:BJ60)</f>
        <v>12629.5</v>
      </c>
      <c r="CP60" s="1">
        <f>AVERAGE(BK60:BN60)</f>
        <v>12319</v>
      </c>
      <c r="CQ60" s="43">
        <f>CP60*(1-0.015)</f>
        <v>12134.215</v>
      </c>
      <c r="CR60" s="43">
        <f t="shared" ref="CR60:CZ60" si="107">CQ60*(1-0.015)</f>
        <v>11952.201775</v>
      </c>
      <c r="CS60" s="43">
        <f t="shared" si="107"/>
        <v>11772.918748374999</v>
      </c>
      <c r="CT60" s="43">
        <f t="shared" si="107"/>
        <v>11596.324967149374</v>
      </c>
      <c r="CU60" s="43">
        <f t="shared" si="107"/>
        <v>11422.380092642134</v>
      </c>
      <c r="CV60" s="43">
        <f t="shared" si="107"/>
        <v>11251.044391252501</v>
      </c>
      <c r="CW60" s="43">
        <f t="shared" si="107"/>
        <v>11082.278725383712</v>
      </c>
      <c r="CX60" s="43">
        <f t="shared" si="107"/>
        <v>10916.044544502956</v>
      </c>
      <c r="CY60" s="43">
        <f t="shared" si="107"/>
        <v>10752.303876335412</v>
      </c>
      <c r="CZ60" s="43">
        <f t="shared" si="107"/>
        <v>10591.019318190381</v>
      </c>
    </row>
    <row r="61" spans="2:154">
      <c r="B61" s="1" t="s">
        <v>266</v>
      </c>
      <c r="C61" s="30">
        <f t="shared" ref="C61:AT61" si="108">C59/C60</f>
        <v>0.11284694686756543</v>
      </c>
      <c r="D61" s="30">
        <f t="shared" si="108"/>
        <v>0.11752136752136752</v>
      </c>
      <c r="E61" s="30">
        <f t="shared" si="108"/>
        <v>0.12946287519747235</v>
      </c>
      <c r="F61" s="30">
        <f t="shared" si="108"/>
        <v>0.15598070993754448</v>
      </c>
      <c r="G61" s="30">
        <f t="shared" si="108"/>
        <v>0.15374331550802139</v>
      </c>
      <c r="H61" s="30">
        <f t="shared" si="108"/>
        <v>0.14449505261504633</v>
      </c>
      <c r="I61" s="30">
        <f t="shared" si="108"/>
        <v>0.17002746174970576</v>
      </c>
      <c r="J61" s="30">
        <f t="shared" si="108"/>
        <v>0.19948227172889865</v>
      </c>
      <c r="K61" s="30">
        <f t="shared" si="108"/>
        <v>0.13980250369333644</v>
      </c>
      <c r="L61" s="30">
        <f t="shared" si="108"/>
        <v>0.19435177282954458</v>
      </c>
      <c r="M61" s="30">
        <f t="shared" si="108"/>
        <v>0.21112486461395635</v>
      </c>
      <c r="N61" s="30">
        <f t="shared" si="108"/>
        <v>0.20951126946015025</v>
      </c>
      <c r="O61" s="30">
        <f t="shared" si="108"/>
        <v>0.22210267445434984</v>
      </c>
      <c r="P61" s="30">
        <f t="shared" si="108"/>
        <v>0.21707148877480653</v>
      </c>
      <c r="Q61" s="30">
        <f t="shared" si="108"/>
        <v>0.16459461520860347</v>
      </c>
      <c r="R61" s="30">
        <f t="shared" si="108"/>
        <v>0.2805409122163649</v>
      </c>
      <c r="S61" s="30">
        <f t="shared" si="108"/>
        <v>0.26690876078075354</v>
      </c>
      <c r="T61" s="30">
        <f t="shared" si="108"/>
        <v>0.20858711181291825</v>
      </c>
      <c r="U61" s="30">
        <f t="shared" si="108"/>
        <v>0.23701760959160734</v>
      </c>
      <c r="V61" s="30">
        <f t="shared" si="108"/>
        <v>0.27752741475138953</v>
      </c>
      <c r="W61" s="30">
        <f t="shared" si="108"/>
        <v>0.27133511745465361</v>
      </c>
      <c r="X61" s="30">
        <f t="shared" si="108"/>
        <v>0.25322174492667754</v>
      </c>
      <c r="Y61" s="30">
        <f t="shared" si="108"/>
        <v>0.21592083887165855</v>
      </c>
      <c r="Z61" s="30">
        <f t="shared" si="108"/>
        <v>0.2682890746356979</v>
      </c>
      <c r="AA61" s="30">
        <f t="shared" si="108"/>
        <v>0.25811426053752384</v>
      </c>
      <c r="AB61" s="30">
        <f t="shared" si="108"/>
        <v>0.28752194265652431</v>
      </c>
      <c r="AC61" s="30">
        <f t="shared" si="108"/>
        <v>0.28982445917401123</v>
      </c>
      <c r="AD61" s="30">
        <f t="shared" si="108"/>
        <v>0.35952676550062074</v>
      </c>
      <c r="AE61" s="30">
        <f t="shared" si="108"/>
        <v>0.30596363636363638</v>
      </c>
      <c r="AF61" s="30">
        <f t="shared" si="108"/>
        <v>0.35536286796852229</v>
      </c>
      <c r="AG61" s="30">
        <f t="shared" si="108"/>
        <v>0.36804596029379683</v>
      </c>
      <c r="AH61" s="30">
        <f t="shared" si="108"/>
        <v>0.38768537365513228</v>
      </c>
      <c r="AI61" s="30">
        <f t="shared" si="108"/>
        <v>0.39230713614344587</v>
      </c>
      <c r="AJ61" s="30">
        <f t="shared" si="108"/>
        <v>0.25464267649396632</v>
      </c>
      <c r="AK61" s="30">
        <f t="shared" si="108"/>
        <v>0.48536409516943041</v>
      </c>
      <c r="AL61" s="30">
        <f t="shared" si="108"/>
        <v>-0.21792466445374514</v>
      </c>
      <c r="AM61" s="30">
        <f t="shared" si="108"/>
        <v>0.67657430730478585</v>
      </c>
      <c r="AN61" s="30">
        <f t="shared" si="108"/>
        <v>0.22987265270882798</v>
      </c>
      <c r="AO61" s="30">
        <f t="shared" si="108"/>
        <v>0.66067706461582687</v>
      </c>
      <c r="AP61" s="30">
        <f t="shared" si="108"/>
        <v>0.64360210026612963</v>
      </c>
      <c r="AQ61" s="30">
        <f t="shared" si="108"/>
        <v>0.47902424983809455</v>
      </c>
      <c r="AR61" s="30">
        <f t="shared" si="108"/>
        <v>0.71669428633186827</v>
      </c>
      <c r="AS61" s="30">
        <f t="shared" si="108"/>
        <v>0.51014074341393001</v>
      </c>
      <c r="AT61" s="30">
        <f t="shared" si="108"/>
        <v>0.77035807103667342</v>
      </c>
      <c r="AU61" s="30">
        <f t="shared" ref="AU61" si="109">AU59/AU60</f>
        <v>0.49792410226527789</v>
      </c>
      <c r="AV61" s="30">
        <f t="shared" ref="AV61" si="110">AV59/AV60</f>
        <v>0.51037770443711039</v>
      </c>
      <c r="AW61" s="30">
        <f t="shared" ref="AW61" si="111">AW59/AW60</f>
        <v>0.82765472073000224</v>
      </c>
      <c r="AX61" s="30">
        <f t="shared" ref="AX61" si="112">AX59/AX60</f>
        <v>1.1183166862514688</v>
      </c>
      <c r="AY61" s="30">
        <f t="shared" ref="AY61" si="113">AY59/AY60</f>
        <v>1.3316993464052287</v>
      </c>
      <c r="AZ61" s="30">
        <f t="shared" ref="AZ61" si="114">AZ59/AZ60</f>
        <v>1.3846326332311831</v>
      </c>
      <c r="BA61" s="30">
        <f t="shared" ref="BA61" si="115">BA59/BA60</f>
        <v>1.4221554637626737</v>
      </c>
      <c r="BB61" s="30">
        <f t="shared" ref="BB61" si="116">BB59/BB60</f>
        <v>1.545869841983075</v>
      </c>
      <c r="BC61" s="30">
        <f t="shared" ref="BC61" si="117">BC59/BC60</f>
        <v>1.2448685904718624</v>
      </c>
      <c r="BD61" s="30">
        <f t="shared" ref="BD61" si="118">BD59/BD60</f>
        <v>1.2184573212518084</v>
      </c>
      <c r="BE61" s="30">
        <f t="shared" ref="BE61" si="119">BE59/BE60</f>
        <v>1.0685205100629898</v>
      </c>
      <c r="BF61" s="30">
        <f t="shared" ref="BF61" si="120">BF59/BF60</f>
        <v>1.0429457245655669</v>
      </c>
      <c r="BG61" s="30">
        <f t="shared" ref="BG61" si="121">BG59/BG60</f>
        <v>1.1776073859635396</v>
      </c>
      <c r="BH61" s="30">
        <f t="shared" ref="BH61" si="122">BH59/BH60</f>
        <v>1.4499526365645721</v>
      </c>
      <c r="BI61" s="30">
        <f t="shared" ref="BI61" si="123">BI59/BI60</f>
        <v>1.5649789364915347</v>
      </c>
      <c r="BJ61" s="30">
        <f t="shared" ref="BJ61" si="124">BJ59/BJ60</f>
        <v>1.6565502882767458</v>
      </c>
      <c r="BK61" s="30">
        <f t="shared" ref="BK61" si="125">BK59/BK60</f>
        <v>1.9059202577527186</v>
      </c>
      <c r="BL61" s="30">
        <f t="shared" ref="BL61" si="126">BL59/BL60</f>
        <v>1.9135542412703557</v>
      </c>
      <c r="BM61" s="30">
        <f t="shared" ref="BM61" si="127">BM59/BM60</f>
        <v>2.1400325467860051</v>
      </c>
      <c r="BN61" s="30">
        <f t="shared" ref="BN61" si="128">BN59/BN60</f>
        <v>2.1701014066077855</v>
      </c>
      <c r="BO61" s="30">
        <f t="shared" ref="BO61:BP61" si="129">BO59/BO60</f>
        <v>2.8350980874989742</v>
      </c>
      <c r="BP61" s="30">
        <f t="shared" si="129"/>
        <v>2.3260188087774294</v>
      </c>
      <c r="BQ61" s="30">
        <f t="shared" ref="BQ61" si="130">BQ59/BQ60</f>
        <v>2.8855799373040751</v>
      </c>
      <c r="BR61" s="27">
        <v>2.4500000000000002</v>
      </c>
      <c r="BS61" s="27">
        <v>2.34</v>
      </c>
      <c r="BT61" s="27">
        <v>2.42</v>
      </c>
      <c r="BU61" s="37">
        <v>2.5</v>
      </c>
      <c r="BV61" s="27">
        <v>2.77</v>
      </c>
      <c r="BW61" s="27">
        <v>2.57</v>
      </c>
      <c r="CA61" s="30">
        <f>SUM(C61:F61)</f>
        <v>0.51581189952394979</v>
      </c>
      <c r="CB61" s="30">
        <f>SUM(G61:J61)</f>
        <v>0.66774810160167208</v>
      </c>
      <c r="CC61" s="30">
        <f>SUM(K61:N61)</f>
        <v>0.75479041059698759</v>
      </c>
      <c r="CD61" s="30">
        <f>SUM(O61:R61)</f>
        <v>0.88430969065412479</v>
      </c>
      <c r="CE61" s="30">
        <f>SUM(S61:V61)</f>
        <v>0.99004089693666864</v>
      </c>
      <c r="CF61" s="30">
        <f>SUM(W61:Z61)</f>
        <v>1.0087667758886876</v>
      </c>
      <c r="CG61" s="30">
        <f>SUM(AA61:AD61)</f>
        <v>1.1949874278686801</v>
      </c>
      <c r="CH61" s="30">
        <f>SUM(AE61:AH61)</f>
        <v>1.4170578382810877</v>
      </c>
      <c r="CI61" s="30">
        <f>SUM(AI61:AL61)</f>
        <v>0.91438924335309757</v>
      </c>
      <c r="CJ61" s="30">
        <f>SUM(AM61:AP61)</f>
        <v>2.2107261248955705</v>
      </c>
      <c r="CK61" s="30">
        <f>SUM(AQ61:AT61)</f>
        <v>2.4762173506205665</v>
      </c>
      <c r="CL61" s="30">
        <f>SUM(AU61:AX61)</f>
        <v>2.9542732136838596</v>
      </c>
      <c r="CM61" s="30">
        <f>SUM(AY61:BB61)</f>
        <v>5.6843572853821609</v>
      </c>
      <c r="CN61" s="30">
        <f>SUM(BC61:BF61)</f>
        <v>4.5747921463522276</v>
      </c>
      <c r="CO61" s="30">
        <f>SUM(BG61:BJ61)</f>
        <v>5.8490892472963925</v>
      </c>
      <c r="CP61" s="30">
        <f>SUM(BK61:BN61)</f>
        <v>8.1296084524168641</v>
      </c>
      <c r="CQ61" s="37">
        <f>CQ59/CQ60</f>
        <v>9.7760911731463498</v>
      </c>
      <c r="CR61" s="37">
        <f t="shared" ref="CR61:CZ61" si="131">CR59/CR60</f>
        <v>11.704305972473509</v>
      </c>
      <c r="CS61" s="37">
        <f t="shared" si="131"/>
        <v>14.531525920411971</v>
      </c>
      <c r="CT61" s="37">
        <f t="shared" si="131"/>
        <v>17.54842601849537</v>
      </c>
      <c r="CU61" s="37">
        <f t="shared" si="131"/>
        <v>20.72882285717273</v>
      </c>
      <c r="CV61" s="37">
        <f t="shared" si="131"/>
        <v>24.114755534442232</v>
      </c>
      <c r="CW61" s="37">
        <f t="shared" si="131"/>
        <v>28.078148546498653</v>
      </c>
      <c r="CX61" s="37">
        <f t="shared" si="131"/>
        <v>32.581166466920344</v>
      </c>
      <c r="CY61" s="37">
        <f t="shared" si="131"/>
        <v>37.61668965459603</v>
      </c>
      <c r="CZ61" s="37">
        <f t="shared" si="131"/>
        <v>43.508482571996971</v>
      </c>
    </row>
    <row r="63" spans="2:154">
      <c r="B63" s="29" t="s">
        <v>57</v>
      </c>
      <c r="C63" s="33">
        <f t="shared" ref="C63:AH63" si="132">C50/C48</f>
        <v>0.61844254855690683</v>
      </c>
      <c r="D63" s="33">
        <f t="shared" si="132"/>
        <v>0.61832337497736733</v>
      </c>
      <c r="E63" s="33">
        <f t="shared" si="132"/>
        <v>0.62556770395290162</v>
      </c>
      <c r="F63" s="33">
        <f t="shared" si="132"/>
        <v>0.639196883428229</v>
      </c>
      <c r="G63" s="33">
        <f t="shared" si="132"/>
        <v>0.63808118081180809</v>
      </c>
      <c r="H63" s="33">
        <f t="shared" si="132"/>
        <v>0.63826979472140766</v>
      </c>
      <c r="I63" s="33">
        <f t="shared" si="132"/>
        <v>0.64973922591270927</v>
      </c>
      <c r="J63" s="33">
        <f t="shared" si="132"/>
        <v>0.65094786729857823</v>
      </c>
      <c r="K63" s="33">
        <f t="shared" si="132"/>
        <v>0.65760932944606409</v>
      </c>
      <c r="L63" s="33">
        <f t="shared" si="132"/>
        <v>0.64857079547972529</v>
      </c>
      <c r="M63" s="33">
        <f t="shared" si="132"/>
        <v>0.65246913580246912</v>
      </c>
      <c r="N63" s="33">
        <f t="shared" si="132"/>
        <v>0.65022675736961455</v>
      </c>
      <c r="O63" s="33">
        <f t="shared" si="132"/>
        <v>0.64405824330671679</v>
      </c>
      <c r="P63" s="33">
        <f t="shared" si="132"/>
        <v>0.60387905479800119</v>
      </c>
      <c r="Q63" s="33">
        <f t="shared" si="132"/>
        <v>0.55239025856885149</v>
      </c>
      <c r="R63" s="33">
        <f t="shared" si="132"/>
        <v>0.73208207721482055</v>
      </c>
      <c r="S63" s="33">
        <f t="shared" si="132"/>
        <v>0.60342830669446379</v>
      </c>
      <c r="T63" s="33">
        <f t="shared" si="132"/>
        <v>0.60364690623331041</v>
      </c>
      <c r="U63" s="33">
        <f t="shared" si="132"/>
        <v>0.60673258688381559</v>
      </c>
      <c r="V63" s="33">
        <f t="shared" si="132"/>
        <v>0.60189724326733307</v>
      </c>
      <c r="W63" s="33">
        <f t="shared" si="132"/>
        <v>0.61342412451361872</v>
      </c>
      <c r="X63" s="33">
        <f t="shared" si="132"/>
        <v>0.61679724224381072</v>
      </c>
      <c r="Y63" s="33">
        <f t="shared" si="132"/>
        <v>0.59480723839496463</v>
      </c>
      <c r="Z63" s="33">
        <f t="shared" si="132"/>
        <v>0.61768767607578856</v>
      </c>
      <c r="AA63" s="33">
        <f t="shared" si="132"/>
        <v>0.63170703441882026</v>
      </c>
      <c r="AB63" s="33">
        <f t="shared" si="132"/>
        <v>0.62864556890618828</v>
      </c>
      <c r="AC63" s="33">
        <f t="shared" si="132"/>
        <v>0.62318607764390899</v>
      </c>
      <c r="AD63" s="33">
        <f t="shared" si="132"/>
        <v>0.61610952224670634</v>
      </c>
      <c r="AE63" s="33">
        <f t="shared" si="132"/>
        <v>0.62245149824751933</v>
      </c>
      <c r="AF63" s="33">
        <f t="shared" si="132"/>
        <v>0.62186046511627902</v>
      </c>
      <c r="AG63" s="33">
        <f t="shared" si="132"/>
        <v>0.61253396285243422</v>
      </c>
      <c r="AH63" s="33">
        <f t="shared" si="132"/>
        <v>0.59096838551258446</v>
      </c>
      <c r="AI63" s="33">
        <f t="shared" ref="AI63:BO63" si="133">AI50/AI48</f>
        <v>0.60424242424242425</v>
      </c>
      <c r="AJ63" s="33">
        <f t="shared" si="133"/>
        <v>0.60119184928873515</v>
      </c>
      <c r="AK63" s="33">
        <f t="shared" si="133"/>
        <v>0.59858850640933314</v>
      </c>
      <c r="AL63" s="33">
        <f t="shared" si="133"/>
        <v>0.55861151502026418</v>
      </c>
      <c r="AM63" s="33">
        <f t="shared" si="133"/>
        <v>0.56761702947408976</v>
      </c>
      <c r="AN63" s="33">
        <f t="shared" si="133"/>
        <v>0.57488440456869894</v>
      </c>
      <c r="AO63" s="33">
        <f t="shared" si="133"/>
        <v>0.57673384706579722</v>
      </c>
      <c r="AP63" s="33">
        <f t="shared" si="133"/>
        <v>0.54379264690905382</v>
      </c>
      <c r="AQ63" s="33">
        <f t="shared" si="133"/>
        <v>0.55937147417375277</v>
      </c>
      <c r="AR63" s="33">
        <f t="shared" si="133"/>
        <v>0.55587510271158591</v>
      </c>
      <c r="AS63" s="33">
        <f t="shared" si="133"/>
        <v>0.56621151139534309</v>
      </c>
      <c r="AT63" s="33">
        <f t="shared" si="133"/>
        <v>0.54378730330982095</v>
      </c>
      <c r="AU63" s="33">
        <f t="shared" si="133"/>
        <v>0.53881289632887097</v>
      </c>
      <c r="AV63" s="33">
        <f t="shared" si="133"/>
        <v>0.51554952085019712</v>
      </c>
      <c r="AW63" s="33">
        <f t="shared" si="133"/>
        <v>0.54265479825872265</v>
      </c>
      <c r="AX63" s="33">
        <f t="shared" si="133"/>
        <v>0.54163590987380927</v>
      </c>
      <c r="AY63" s="33">
        <f t="shared" si="133"/>
        <v>0.56425136493473627</v>
      </c>
      <c r="AZ63" s="33">
        <f t="shared" si="133"/>
        <v>0.57616354234001288</v>
      </c>
      <c r="BA63" s="33">
        <f t="shared" si="133"/>
        <v>0.57583156730857832</v>
      </c>
      <c r="BB63" s="33">
        <f t="shared" si="133"/>
        <v>0.56205774975107869</v>
      </c>
      <c r="BC63" s="33">
        <f t="shared" si="133"/>
        <v>0.5647909896928438</v>
      </c>
      <c r="BD63" s="33">
        <f t="shared" si="133"/>
        <v>0.56799885197675248</v>
      </c>
      <c r="BE63" s="33">
        <f t="shared" si="133"/>
        <v>0.54903606785156023</v>
      </c>
      <c r="BF63" s="33">
        <f t="shared" si="133"/>
        <v>0.53526719966337055</v>
      </c>
      <c r="BG63" s="33">
        <f t="shared" si="133"/>
        <v>0.56135096794531936</v>
      </c>
      <c r="BH63" s="33">
        <f t="shared" si="133"/>
        <v>0.5721945204010509</v>
      </c>
      <c r="BI63" s="33">
        <f t="shared" si="133"/>
        <v>0.56672708069836886</v>
      </c>
      <c r="BJ63" s="33">
        <f t="shared" si="133"/>
        <v>0.56465067778936395</v>
      </c>
      <c r="BK63" s="33">
        <f t="shared" si="133"/>
        <v>0.58142018152696207</v>
      </c>
      <c r="BL63" s="33">
        <f t="shared" si="133"/>
        <v>0.58099879634655782</v>
      </c>
      <c r="BM63" s="33">
        <f t="shared" si="133"/>
        <v>0.58678116644763678</v>
      </c>
      <c r="BN63" s="33">
        <f t="shared" si="133"/>
        <v>0.5790046543449191</v>
      </c>
      <c r="BO63" s="33">
        <f t="shared" si="133"/>
        <v>0.5970365937451515</v>
      </c>
      <c r="BP63" s="33">
        <f t="shared" ref="BP63:BQ63" si="134">BP50/BP48</f>
        <v>0.59514871199236741</v>
      </c>
      <c r="BQ63" s="33">
        <f t="shared" si="134"/>
        <v>0.59579270318331934</v>
      </c>
      <c r="CA63" s="33">
        <f t="shared" ref="CA63:CP63" si="135">CA50/CA48</f>
        <v>0.62606232294617559</v>
      </c>
      <c r="CB63" s="33">
        <f t="shared" si="135"/>
        <v>0.64472562327342176</v>
      </c>
      <c r="CC63" s="33">
        <f t="shared" si="135"/>
        <v>0.65207756232686975</v>
      </c>
      <c r="CD63" s="33">
        <f t="shared" si="135"/>
        <v>0.6269249983709464</v>
      </c>
      <c r="CE63" s="33">
        <f t="shared" si="135"/>
        <v>0.60386534339595455</v>
      </c>
      <c r="CF63" s="33">
        <f t="shared" si="135"/>
        <v>0.6107483219951213</v>
      </c>
      <c r="CG63" s="33">
        <f t="shared" si="135"/>
        <v>0.62442491565429592</v>
      </c>
      <c r="CH63" s="33">
        <f t="shared" si="135"/>
        <v>0.61075416518964909</v>
      </c>
      <c r="CI63" s="33">
        <f t="shared" si="135"/>
        <v>0.58880519597672631</v>
      </c>
      <c r="CJ63" s="33">
        <f t="shared" si="135"/>
        <v>0.5647607422945643</v>
      </c>
      <c r="CK63" s="33">
        <f t="shared" si="135"/>
        <v>0.5558054331910266</v>
      </c>
      <c r="CL63" s="33">
        <f t="shared" si="135"/>
        <v>0.53578374706207854</v>
      </c>
      <c r="CM63" s="33">
        <f t="shared" si="135"/>
        <v>0.5693980290098084</v>
      </c>
      <c r="CN63" s="33">
        <f t="shared" si="135"/>
        <v>0.55379442503783116</v>
      </c>
      <c r="CO63" s="33">
        <f t="shared" si="135"/>
        <v>0.56625047984020505</v>
      </c>
      <c r="CP63" s="33">
        <f t="shared" si="135"/>
        <v>0.58200435406179107</v>
      </c>
      <c r="CQ63" s="38">
        <v>0.59950000000000003</v>
      </c>
      <c r="CR63" s="38">
        <v>0.60299999999999998</v>
      </c>
      <c r="CS63" s="38">
        <v>0.61499999999999999</v>
      </c>
      <c r="CT63" s="38">
        <v>0.62</v>
      </c>
      <c r="CU63" s="38">
        <v>0.625</v>
      </c>
      <c r="CV63" s="38">
        <v>0.63</v>
      </c>
      <c r="CW63" s="38">
        <v>0.63500000000000001</v>
      </c>
      <c r="CX63" s="38">
        <v>0.64</v>
      </c>
      <c r="CY63" s="38">
        <v>0.64249999999999996</v>
      </c>
      <c r="CZ63" s="38">
        <v>0.64500000000000002</v>
      </c>
    </row>
    <row r="64" spans="2:154">
      <c r="B64" s="29" t="s">
        <v>58</v>
      </c>
      <c r="C64" s="33">
        <f t="shared" ref="C64:AH64" si="136">C51/C48</f>
        <v>0.11653657651116354</v>
      </c>
      <c r="D64" s="33">
        <f t="shared" si="136"/>
        <v>0.12819120043454643</v>
      </c>
      <c r="E64" s="33">
        <f t="shared" si="136"/>
        <v>0.12750210260723296</v>
      </c>
      <c r="F64" s="33">
        <f t="shared" si="136"/>
        <v>0.11012885825591849</v>
      </c>
      <c r="G64" s="33">
        <f t="shared" si="136"/>
        <v>0.1207380073800738</v>
      </c>
      <c r="H64" s="33">
        <f t="shared" si="136"/>
        <v>0.13167155425219942</v>
      </c>
      <c r="I64" s="33">
        <f t="shared" si="136"/>
        <v>0.13642602250892122</v>
      </c>
      <c r="J64" s="33">
        <f t="shared" si="136"/>
        <v>0.12464454976303317</v>
      </c>
      <c r="K64" s="33">
        <f t="shared" si="136"/>
        <v>0.14297376093294462</v>
      </c>
      <c r="L64" s="33">
        <f t="shared" si="136"/>
        <v>0.13671615333481055</v>
      </c>
      <c r="M64" s="33">
        <f t="shared" si="136"/>
        <v>0.14444444444444443</v>
      </c>
      <c r="N64" s="33">
        <f t="shared" si="136"/>
        <v>0.1226379440665155</v>
      </c>
      <c r="O64" s="33">
        <f t="shared" si="136"/>
        <v>0.13536871770784406</v>
      </c>
      <c r="P64" s="33">
        <f t="shared" si="136"/>
        <v>0.13026170915558566</v>
      </c>
      <c r="Q64" s="33">
        <f t="shared" si="136"/>
        <v>0.14123571858087794</v>
      </c>
      <c r="R64" s="33">
        <f t="shared" si="136"/>
        <v>0.1191286589516678</v>
      </c>
      <c r="S64" s="33">
        <f t="shared" si="136"/>
        <v>0.12485522353486217</v>
      </c>
      <c r="T64" s="33">
        <f t="shared" si="136"/>
        <v>0.1347371633478294</v>
      </c>
      <c r="U64" s="33">
        <f t="shared" si="136"/>
        <v>0.13239784789879308</v>
      </c>
      <c r="V64" s="33">
        <f t="shared" si="136"/>
        <v>0.12306614885083084</v>
      </c>
      <c r="W64" s="33">
        <f t="shared" si="136"/>
        <v>0.13787289234760053</v>
      </c>
      <c r="X64" s="33">
        <f t="shared" si="136"/>
        <v>0.14026950799122531</v>
      </c>
      <c r="Y64" s="33">
        <f t="shared" si="136"/>
        <v>0.16068510561036131</v>
      </c>
      <c r="Z64" s="33">
        <f t="shared" si="136"/>
        <v>0.15538860962271447</v>
      </c>
      <c r="AA64" s="33">
        <f t="shared" si="136"/>
        <v>0.15952022250550468</v>
      </c>
      <c r="AB64" s="33">
        <f t="shared" si="136"/>
        <v>0.1573306255993682</v>
      </c>
      <c r="AC64" s="33">
        <f t="shared" si="136"/>
        <v>0.17295850066934404</v>
      </c>
      <c r="AD64" s="33">
        <f t="shared" si="136"/>
        <v>0.16456467720005627</v>
      </c>
      <c r="AE64" s="33">
        <f t="shared" si="136"/>
        <v>0.16621414819568545</v>
      </c>
      <c r="AF64" s="33">
        <f t="shared" si="136"/>
        <v>0.15641860465116278</v>
      </c>
      <c r="AG64" s="33">
        <f t="shared" si="136"/>
        <v>0.16017103915193087</v>
      </c>
      <c r="AH64" s="33">
        <f t="shared" si="136"/>
        <v>0.13896562308164517</v>
      </c>
      <c r="AI64" s="33">
        <f t="shared" ref="AI64:BO64" si="137">AI51/AI48</f>
        <v>0.15927272727272726</v>
      </c>
      <c r="AJ64" s="33">
        <f t="shared" si="137"/>
        <v>0.160399846212995</v>
      </c>
      <c r="AK64" s="33">
        <f t="shared" si="137"/>
        <v>0.15141149359066686</v>
      </c>
      <c r="AL64" s="33">
        <f t="shared" si="137"/>
        <v>0.13321783250317112</v>
      </c>
      <c r="AM64" s="33">
        <f t="shared" si="137"/>
        <v>0.16178642522314263</v>
      </c>
      <c r="AN64" s="33">
        <f t="shared" si="137"/>
        <v>0.1565973604433965</v>
      </c>
      <c r="AO64" s="33">
        <f t="shared" si="137"/>
        <v>0.15506816834617665</v>
      </c>
      <c r="AP64" s="33">
        <f t="shared" si="137"/>
        <v>0.15363071595885527</v>
      </c>
      <c r="AQ64" s="33">
        <f t="shared" si="137"/>
        <v>0.16590990395993285</v>
      </c>
      <c r="AR64" s="33">
        <f t="shared" si="137"/>
        <v>0.15953677074774034</v>
      </c>
      <c r="AS64" s="33">
        <f t="shared" si="137"/>
        <v>0.16183115632484751</v>
      </c>
      <c r="AT64" s="33">
        <f t="shared" si="137"/>
        <v>0.15674443841562669</v>
      </c>
      <c r="AU64" s="33">
        <f t="shared" si="137"/>
        <v>0.16569887509414707</v>
      </c>
      <c r="AV64" s="33">
        <f t="shared" si="137"/>
        <v>0.17951797790949683</v>
      </c>
      <c r="AW64" s="33">
        <f t="shared" si="137"/>
        <v>0.14848504537283694</v>
      </c>
      <c r="AX64" s="33">
        <f t="shared" si="137"/>
        <v>0.12341382825406869</v>
      </c>
      <c r="AY64" s="33">
        <f t="shared" si="137"/>
        <v>0.13531836424774921</v>
      </c>
      <c r="AZ64" s="33">
        <f t="shared" si="137"/>
        <v>0.12403038138332256</v>
      </c>
      <c r="BA64" s="33">
        <f t="shared" si="137"/>
        <v>0.11815473448201726</v>
      </c>
      <c r="BB64" s="33">
        <f t="shared" si="137"/>
        <v>0.11560570859608364</v>
      </c>
      <c r="BC64" s="33">
        <f t="shared" si="137"/>
        <v>0.13408125156224729</v>
      </c>
      <c r="BD64" s="33">
        <f t="shared" si="137"/>
        <v>0.14122120972949703</v>
      </c>
      <c r="BE64" s="33">
        <f t="shared" si="137"/>
        <v>0.14868581022404909</v>
      </c>
      <c r="BF64" s="33">
        <f t="shared" si="137"/>
        <v>0.13500683778666106</v>
      </c>
      <c r="BG64" s="33">
        <f t="shared" si="137"/>
        <v>0.16432859988249959</v>
      </c>
      <c r="BH64" s="33">
        <f t="shared" si="137"/>
        <v>0.14192268511071793</v>
      </c>
      <c r="BI64" s="33">
        <f t="shared" si="137"/>
        <v>0.14679305803658743</v>
      </c>
      <c r="BJ64" s="33">
        <f t="shared" si="137"/>
        <v>0.14034294983200093</v>
      </c>
      <c r="BK64" s="33">
        <f t="shared" si="137"/>
        <v>0.1477917530637331</v>
      </c>
      <c r="BL64" s="33">
        <f t="shared" si="137"/>
        <v>0.13995421396710014</v>
      </c>
      <c r="BM64" s="33">
        <f t="shared" si="137"/>
        <v>0.1410137309104092</v>
      </c>
      <c r="BN64" s="33">
        <f t="shared" si="137"/>
        <v>0.13596077496397807</v>
      </c>
      <c r="BO64" s="33">
        <f t="shared" si="137"/>
        <v>0.15023162001019572</v>
      </c>
      <c r="BP64" s="33">
        <f t="shared" ref="BP64:BQ64" si="138">BP51/BP48</f>
        <v>0.1431949226365786</v>
      </c>
      <c r="BQ64" s="33">
        <f t="shared" si="138"/>
        <v>0.14803705078850174</v>
      </c>
      <c r="CA64" s="33">
        <f t="shared" ref="CA64:CP64" si="139">CA51/CA48</f>
        <v>0.12020633377024227</v>
      </c>
      <c r="CB64" s="33">
        <f t="shared" si="139"/>
        <v>0.12830394597728589</v>
      </c>
      <c r="CC64" s="33">
        <f t="shared" si="139"/>
        <v>0.1361825616673262</v>
      </c>
      <c r="CD64" s="33">
        <f t="shared" si="139"/>
        <v>0.13212710962444885</v>
      </c>
      <c r="CE64" s="33">
        <f t="shared" si="139"/>
        <v>0.12855058628577604</v>
      </c>
      <c r="CF64" s="33">
        <f t="shared" si="139"/>
        <v>0.14896743988727443</v>
      </c>
      <c r="CG64" s="33">
        <f t="shared" si="139"/>
        <v>0.16378402165650963</v>
      </c>
      <c r="CH64" s="33">
        <f t="shared" si="139"/>
        <v>0.15451081176887629</v>
      </c>
      <c r="CI64" s="33">
        <f t="shared" si="139"/>
        <v>0.14997068242298497</v>
      </c>
      <c r="CJ64" s="33">
        <f t="shared" si="139"/>
        <v>0.15654989438601363</v>
      </c>
      <c r="CK64" s="33">
        <f t="shared" si="139"/>
        <v>0.16074683208016954</v>
      </c>
      <c r="CL64" s="33">
        <f t="shared" si="139"/>
        <v>0.15106258252203783</v>
      </c>
      <c r="CM64" s="33">
        <f t="shared" si="139"/>
        <v>0.12250569599863374</v>
      </c>
      <c r="CN64" s="33">
        <f t="shared" si="139"/>
        <v>0.13965690364734334</v>
      </c>
      <c r="CO64" s="33">
        <f t="shared" si="139"/>
        <v>0.14778102370247956</v>
      </c>
      <c r="CP64" s="33">
        <f t="shared" si="139"/>
        <v>0.14092418104211785</v>
      </c>
      <c r="CQ64" s="38">
        <v>0.14399999999999999</v>
      </c>
      <c r="CR64" s="38">
        <v>0.15</v>
      </c>
      <c r="CS64" s="38">
        <v>0.14749999999999999</v>
      </c>
      <c r="CT64" s="38">
        <v>0.14499999999999999</v>
      </c>
      <c r="CU64" s="38">
        <v>0.14249999999999999</v>
      </c>
      <c r="CV64" s="38">
        <v>0.14000000000000001</v>
      </c>
      <c r="CW64" s="38">
        <v>0.13500000000000001</v>
      </c>
      <c r="CX64" s="38">
        <v>0.13</v>
      </c>
      <c r="CY64" s="38">
        <v>0.125</v>
      </c>
      <c r="CZ64" s="38">
        <v>0.12</v>
      </c>
    </row>
    <row r="65" spans="2:104">
      <c r="B65" s="28" t="s">
        <v>2615</v>
      </c>
      <c r="C65" s="33">
        <f t="shared" ref="C65:AH65" si="140">C52/C48</f>
        <v>7.8780177890724265E-2</v>
      </c>
      <c r="D65" s="33">
        <f t="shared" si="140"/>
        <v>8.4917617237008872E-2</v>
      </c>
      <c r="E65" s="33">
        <f t="shared" si="140"/>
        <v>8.3767872161480239E-2</v>
      </c>
      <c r="F65" s="33">
        <f t="shared" si="140"/>
        <v>8.7353910698231951E-2</v>
      </c>
      <c r="G65" s="33">
        <f t="shared" si="140"/>
        <v>8.9594095940959406E-2</v>
      </c>
      <c r="H65" s="33">
        <f t="shared" si="140"/>
        <v>9.2228739002932547E-2</v>
      </c>
      <c r="I65" s="33">
        <f t="shared" si="140"/>
        <v>9.0721932473236344E-2</v>
      </c>
      <c r="J65" s="33">
        <f t="shared" si="140"/>
        <v>0.10687203791469194</v>
      </c>
      <c r="K65" s="33">
        <f t="shared" si="140"/>
        <v>0.17795918367346938</v>
      </c>
      <c r="L65" s="33">
        <f t="shared" si="140"/>
        <v>0.12087303345889652</v>
      </c>
      <c r="M65" s="33">
        <f t="shared" si="140"/>
        <v>0.12386831275720164</v>
      </c>
      <c r="N65" s="33">
        <f t="shared" si="140"/>
        <v>0.11980347694633409</v>
      </c>
      <c r="O65" s="33">
        <f t="shared" si="140"/>
        <v>0.11921089713480507</v>
      </c>
      <c r="P65" s="33">
        <f t="shared" si="140"/>
        <v>0.11967476920470907</v>
      </c>
      <c r="Q65" s="33">
        <f t="shared" si="140"/>
        <v>0.12853277209861697</v>
      </c>
      <c r="R65" s="33">
        <f t="shared" si="140"/>
        <v>0.10434698045317514</v>
      </c>
      <c r="S65" s="33">
        <f t="shared" si="140"/>
        <v>0.11080225465215042</v>
      </c>
      <c r="T65" s="33">
        <f t="shared" si="140"/>
        <v>0.12077515831235218</v>
      </c>
      <c r="U65" s="33">
        <f t="shared" si="140"/>
        <v>0.11836556638068925</v>
      </c>
      <c r="V65" s="33">
        <f t="shared" si="140"/>
        <v>0.12147450181447762</v>
      </c>
      <c r="W65" s="33">
        <f t="shared" si="140"/>
        <v>0.11212710765239949</v>
      </c>
      <c r="X65" s="33">
        <f t="shared" si="140"/>
        <v>0.12165465371356941</v>
      </c>
      <c r="Y65" s="33">
        <f t="shared" si="140"/>
        <v>0.12612721660715367</v>
      </c>
      <c r="Z65" s="33">
        <f t="shared" si="140"/>
        <v>0.13130420372313981</v>
      </c>
      <c r="AA65" s="33">
        <f t="shared" si="140"/>
        <v>0.11965465291459033</v>
      </c>
      <c r="AB65" s="33">
        <f t="shared" si="140"/>
        <v>0.1173351384893101</v>
      </c>
      <c r="AC65" s="33">
        <f t="shared" si="140"/>
        <v>0.11903614457831325</v>
      </c>
      <c r="AD65" s="33">
        <f t="shared" si="140"/>
        <v>0.1256036382390173</v>
      </c>
      <c r="AE65" s="33">
        <f t="shared" si="140"/>
        <v>0.11783580984351089</v>
      </c>
      <c r="AF65" s="33">
        <f t="shared" si="140"/>
        <v>0.11232558139534883</v>
      </c>
      <c r="AG65" s="33">
        <f t="shared" si="140"/>
        <v>0.11424880851632443</v>
      </c>
      <c r="AH65" s="33">
        <f t="shared" si="140"/>
        <v>0.11962860650705955</v>
      </c>
      <c r="AI65" s="33">
        <f t="shared" ref="AI65:BO65" si="141">AI52/AI48</f>
        <v>0.10682828282828283</v>
      </c>
      <c r="AJ65" s="33">
        <f t="shared" si="141"/>
        <v>0.21657054978854287</v>
      </c>
      <c r="AK65" s="33">
        <f t="shared" si="141"/>
        <v>0.10953478323491286</v>
      </c>
      <c r="AL65" s="33">
        <f t="shared" si="141"/>
        <v>0.13334158339263064</v>
      </c>
      <c r="AM65" s="33">
        <f t="shared" si="141"/>
        <v>0.11571309317408335</v>
      </c>
      <c r="AN65" s="33">
        <f t="shared" si="141"/>
        <v>0.27102918210490862</v>
      </c>
      <c r="AO65" s="33">
        <f t="shared" si="141"/>
        <v>0.11407824540604623</v>
      </c>
      <c r="AP65" s="33">
        <f t="shared" si="141"/>
        <v>0.12985029025358999</v>
      </c>
      <c r="AQ65" s="33">
        <f t="shared" si="141"/>
        <v>0.15415944302264784</v>
      </c>
      <c r="AR65" s="33">
        <f t="shared" si="141"/>
        <v>0.10815529991783072</v>
      </c>
      <c r="AS65" s="33">
        <f t="shared" si="141"/>
        <v>0.11380527914269488</v>
      </c>
      <c r="AT65" s="33">
        <f t="shared" si="141"/>
        <v>0.1245360824742268</v>
      </c>
      <c r="AU65" s="33">
        <f t="shared" si="141"/>
        <v>0.10933210233484779</v>
      </c>
      <c r="AV65" s="33">
        <f t="shared" si="141"/>
        <v>0.10186176462908322</v>
      </c>
      <c r="AW65" s="33">
        <f t="shared" si="141"/>
        <v>9.1633638706603432E-2</v>
      </c>
      <c r="AX65" s="33">
        <f t="shared" si="141"/>
        <v>9.3395198425252207E-2</v>
      </c>
      <c r="AY65" s="33">
        <f t="shared" si="141"/>
        <v>8.1642983693097582E-2</v>
      </c>
      <c r="AZ65" s="33">
        <f t="shared" si="141"/>
        <v>8.5261797026502911E-2</v>
      </c>
      <c r="BA65" s="33">
        <f t="shared" si="141"/>
        <v>8.4707761294880057E-2</v>
      </c>
      <c r="BB65" s="33">
        <f t="shared" si="141"/>
        <v>0.10094922004646532</v>
      </c>
      <c r="BC65" s="33">
        <f t="shared" si="141"/>
        <v>8.5647909896928442E-2</v>
      </c>
      <c r="BD65" s="33">
        <f t="shared" si="141"/>
        <v>9.514242663413934E-2</v>
      </c>
      <c r="BE65" s="33">
        <f t="shared" si="141"/>
        <v>0.10028657442250911</v>
      </c>
      <c r="BF65" s="33">
        <f t="shared" si="141"/>
        <v>9.4453503050704823E-2</v>
      </c>
      <c r="BG65" s="33">
        <f t="shared" si="141"/>
        <v>9.3613423703555104E-2</v>
      </c>
      <c r="BH65" s="33">
        <f t="shared" si="141"/>
        <v>9.0893249691705535E-2</v>
      </c>
      <c r="BI65" s="33">
        <f t="shared" si="141"/>
        <v>8.9760473576467215E-2</v>
      </c>
      <c r="BJ65" s="33">
        <f t="shared" si="141"/>
        <v>8.9433437608620089E-2</v>
      </c>
      <c r="BK65" s="33">
        <f t="shared" si="141"/>
        <v>7.9787432175716114E-2</v>
      </c>
      <c r="BL65" s="33">
        <f t="shared" si="141"/>
        <v>8.0149158622642852E-2</v>
      </c>
      <c r="BM65" s="33">
        <f t="shared" si="141"/>
        <v>8.1875651425205059E-2</v>
      </c>
      <c r="BN65" s="33">
        <f t="shared" si="141"/>
        <v>7.6325037058536938E-2</v>
      </c>
      <c r="BO65" s="33">
        <f t="shared" si="141"/>
        <v>6.8399937939136027E-2</v>
      </c>
      <c r="BP65" s="33">
        <f t="shared" ref="BP65:BQ65" si="142">BP52/BP48</f>
        <v>7.3640436387771194E-2</v>
      </c>
      <c r="BQ65" s="33">
        <f t="shared" si="142"/>
        <v>7.0398452308834736E-2</v>
      </c>
      <c r="CA65" s="33">
        <f t="shared" ref="CA65:CP65" si="143">CA52/CA48</f>
        <v>8.3886516426366756E-2</v>
      </c>
      <c r="CB65" s="33">
        <f t="shared" si="143"/>
        <v>9.5460591385014157E-2</v>
      </c>
      <c r="CC65" s="33">
        <f t="shared" si="143"/>
        <v>0.13425669436749768</v>
      </c>
      <c r="CD65" s="33">
        <f t="shared" si="143"/>
        <v>0.11870370772605834</v>
      </c>
      <c r="CE65" s="33">
        <f t="shared" si="143"/>
        <v>0.11804967668726021</v>
      </c>
      <c r="CF65" s="33">
        <f t="shared" si="143"/>
        <v>0.12319510310449841</v>
      </c>
      <c r="CG65" s="33">
        <f t="shared" si="143"/>
        <v>0.12064436117297203</v>
      </c>
      <c r="CH65" s="33">
        <f t="shared" si="143"/>
        <v>0.11614897199574618</v>
      </c>
      <c r="CI65" s="33">
        <f t="shared" si="143"/>
        <v>0.14098597266699742</v>
      </c>
      <c r="CJ65" s="33">
        <f t="shared" si="143"/>
        <v>0.1564402604901366</v>
      </c>
      <c r="CK65" s="33">
        <f t="shared" si="143"/>
        <v>0.12456056889723645</v>
      </c>
      <c r="CL65" s="33">
        <f t="shared" si="143"/>
        <v>9.8319700647027566E-2</v>
      </c>
      <c r="CM65" s="33">
        <f t="shared" si="143"/>
        <v>8.8931325857699015E-2</v>
      </c>
      <c r="CN65" s="33">
        <f t="shared" si="143"/>
        <v>9.3930758460733427E-2</v>
      </c>
      <c r="CO65" s="33">
        <f t="shared" si="143"/>
        <v>9.0818298340240869E-2</v>
      </c>
      <c r="CP65" s="33">
        <f t="shared" si="143"/>
        <v>7.94473427080893E-2</v>
      </c>
      <c r="CQ65" s="38">
        <v>7.0999999999999994E-2</v>
      </c>
      <c r="CR65" s="38">
        <v>7.0000000000000007E-2</v>
      </c>
      <c r="CS65" s="38">
        <v>6.9000000000000006E-2</v>
      </c>
      <c r="CT65" s="38">
        <v>6.7000000000000004E-2</v>
      </c>
      <c r="CU65" s="38">
        <v>6.5000000000000002E-2</v>
      </c>
      <c r="CV65" s="38">
        <v>6.4000000000000001E-2</v>
      </c>
      <c r="CW65" s="38">
        <v>6.3E-2</v>
      </c>
      <c r="CX65" s="38">
        <v>6.2E-2</v>
      </c>
      <c r="CY65" s="38">
        <v>6.0999999999999999E-2</v>
      </c>
      <c r="CZ65" s="38">
        <v>0.06</v>
      </c>
    </row>
    <row r="66" spans="2:104">
      <c r="B66" s="28" t="s">
        <v>2616</v>
      </c>
      <c r="C66" s="33">
        <f t="shared" ref="C66:AH66" si="144">C53/C48</f>
        <v>8.113995280450173E-2</v>
      </c>
      <c r="D66" s="33">
        <f t="shared" si="144"/>
        <v>6.5906210392902412E-2</v>
      </c>
      <c r="E66" s="33">
        <f t="shared" si="144"/>
        <v>6.5433137089991586E-2</v>
      </c>
      <c r="F66" s="33">
        <f t="shared" si="144"/>
        <v>7.0122864848666464E-2</v>
      </c>
      <c r="G66" s="33">
        <f t="shared" si="144"/>
        <v>6.051660516605166E-2</v>
      </c>
      <c r="H66" s="33">
        <f t="shared" si="144"/>
        <v>6.7595307917888564E-2</v>
      </c>
      <c r="I66" s="33">
        <f t="shared" si="144"/>
        <v>7.3016744441394457E-2</v>
      </c>
      <c r="J66" s="33">
        <f t="shared" si="144"/>
        <v>6.6232227488151663E-2</v>
      </c>
      <c r="K66" s="33">
        <f t="shared" si="144"/>
        <v>6.8921282798833819E-2</v>
      </c>
      <c r="L66" s="33">
        <f t="shared" si="144"/>
        <v>7.1792599157988038E-2</v>
      </c>
      <c r="M66" s="33">
        <f t="shared" si="144"/>
        <v>6.9547325102880656E-2</v>
      </c>
      <c r="N66" s="33">
        <f t="shared" si="144"/>
        <v>7.6436130007558584E-2</v>
      </c>
      <c r="O66" s="33">
        <f t="shared" si="144"/>
        <v>7.1113198684828557E-2</v>
      </c>
      <c r="P66" s="33">
        <f t="shared" si="144"/>
        <v>7.9783179469806051E-2</v>
      </c>
      <c r="Q66" s="33">
        <f t="shared" si="144"/>
        <v>7.6668671076368003E-2</v>
      </c>
      <c r="R66" s="33">
        <f t="shared" si="144"/>
        <v>7.4102888262180297E-2</v>
      </c>
      <c r="S66" s="33">
        <f t="shared" si="144"/>
        <v>7.837232646127712E-2</v>
      </c>
      <c r="T66" s="33">
        <f t="shared" si="144"/>
        <v>8.3772030212863349E-2</v>
      </c>
      <c r="U66" s="33">
        <f t="shared" si="144"/>
        <v>8.2521448305947362E-2</v>
      </c>
      <c r="V66" s="33">
        <f t="shared" si="144"/>
        <v>7.5380403641688423E-2</v>
      </c>
      <c r="W66" s="33">
        <f t="shared" si="144"/>
        <v>9.6562905317769135E-2</v>
      </c>
      <c r="X66" s="33">
        <f t="shared" si="144"/>
        <v>8.7997492948918829E-2</v>
      </c>
      <c r="Y66" s="33">
        <f t="shared" si="144"/>
        <v>8.2612116443745082E-2</v>
      </c>
      <c r="Z66" s="33">
        <f t="shared" si="144"/>
        <v>8.7996464674363367E-2</v>
      </c>
      <c r="AA66" s="33">
        <f t="shared" si="144"/>
        <v>9.4854560203963378E-2</v>
      </c>
      <c r="AB66" s="33">
        <f t="shared" si="144"/>
        <v>8.1796130196874831E-2</v>
      </c>
      <c r="AC66" s="33">
        <f t="shared" si="144"/>
        <v>7.90896921017403E-2</v>
      </c>
      <c r="AD66" s="33">
        <f t="shared" si="144"/>
        <v>7.3702470814384177E-2</v>
      </c>
      <c r="AE66" s="33">
        <f t="shared" si="144"/>
        <v>7.469023053759194E-2</v>
      </c>
      <c r="AF66" s="33">
        <f t="shared" si="144"/>
        <v>7.5534883720930229E-2</v>
      </c>
      <c r="AG66" s="33">
        <f t="shared" si="144"/>
        <v>8.1243597167164047E-2</v>
      </c>
      <c r="AH66" s="33">
        <f t="shared" si="144"/>
        <v>7.7655003069367706E-2</v>
      </c>
      <c r="AI66" s="33">
        <f t="shared" ref="AI66:BO66" si="145">AI53/AI48</f>
        <v>7.2767676767676773E-2</v>
      </c>
      <c r="AJ66" s="33">
        <f t="shared" si="145"/>
        <v>6.535947712418301E-2</v>
      </c>
      <c r="AK66" s="33">
        <f t="shared" si="145"/>
        <v>5.7431945844735703E-2</v>
      </c>
      <c r="AL66" s="33">
        <f t="shared" si="145"/>
        <v>5.3955387804349844E-2</v>
      </c>
      <c r="AM66" s="33">
        <f t="shared" si="145"/>
        <v>4.5045912797791049E-2</v>
      </c>
      <c r="AN66" s="33">
        <f t="shared" si="145"/>
        <v>5.4015984321891169E-2</v>
      </c>
      <c r="AO66" s="33">
        <f t="shared" si="145"/>
        <v>5.1956135151155901E-2</v>
      </c>
      <c r="AP66" s="33">
        <f t="shared" si="145"/>
        <v>5.0998064976066806E-2</v>
      </c>
      <c r="AQ66" s="33">
        <f t="shared" si="145"/>
        <v>5.7458928424007266E-2</v>
      </c>
      <c r="AR66" s="33">
        <f t="shared" si="145"/>
        <v>5.2459942481511916E-2</v>
      </c>
      <c r="AS66" s="33">
        <f t="shared" si="145"/>
        <v>6.3976888318230077E-2</v>
      </c>
      <c r="AT66" s="33">
        <f t="shared" si="145"/>
        <v>6.139989148128052E-2</v>
      </c>
      <c r="AU66" s="33">
        <f t="shared" si="145"/>
        <v>6.9972545494302582E-2</v>
      </c>
      <c r="AV66" s="33">
        <f t="shared" si="145"/>
        <v>6.7498759693970803E-2</v>
      </c>
      <c r="AW66" s="33">
        <f t="shared" si="145"/>
        <v>5.9688562579862693E-2</v>
      </c>
      <c r="AX66" s="33">
        <f t="shared" si="145"/>
        <v>4.975570318816127E-2</v>
      </c>
      <c r="AY66" s="33">
        <f t="shared" si="145"/>
        <v>5.0131973822178835E-2</v>
      </c>
      <c r="AZ66" s="33">
        <f t="shared" si="145"/>
        <v>5.3991596638655465E-2</v>
      </c>
      <c r="BA66" s="33">
        <f t="shared" si="145"/>
        <v>5.0001535673700054E-2</v>
      </c>
      <c r="BB66" s="33">
        <f t="shared" si="145"/>
        <v>5.4961832061068701E-2</v>
      </c>
      <c r="BC66" s="33">
        <f t="shared" si="145"/>
        <v>4.9609621972916143E-2</v>
      </c>
      <c r="BD66" s="33">
        <f t="shared" si="145"/>
        <v>5.2479012700007176E-2</v>
      </c>
      <c r="BE66" s="33">
        <f t="shared" si="145"/>
        <v>5.2061020089156487E-2</v>
      </c>
      <c r="BF66" s="33">
        <f t="shared" si="145"/>
        <v>6.7010309278350513E-2</v>
      </c>
      <c r="BG66" s="33">
        <f t="shared" si="145"/>
        <v>5.3863900153323686E-2</v>
      </c>
      <c r="BH66" s="33">
        <f t="shared" si="145"/>
        <v>4.6659696531017106E-2</v>
      </c>
      <c r="BI66" s="33">
        <f t="shared" si="145"/>
        <v>5.188217959918115E-2</v>
      </c>
      <c r="BJ66" s="33">
        <f t="shared" si="145"/>
        <v>6.0317460317460318E-2</v>
      </c>
      <c r="BK66" s="33">
        <f t="shared" si="145"/>
        <v>3.7571859595972139E-2</v>
      </c>
      <c r="BL66" s="33">
        <f t="shared" si="145"/>
        <v>3.7266054612824812E-2</v>
      </c>
      <c r="BM66" s="33">
        <f t="shared" si="145"/>
        <v>4.0773553269588071E-2</v>
      </c>
      <c r="BN66" s="33">
        <f t="shared" si="145"/>
        <v>4.5662337123842892E-2</v>
      </c>
      <c r="BO66" s="33">
        <f t="shared" si="145"/>
        <v>3.9220249573331561E-2</v>
      </c>
      <c r="BP66" s="33">
        <f t="shared" ref="BP66:BQ66" si="146">BP53/BP48</f>
        <v>5.401957937528519E-2</v>
      </c>
      <c r="BQ66" s="33">
        <f t="shared" si="146"/>
        <v>7.2235358489828622E-2</v>
      </c>
      <c r="CA66" s="33">
        <f t="shared" ref="CA66:CP66" si="147">CA53/CA48</f>
        <v>7.0525559172973665E-2</v>
      </c>
      <c r="CB66" s="33">
        <f t="shared" si="147"/>
        <v>6.6914498141263934E-2</v>
      </c>
      <c r="CC66" s="33">
        <f t="shared" si="147"/>
        <v>7.1863870201820335E-2</v>
      </c>
      <c r="CD66" s="33">
        <f t="shared" si="147"/>
        <v>7.5609809074914741E-2</v>
      </c>
      <c r="CE66" s="33">
        <f t="shared" si="147"/>
        <v>7.9828527170878433E-2</v>
      </c>
      <c r="CF66" s="33">
        <f t="shared" si="147"/>
        <v>8.8650171967091407E-2</v>
      </c>
      <c r="CG66" s="33">
        <f t="shared" si="147"/>
        <v>8.1825334382376089E-2</v>
      </c>
      <c r="CH66" s="33">
        <f t="shared" si="147"/>
        <v>7.7377259836937259E-2</v>
      </c>
      <c r="CI66" s="33">
        <f t="shared" si="147"/>
        <v>6.170222362545668E-2</v>
      </c>
      <c r="CJ66" s="33">
        <f t="shared" si="147"/>
        <v>5.0599697410447377E-2</v>
      </c>
      <c r="CK66" s="33">
        <f t="shared" si="147"/>
        <v>5.9008878207306451E-2</v>
      </c>
      <c r="CL66" s="33">
        <f t="shared" si="147"/>
        <v>6.0549946035381066E-2</v>
      </c>
      <c r="CM66" s="33">
        <f t="shared" si="147"/>
        <v>5.2438120301043716E-2</v>
      </c>
      <c r="CN66" s="33">
        <f t="shared" si="147"/>
        <v>5.5594054505084221E-2</v>
      </c>
      <c r="CO66" s="33">
        <f t="shared" si="147"/>
        <v>5.3433053345218189E-2</v>
      </c>
      <c r="CP66" s="33">
        <f t="shared" si="147"/>
        <v>4.0535058197007014E-2</v>
      </c>
      <c r="CQ66" s="38">
        <v>5.5E-2</v>
      </c>
      <c r="CR66" s="38">
        <v>4.7E-2</v>
      </c>
      <c r="CS66" s="38">
        <v>4.2999999999999997E-2</v>
      </c>
      <c r="CT66" s="38">
        <v>3.7999999999999999E-2</v>
      </c>
      <c r="CU66" s="38">
        <v>3.5000000000000003E-2</v>
      </c>
      <c r="CV66" s="38">
        <v>3.5000000000000003E-2</v>
      </c>
      <c r="CW66" s="38">
        <v>3.5000000000000003E-2</v>
      </c>
      <c r="CX66" s="38">
        <v>3.5000000000000003E-2</v>
      </c>
      <c r="CY66" s="38">
        <v>3.5000000000000003E-2</v>
      </c>
      <c r="CZ66" s="38">
        <v>3.5000000000000003E-2</v>
      </c>
    </row>
    <row r="67" spans="2:104">
      <c r="B67" s="29" t="s">
        <v>59</v>
      </c>
      <c r="C67" s="33">
        <f t="shared" ref="C67:AH67" si="148">C54/C48</f>
        <v>0.15992013069522598</v>
      </c>
      <c r="D67" s="33">
        <f t="shared" si="148"/>
        <v>0.15082382762991128</v>
      </c>
      <c r="E67" s="33">
        <f t="shared" si="148"/>
        <v>0.14920100925147184</v>
      </c>
      <c r="F67" s="33">
        <f t="shared" si="148"/>
        <v>0.1574767755468984</v>
      </c>
      <c r="G67" s="33">
        <f t="shared" si="148"/>
        <v>0.15011070110701108</v>
      </c>
      <c r="H67" s="33">
        <f t="shared" si="148"/>
        <v>0.15982404692082111</v>
      </c>
      <c r="I67" s="33">
        <f t="shared" si="148"/>
        <v>0.16373867691463079</v>
      </c>
      <c r="J67" s="33">
        <f t="shared" si="148"/>
        <v>0.1731042654028436</v>
      </c>
      <c r="K67" s="33">
        <f t="shared" si="148"/>
        <v>0.24688046647230322</v>
      </c>
      <c r="L67" s="33">
        <f t="shared" si="148"/>
        <v>0.19266563261688455</v>
      </c>
      <c r="M67" s="33">
        <f t="shared" si="148"/>
        <v>0.19341563786008231</v>
      </c>
      <c r="N67" s="33">
        <f t="shared" si="148"/>
        <v>0.19623960695389267</v>
      </c>
      <c r="O67" s="33">
        <f t="shared" si="148"/>
        <v>0.19032409581963364</v>
      </c>
      <c r="P67" s="33">
        <f t="shared" si="148"/>
        <v>0.19945794867451511</v>
      </c>
      <c r="Q67" s="33">
        <f t="shared" si="148"/>
        <v>0.20520144317498495</v>
      </c>
      <c r="R67" s="33">
        <f t="shared" si="148"/>
        <v>0.17844986871535545</v>
      </c>
      <c r="S67" s="33">
        <f t="shared" si="148"/>
        <v>0.18917458111342753</v>
      </c>
      <c r="T67" s="33">
        <f t="shared" si="148"/>
        <v>0.20454718852521553</v>
      </c>
      <c r="U67" s="33">
        <f t="shared" si="148"/>
        <v>0.20088701468663661</v>
      </c>
      <c r="V67" s="33">
        <f t="shared" si="148"/>
        <v>0.19685490545616605</v>
      </c>
      <c r="W67" s="33">
        <f t="shared" si="148"/>
        <v>0.20869001297016862</v>
      </c>
      <c r="X67" s="33">
        <f t="shared" si="148"/>
        <v>0.20965214666248824</v>
      </c>
      <c r="Y67" s="33">
        <f t="shared" si="148"/>
        <v>0.20873933305089876</v>
      </c>
      <c r="Z67" s="33">
        <f t="shared" si="148"/>
        <v>0.21930066839750317</v>
      </c>
      <c r="AA67" s="33">
        <f t="shared" si="148"/>
        <v>0.21450921311855373</v>
      </c>
      <c r="AB67" s="33">
        <f t="shared" si="148"/>
        <v>0.19913126868618491</v>
      </c>
      <c r="AC67" s="33">
        <f t="shared" si="148"/>
        <v>0.19812583668005354</v>
      </c>
      <c r="AD67" s="33">
        <f t="shared" si="148"/>
        <v>0.19930610905340146</v>
      </c>
      <c r="AE67" s="33">
        <f t="shared" si="148"/>
        <v>0.19252604038110283</v>
      </c>
      <c r="AF67" s="33">
        <f t="shared" si="148"/>
        <v>0.18786046511627907</v>
      </c>
      <c r="AG67" s="33">
        <f t="shared" si="148"/>
        <v>0.1954924056834885</v>
      </c>
      <c r="AH67" s="33">
        <f t="shared" si="148"/>
        <v>0.19728360957642727</v>
      </c>
      <c r="AI67" s="33">
        <f t="shared" ref="AI67:BO67" si="149">AI54/AI48</f>
        <v>0.17959595959595959</v>
      </c>
      <c r="AJ67" s="33">
        <f t="shared" si="149"/>
        <v>0.2819300269127259</v>
      </c>
      <c r="AK67" s="33">
        <f t="shared" si="149"/>
        <v>0.16696672907964857</v>
      </c>
      <c r="AL67" s="33">
        <f t="shared" si="149"/>
        <v>0.18729697119698047</v>
      </c>
      <c r="AM67" s="33">
        <f t="shared" si="149"/>
        <v>0.1607590059718744</v>
      </c>
      <c r="AN67" s="33">
        <f t="shared" si="149"/>
        <v>0.32504516642679976</v>
      </c>
      <c r="AO67" s="33">
        <f t="shared" si="149"/>
        <v>0.16603438055720213</v>
      </c>
      <c r="AP67" s="33">
        <f t="shared" si="149"/>
        <v>0.18084835522965678</v>
      </c>
      <c r="AQ67" s="33">
        <f t="shared" si="149"/>
        <v>0.2116183714466551</v>
      </c>
      <c r="AR67" s="33">
        <f t="shared" si="149"/>
        <v>0.16061524239934263</v>
      </c>
      <c r="AS67" s="33">
        <f t="shared" si="149"/>
        <v>0.17778216746092496</v>
      </c>
      <c r="AT67" s="33">
        <f t="shared" si="149"/>
        <v>0.18593597395550732</v>
      </c>
      <c r="AU67" s="33">
        <f t="shared" si="149"/>
        <v>0.17930464782915037</v>
      </c>
      <c r="AV67" s="33">
        <f t="shared" si="149"/>
        <v>0.16936052432305401</v>
      </c>
      <c r="AW67" s="33">
        <f t="shared" si="149"/>
        <v>0.15132220128646612</v>
      </c>
      <c r="AX67" s="33">
        <f t="shared" si="149"/>
        <v>0.14315090161341348</v>
      </c>
      <c r="AY67" s="33">
        <f t="shared" si="149"/>
        <v>0.13177495751527643</v>
      </c>
      <c r="AZ67" s="33">
        <f t="shared" si="149"/>
        <v>0.13925339366515838</v>
      </c>
      <c r="BA67" s="33">
        <f t="shared" si="149"/>
        <v>0.13470929696858011</v>
      </c>
      <c r="BB67" s="33">
        <f t="shared" si="149"/>
        <v>0.15591105210753403</v>
      </c>
      <c r="BC67" s="33">
        <f t="shared" si="149"/>
        <v>0.13525753186984457</v>
      </c>
      <c r="BD67" s="33">
        <f t="shared" si="149"/>
        <v>0.14762143933414651</v>
      </c>
      <c r="BE67" s="33">
        <f t="shared" si="149"/>
        <v>0.1523475945116656</v>
      </c>
      <c r="BF67" s="33">
        <f t="shared" si="149"/>
        <v>0.16146381232905532</v>
      </c>
      <c r="BG67" s="33">
        <f t="shared" si="149"/>
        <v>0.14747732385687878</v>
      </c>
      <c r="BH67" s="33">
        <f t="shared" si="149"/>
        <v>0.13755294622272266</v>
      </c>
      <c r="BI67" s="33">
        <f t="shared" si="149"/>
        <v>0.14164265317564836</v>
      </c>
      <c r="BJ67" s="33">
        <f t="shared" si="149"/>
        <v>0.1497508979260804</v>
      </c>
      <c r="BK67" s="33">
        <f t="shared" si="149"/>
        <v>0.11735929177168825</v>
      </c>
      <c r="BL67" s="33">
        <f t="shared" si="149"/>
        <v>0.11741521323546765</v>
      </c>
      <c r="BM67" s="33">
        <f t="shared" si="149"/>
        <v>0.12264920469479312</v>
      </c>
      <c r="BN67" s="33">
        <f t="shared" si="149"/>
        <v>0.12198737418237983</v>
      </c>
      <c r="BO67" s="33">
        <f t="shared" si="149"/>
        <v>0.10762018751246759</v>
      </c>
      <c r="BP67" s="33">
        <f t="shared" ref="BP67:BQ67" si="150">BP54/BP48</f>
        <v>0.12766001576305638</v>
      </c>
      <c r="BQ67" s="33">
        <f t="shared" si="150"/>
        <v>0.14263381079866336</v>
      </c>
      <c r="CA67" s="33">
        <f t="shared" ref="CA67:CZ67" si="151">CA54/CA48</f>
        <v>0.15441207559934042</v>
      </c>
      <c r="CB67" s="33">
        <f t="shared" si="151"/>
        <v>0.1623750895262781</v>
      </c>
      <c r="CC67" s="33">
        <f t="shared" si="151"/>
        <v>0.20612056456931804</v>
      </c>
      <c r="CD67" s="33">
        <f t="shared" si="151"/>
        <v>0.19431351680097309</v>
      </c>
      <c r="CE67" s="33">
        <f t="shared" si="151"/>
        <v>0.19787820385813865</v>
      </c>
      <c r="CF67" s="33">
        <f t="shared" si="151"/>
        <v>0.21184527507158982</v>
      </c>
      <c r="CG67" s="33">
        <f t="shared" si="151"/>
        <v>0.20246969555534811</v>
      </c>
      <c r="CH67" s="33">
        <f t="shared" si="151"/>
        <v>0.19352623183268344</v>
      </c>
      <c r="CI67" s="33">
        <f t="shared" si="151"/>
        <v>0.2026881962924541</v>
      </c>
      <c r="CJ67" s="33">
        <f t="shared" si="151"/>
        <v>0.20703995790058399</v>
      </c>
      <c r="CK67" s="33">
        <f t="shared" si="151"/>
        <v>0.1835694471045429</v>
      </c>
      <c r="CL67" s="33">
        <f t="shared" si="151"/>
        <v>0.15886964668240863</v>
      </c>
      <c r="CM67" s="33">
        <f t="shared" si="151"/>
        <v>0.14136944615874272</v>
      </c>
      <c r="CN67" s="33">
        <f t="shared" si="151"/>
        <v>0.14952481296581766</v>
      </c>
      <c r="CO67" s="33">
        <f t="shared" si="151"/>
        <v>0.14425135168545905</v>
      </c>
      <c r="CP67" s="33">
        <f t="shared" si="151"/>
        <v>0.11998240090509631</v>
      </c>
      <c r="CQ67" s="38">
        <v>0.123</v>
      </c>
      <c r="CR67" s="38">
        <v>0.11799999999999999</v>
      </c>
      <c r="CS67" s="38">
        <v>0.115</v>
      </c>
      <c r="CT67" s="38">
        <v>0.11</v>
      </c>
      <c r="CU67" s="38">
        <v>0.105</v>
      </c>
      <c r="CV67" s="38">
        <v>0.1</v>
      </c>
      <c r="CW67" s="38">
        <f t="shared" si="151"/>
        <v>9.799999999999999E-2</v>
      </c>
      <c r="CX67" s="38">
        <f t="shared" si="151"/>
        <v>9.7000000000000003E-2</v>
      </c>
      <c r="CY67" s="38">
        <f t="shared" si="151"/>
        <v>9.5999999999999988E-2</v>
      </c>
      <c r="CZ67" s="38">
        <f t="shared" si="151"/>
        <v>9.5000000000000001E-2</v>
      </c>
    </row>
    <row r="68" spans="2:104">
      <c r="B68" s="29" t="s">
        <v>60</v>
      </c>
      <c r="C68" s="33">
        <f t="shared" ref="C68:AH68" si="152">C55/C48</f>
        <v>0.34198584135051735</v>
      </c>
      <c r="D68" s="33">
        <f t="shared" si="152"/>
        <v>0.33930834691290968</v>
      </c>
      <c r="E68" s="33">
        <f t="shared" si="152"/>
        <v>0.34886459209419679</v>
      </c>
      <c r="F68" s="33">
        <f t="shared" si="152"/>
        <v>0.37159124962541207</v>
      </c>
      <c r="G68" s="33">
        <f t="shared" si="152"/>
        <v>0.36723247232472322</v>
      </c>
      <c r="H68" s="33">
        <f t="shared" si="152"/>
        <v>0.34677419354838712</v>
      </c>
      <c r="I68" s="33">
        <f t="shared" si="152"/>
        <v>0.34957452648915727</v>
      </c>
      <c r="J68" s="33">
        <f t="shared" si="152"/>
        <v>0.35319905213270142</v>
      </c>
      <c r="K68" s="33">
        <f t="shared" si="152"/>
        <v>0.26775510204081632</v>
      </c>
      <c r="L68" s="33">
        <f t="shared" si="152"/>
        <v>0.31918900952803014</v>
      </c>
      <c r="M68" s="33">
        <f t="shared" si="152"/>
        <v>0.31460905349794238</v>
      </c>
      <c r="N68" s="33">
        <f t="shared" si="152"/>
        <v>0.33134920634920634</v>
      </c>
      <c r="O68" s="33">
        <f t="shared" si="152"/>
        <v>0.3183654297792391</v>
      </c>
      <c r="P68" s="33">
        <f t="shared" si="152"/>
        <v>0.27415939696790037</v>
      </c>
      <c r="Q68" s="33">
        <f t="shared" si="152"/>
        <v>0.20595309681298857</v>
      </c>
      <c r="R68" s="33">
        <f t="shared" si="152"/>
        <v>0.43450354954779735</v>
      </c>
      <c r="S68" s="33">
        <f t="shared" si="152"/>
        <v>0.28939850204617407</v>
      </c>
      <c r="T68" s="33">
        <f t="shared" si="152"/>
        <v>0.26436255436026551</v>
      </c>
      <c r="U68" s="33">
        <f t="shared" si="152"/>
        <v>0.27344772429838593</v>
      </c>
      <c r="V68" s="33">
        <f t="shared" si="152"/>
        <v>0.28197618896033616</v>
      </c>
      <c r="W68" s="33">
        <f t="shared" si="152"/>
        <v>0.26686121919584954</v>
      </c>
      <c r="X68" s="33">
        <f t="shared" si="152"/>
        <v>0.26687558759009716</v>
      </c>
      <c r="Y68" s="33">
        <f t="shared" si="152"/>
        <v>0.22538279973370454</v>
      </c>
      <c r="Z68" s="33">
        <f t="shared" si="152"/>
        <v>0.24299839805557091</v>
      </c>
      <c r="AA68" s="33">
        <f t="shared" si="152"/>
        <v>0.25767759879476188</v>
      </c>
      <c r="AB68" s="33">
        <f t="shared" si="152"/>
        <v>0.2721836746206352</v>
      </c>
      <c r="AC68" s="33">
        <f t="shared" si="152"/>
        <v>0.25210174029451138</v>
      </c>
      <c r="AD68" s="33">
        <f t="shared" si="152"/>
        <v>0.25223873599324864</v>
      </c>
      <c r="AE68" s="33">
        <f t="shared" si="152"/>
        <v>0.26371130967073109</v>
      </c>
      <c r="AF68" s="33">
        <f t="shared" si="152"/>
        <v>0.27758139534883719</v>
      </c>
      <c r="AG68" s="33">
        <f t="shared" si="152"/>
        <v>0.25687051801701483</v>
      </c>
      <c r="AH68" s="33">
        <f t="shared" si="152"/>
        <v>0.25471915285451197</v>
      </c>
      <c r="AI68" s="33">
        <f t="shared" ref="AI68:BO68" si="153">AI55/AI48</f>
        <v>0.26537373737373737</v>
      </c>
      <c r="AJ68" s="33">
        <f t="shared" si="153"/>
        <v>0.15886197616301423</v>
      </c>
      <c r="AK68" s="33">
        <f t="shared" si="153"/>
        <v>0.28021028373901774</v>
      </c>
      <c r="AL68" s="33">
        <f t="shared" si="153"/>
        <v>0.23809671132011262</v>
      </c>
      <c r="AM68" s="33">
        <f t="shared" si="153"/>
        <v>0.24507159827907277</v>
      </c>
      <c r="AN68" s="33">
        <f t="shared" si="153"/>
        <v>9.3241877698502618E-2</v>
      </c>
      <c r="AO68" s="33">
        <f t="shared" si="153"/>
        <v>0.25563129816241847</v>
      </c>
      <c r="AP68" s="33">
        <f t="shared" si="153"/>
        <v>0.20931357572054179</v>
      </c>
      <c r="AQ68" s="33">
        <f t="shared" si="153"/>
        <v>0.18184319876716476</v>
      </c>
      <c r="AR68" s="33">
        <f t="shared" si="153"/>
        <v>0.23572308956450289</v>
      </c>
      <c r="AS68" s="33">
        <f t="shared" si="153"/>
        <v>0.22659818760957059</v>
      </c>
      <c r="AT68" s="33">
        <f t="shared" si="153"/>
        <v>0.20110689093868692</v>
      </c>
      <c r="AU68" s="33">
        <f t="shared" si="153"/>
        <v>0.1938093734055735</v>
      </c>
      <c r="AV68" s="33">
        <f t="shared" si="153"/>
        <v>0.1666710186176463</v>
      </c>
      <c r="AW68" s="33">
        <f t="shared" si="153"/>
        <v>0.24284755159941956</v>
      </c>
      <c r="AX68" s="33">
        <f t="shared" si="153"/>
        <v>0.27507118000632713</v>
      </c>
      <c r="AY68" s="33">
        <f t="shared" si="153"/>
        <v>0.29715804317171057</v>
      </c>
      <c r="AZ68" s="33">
        <f t="shared" si="153"/>
        <v>0.312879767291532</v>
      </c>
      <c r="BA68" s="33">
        <f t="shared" si="153"/>
        <v>0.32296753585798088</v>
      </c>
      <c r="BB68" s="33">
        <f t="shared" si="153"/>
        <v>0.29054098904746101</v>
      </c>
      <c r="BC68" s="33">
        <f t="shared" si="153"/>
        <v>0.29545220626075192</v>
      </c>
      <c r="BD68" s="33">
        <f t="shared" si="153"/>
        <v>0.279156202913109</v>
      </c>
      <c r="BE68" s="33">
        <f t="shared" si="153"/>
        <v>0.24800266311584554</v>
      </c>
      <c r="BF68" s="33">
        <f t="shared" si="153"/>
        <v>0.23879654954765411</v>
      </c>
      <c r="BG68" s="33">
        <f t="shared" si="153"/>
        <v>0.24954504420594092</v>
      </c>
      <c r="BH68" s="33">
        <f t="shared" si="153"/>
        <v>0.29271888906761029</v>
      </c>
      <c r="BI68" s="33">
        <f t="shared" si="153"/>
        <v>0.27829136948613303</v>
      </c>
      <c r="BJ68" s="33">
        <f t="shared" si="153"/>
        <v>0.27455683003128256</v>
      </c>
      <c r="BK68" s="33">
        <f t="shared" si="153"/>
        <v>0.31626913669154072</v>
      </c>
      <c r="BL68" s="33">
        <f t="shared" si="153"/>
        <v>0.32362936914398999</v>
      </c>
      <c r="BM68" s="33">
        <f t="shared" si="153"/>
        <v>0.32311823084243441</v>
      </c>
      <c r="BN68" s="33">
        <f t="shared" si="153"/>
        <v>0.32105650519856122</v>
      </c>
      <c r="BO68" s="33">
        <f t="shared" si="153"/>
        <v>0.33918478622248821</v>
      </c>
      <c r="BP68" s="33">
        <f t="shared" ref="BP68:BQ68" si="154">BP55/BP48</f>
        <v>0.32429377359273243</v>
      </c>
      <c r="BQ68" s="33">
        <f t="shared" si="154"/>
        <v>0.30512184159615424</v>
      </c>
      <c r="CA68" s="33">
        <f t="shared" ref="CA68:CZ68" si="155">CA55/CA48</f>
        <v>0.35144391357659294</v>
      </c>
      <c r="CB68" s="33">
        <f t="shared" si="155"/>
        <v>0.35404658776985776</v>
      </c>
      <c r="CC68" s="33">
        <f t="shared" si="155"/>
        <v>0.30977443609022559</v>
      </c>
      <c r="CD68" s="33">
        <f t="shared" si="155"/>
        <v>0.30048437194552446</v>
      </c>
      <c r="CE68" s="33">
        <f t="shared" si="155"/>
        <v>0.27743655325203986</v>
      </c>
      <c r="CF68" s="33">
        <f t="shared" si="155"/>
        <v>0.24993560703625703</v>
      </c>
      <c r="CG68" s="33">
        <f t="shared" si="155"/>
        <v>0.25817119844243824</v>
      </c>
      <c r="CH68" s="33">
        <f t="shared" si="155"/>
        <v>0.26271712158808935</v>
      </c>
      <c r="CI68" s="33">
        <f t="shared" si="155"/>
        <v>0.23614631726128726</v>
      </c>
      <c r="CJ68" s="33">
        <f t="shared" si="155"/>
        <v>0.20117089000796673</v>
      </c>
      <c r="CK68" s="33">
        <f t="shared" si="155"/>
        <v>0.21148915400631421</v>
      </c>
      <c r="CL68" s="33">
        <f t="shared" si="155"/>
        <v>0.22585151785763202</v>
      </c>
      <c r="CM68" s="33">
        <f t="shared" si="155"/>
        <v>0.3055228868524319</v>
      </c>
      <c r="CN68" s="33">
        <f t="shared" si="155"/>
        <v>0.26461270842467011</v>
      </c>
      <c r="CO68" s="33">
        <f t="shared" si="155"/>
        <v>0.27421810445226646</v>
      </c>
      <c r="CP68" s="33">
        <f t="shared" si="155"/>
        <v>0.32109777211457696</v>
      </c>
      <c r="CQ68" s="38">
        <f t="shared" si="155"/>
        <v>0.32950000000000007</v>
      </c>
      <c r="CR68" s="38">
        <f t="shared" si="155"/>
        <v>0.33599999999999997</v>
      </c>
      <c r="CS68" s="38">
        <f t="shared" si="155"/>
        <v>0.35549999999999998</v>
      </c>
      <c r="CT68" s="38">
        <f t="shared" si="155"/>
        <v>0.37000000000000005</v>
      </c>
      <c r="CU68" s="38">
        <f t="shared" si="155"/>
        <v>0.38249999999999995</v>
      </c>
      <c r="CV68" s="38">
        <f t="shared" si="155"/>
        <v>0.39099999999999996</v>
      </c>
      <c r="CW68" s="38">
        <f t="shared" si="155"/>
        <v>0.40200000000000002</v>
      </c>
      <c r="CX68" s="38">
        <f t="shared" si="155"/>
        <v>0.41300000000000003</v>
      </c>
      <c r="CY68" s="38">
        <f t="shared" si="155"/>
        <v>0.42150000000000004</v>
      </c>
      <c r="CZ68" s="38">
        <f t="shared" si="155"/>
        <v>0.4300000000000001</v>
      </c>
    </row>
    <row r="69" spans="2:104">
      <c r="B69" s="29" t="s">
        <v>61</v>
      </c>
      <c r="C69" s="33">
        <f t="shared" ref="C69:AH69" si="156">C58/C57</f>
        <v>0.24708994708994708</v>
      </c>
      <c r="D69" s="33">
        <f t="shared" si="156"/>
        <v>0.19989224137931033</v>
      </c>
      <c r="E69" s="33">
        <f t="shared" si="156"/>
        <v>0.20706337687469764</v>
      </c>
      <c r="F69" s="33">
        <f t="shared" si="156"/>
        <v>0.23169781931464176</v>
      </c>
      <c r="G69" s="33">
        <f t="shared" si="156"/>
        <v>0.21987230646448525</v>
      </c>
      <c r="H69" s="33">
        <f t="shared" si="156"/>
        <v>0.24404272801972063</v>
      </c>
      <c r="I69" s="33">
        <f t="shared" si="156"/>
        <v>0.20154753131908623</v>
      </c>
      <c r="J69" s="33">
        <f t="shared" si="156"/>
        <v>0.19064290260980268</v>
      </c>
      <c r="K69" s="33">
        <f t="shared" si="156"/>
        <v>0.24832775919732442</v>
      </c>
      <c r="L69" s="33">
        <f t="shared" si="156"/>
        <v>0.18800648298217179</v>
      </c>
      <c r="M69" s="33">
        <f t="shared" si="156"/>
        <v>0.18779761904761905</v>
      </c>
      <c r="N69" s="33">
        <f t="shared" si="156"/>
        <v>0.22470621954714817</v>
      </c>
      <c r="O69" s="33">
        <f t="shared" si="156"/>
        <v>0.18476727785613539</v>
      </c>
      <c r="P69" s="33">
        <f t="shared" si="156"/>
        <v>0.18825214899713466</v>
      </c>
      <c r="Q69" s="33">
        <f t="shared" si="156"/>
        <v>0.23065953654188948</v>
      </c>
      <c r="R69" s="33">
        <f t="shared" si="156"/>
        <v>0.2067401166558652</v>
      </c>
      <c r="S69" s="33">
        <f t="shared" si="156"/>
        <v>9.1190108191653782E-2</v>
      </c>
      <c r="T69" s="33">
        <f t="shared" si="156"/>
        <v>0.25047284517697921</v>
      </c>
      <c r="U69" s="33">
        <f t="shared" si="156"/>
        <v>0.16211920529801324</v>
      </c>
      <c r="V69" s="33">
        <f t="shared" si="156"/>
        <v>0.18630257652499449</v>
      </c>
      <c r="W69" s="33">
        <f t="shared" si="156"/>
        <v>0.1838103756708408</v>
      </c>
      <c r="X69" s="33">
        <f t="shared" si="156"/>
        <v>0.22348398818987053</v>
      </c>
      <c r="Y69" s="33">
        <f t="shared" si="156"/>
        <v>0.24189784806844697</v>
      </c>
      <c r="Z69" s="33">
        <f t="shared" si="156"/>
        <v>0.19880715705765409</v>
      </c>
      <c r="AA69" s="33">
        <f t="shared" si="156"/>
        <v>0.23653344917463076</v>
      </c>
      <c r="AB69" s="33">
        <f t="shared" si="156"/>
        <v>0.20682001614205003</v>
      </c>
      <c r="AC69" s="33">
        <f t="shared" si="156"/>
        <v>0.18646493559599264</v>
      </c>
      <c r="AD69" s="33">
        <f t="shared" si="156"/>
        <v>5.326923076923077E-2</v>
      </c>
      <c r="AE69" s="33">
        <f t="shared" si="156"/>
        <v>0.17976213686878534</v>
      </c>
      <c r="AF69" s="33">
        <f t="shared" si="156"/>
        <v>0.20297434221277988</v>
      </c>
      <c r="AG69" s="33">
        <f t="shared" si="156"/>
        <v>0.16277915632754342</v>
      </c>
      <c r="AH69" s="33">
        <f t="shared" si="156"/>
        <v>0.22225463030479803</v>
      </c>
      <c r="AI69" s="33">
        <f t="shared" ref="AI69:BO69" si="157">AI58/AI57</f>
        <v>0.20428215280832968</v>
      </c>
      <c r="AJ69" s="33">
        <f t="shared" si="157"/>
        <v>0.19488233950194198</v>
      </c>
      <c r="AK69" s="33">
        <f t="shared" si="157"/>
        <v>0.15628524877804237</v>
      </c>
      <c r="AL69" s="33">
        <f t="shared" si="157"/>
        <v>1.3766525318034422</v>
      </c>
      <c r="AM69" s="33">
        <f t="shared" si="157"/>
        <v>0.10831831546998008</v>
      </c>
      <c r="AN69" s="33">
        <f t="shared" si="157"/>
        <v>0.24199288256227758</v>
      </c>
      <c r="AO69" s="33">
        <f t="shared" si="157"/>
        <v>8.8366557572151144E-2</v>
      </c>
      <c r="AP69" s="33">
        <f t="shared" si="157"/>
        <v>0.11159650516282764</v>
      </c>
      <c r="AQ69" s="33">
        <f t="shared" si="157"/>
        <v>0.18278909894426712</v>
      </c>
      <c r="AR69" s="33">
        <f t="shared" si="157"/>
        <v>0.18111467852144564</v>
      </c>
      <c r="AS69" s="33">
        <f t="shared" si="157"/>
        <v>0.1808066759388039</v>
      </c>
      <c r="AT69" s="33">
        <f t="shared" si="157"/>
        <v>3.0829596412556052E-3</v>
      </c>
      <c r="AU69" s="33">
        <f t="shared" si="157"/>
        <v>0.11873146835116669</v>
      </c>
      <c r="AV69" s="33">
        <f t="shared" si="157"/>
        <v>0.15923643832306392</v>
      </c>
      <c r="AW69" s="33">
        <f t="shared" si="157"/>
        <v>0.15809566584325174</v>
      </c>
      <c r="AX69" s="33">
        <f t="shared" si="157"/>
        <v>0.18524265610787094</v>
      </c>
      <c r="AY69" s="33">
        <f t="shared" si="157"/>
        <v>0.15754357938260583</v>
      </c>
      <c r="AZ69" s="33">
        <f t="shared" si="157"/>
        <v>0.15738003183989083</v>
      </c>
      <c r="BA69" s="33">
        <f t="shared" si="157"/>
        <v>0.17898022892819979</v>
      </c>
      <c r="BB69" s="33">
        <f t="shared" si="157"/>
        <v>0.15408573067781328</v>
      </c>
      <c r="BC69" s="33">
        <f t="shared" si="157"/>
        <v>0.13193197422625963</v>
      </c>
      <c r="BD69" s="33">
        <f t="shared" si="157"/>
        <v>0.15840959293152415</v>
      </c>
      <c r="BE69" s="33">
        <f t="shared" si="157"/>
        <v>0.14310355448777182</v>
      </c>
      <c r="BF69" s="33">
        <f t="shared" si="157"/>
        <v>0.20545868081880211</v>
      </c>
      <c r="BG69" s="33">
        <f t="shared" si="157"/>
        <v>0.17324910738808019</v>
      </c>
      <c r="BH69" s="33">
        <f t="shared" si="157"/>
        <v>0.16139341642697347</v>
      </c>
      <c r="BI69" s="33">
        <f t="shared" si="157"/>
        <v>7.1142142756050381E-2</v>
      </c>
      <c r="BJ69" s="33">
        <f t="shared" si="157"/>
        <v>0.15258889070948714</v>
      </c>
      <c r="BK69" s="33">
        <f t="shared" si="157"/>
        <v>0.16432986049796927</v>
      </c>
      <c r="BL69" s="33">
        <f t="shared" si="157"/>
        <v>0.14271714275343908</v>
      </c>
      <c r="BM69" s="33">
        <f t="shared" si="157"/>
        <v>0.17047246577934777</v>
      </c>
      <c r="BN69" s="33">
        <f t="shared" si="157"/>
        <v>0.17699965884067859</v>
      </c>
      <c r="BO69" s="33">
        <f t="shared" si="157"/>
        <v>0.173466701763622</v>
      </c>
      <c r="BP69" s="33">
        <f t="shared" ref="BP69:BQ69" si="158">BP58/BP57</f>
        <v>0.16906845843279403</v>
      </c>
      <c r="BQ69" s="33">
        <f t="shared" si="158"/>
        <v>0.20478777820719757</v>
      </c>
      <c r="CA69" s="33">
        <f t="shared" ref="CA69:CP69" si="159">CA58/CA57</f>
        <v>0.22204987471662094</v>
      </c>
      <c r="CB69" s="33">
        <f t="shared" si="159"/>
        <v>0.21220822526861802</v>
      </c>
      <c r="CC69" s="33">
        <f t="shared" si="159"/>
        <v>0.2100438098328736</v>
      </c>
      <c r="CD69" s="33">
        <f t="shared" si="159"/>
        <v>0.20153431474186193</v>
      </c>
      <c r="CE69" s="33">
        <f t="shared" si="159"/>
        <v>0.17227498584816656</v>
      </c>
      <c r="CF69" s="33">
        <f t="shared" si="159"/>
        <v>0.21084651486181122</v>
      </c>
      <c r="CG69" s="33">
        <f t="shared" si="159"/>
        <v>0.16808304920869166</v>
      </c>
      <c r="CH69" s="33">
        <f t="shared" si="159"/>
        <v>0.19345755693581781</v>
      </c>
      <c r="CI69" s="33">
        <f t="shared" si="159"/>
        <v>0.53436546169970212</v>
      </c>
      <c r="CJ69" s="33">
        <f t="shared" si="159"/>
        <v>0.1196402486179933</v>
      </c>
      <c r="CK69" s="33">
        <f t="shared" si="159"/>
        <v>0.13329968454258675</v>
      </c>
      <c r="CL69" s="33">
        <f t="shared" si="159"/>
        <v>0.16249324071378063</v>
      </c>
      <c r="CM69" s="33">
        <f t="shared" si="159"/>
        <v>0.16202305640663919</v>
      </c>
      <c r="CN69" s="33">
        <f t="shared" si="159"/>
        <v>0.1592081650964558</v>
      </c>
      <c r="CO69" s="33">
        <f t="shared" si="159"/>
        <v>0.13908559562280529</v>
      </c>
      <c r="CP69" s="33">
        <f t="shared" si="159"/>
        <v>0.16439510912657013</v>
      </c>
      <c r="CQ69" s="38">
        <v>0.16800000000000001</v>
      </c>
      <c r="CR69" s="38">
        <v>0.18</v>
      </c>
      <c r="CS69" s="38">
        <v>0.18</v>
      </c>
      <c r="CT69" s="38">
        <v>0.18</v>
      </c>
      <c r="CU69" s="38">
        <v>0.18</v>
      </c>
      <c r="CV69" s="38">
        <v>0.18</v>
      </c>
      <c r="CW69" s="38">
        <v>0.18</v>
      </c>
      <c r="CX69" s="38">
        <v>0.18</v>
      </c>
      <c r="CY69" s="38">
        <v>0.18</v>
      </c>
      <c r="CZ69" s="38">
        <v>0.18</v>
      </c>
    </row>
    <row r="70" spans="2:104">
      <c r="B70" s="29" t="s">
        <v>62</v>
      </c>
      <c r="C70" s="33">
        <f t="shared" ref="C70:AH70" si="160">C59/C48</f>
        <v>0.25830459248502452</v>
      </c>
      <c r="D70" s="33">
        <f t="shared" si="160"/>
        <v>0.26887561108093427</v>
      </c>
      <c r="E70" s="33">
        <f t="shared" si="160"/>
        <v>0.27569386038687971</v>
      </c>
      <c r="F70" s="33">
        <f t="shared" si="160"/>
        <v>0.29562481270602337</v>
      </c>
      <c r="G70" s="33">
        <f t="shared" si="160"/>
        <v>0.28856088560885607</v>
      </c>
      <c r="H70" s="33">
        <f t="shared" si="160"/>
        <v>0.26979472140762462</v>
      </c>
      <c r="I70" s="33">
        <f t="shared" si="160"/>
        <v>0.29741970903101839</v>
      </c>
      <c r="J70" s="33">
        <f t="shared" si="160"/>
        <v>0.30130331753554501</v>
      </c>
      <c r="K70" s="33">
        <f t="shared" si="160"/>
        <v>0.20967930029154519</v>
      </c>
      <c r="L70" s="33">
        <f t="shared" si="160"/>
        <v>0.27753157544870377</v>
      </c>
      <c r="M70" s="33">
        <f t="shared" si="160"/>
        <v>0.280761316872428</v>
      </c>
      <c r="N70" s="33">
        <f t="shared" si="160"/>
        <v>0.25557445200302342</v>
      </c>
      <c r="O70" s="33">
        <f t="shared" si="160"/>
        <v>0.27148896195396899</v>
      </c>
      <c r="P70" s="33">
        <f t="shared" si="160"/>
        <v>0.23994240704666722</v>
      </c>
      <c r="Q70" s="33">
        <f t="shared" si="160"/>
        <v>0.1622068550811786</v>
      </c>
      <c r="R70" s="33">
        <f t="shared" si="160"/>
        <v>0.35709423320042788</v>
      </c>
      <c r="S70" s="33">
        <f t="shared" si="160"/>
        <v>0.27241139680333565</v>
      </c>
      <c r="T70" s="33">
        <f t="shared" si="160"/>
        <v>0.21164263370717937</v>
      </c>
      <c r="U70" s="33">
        <f t="shared" si="160"/>
        <v>0.22996946342882071</v>
      </c>
      <c r="V70" s="33">
        <f t="shared" si="160"/>
        <v>0.23524543197300565</v>
      </c>
      <c r="W70" s="33">
        <f t="shared" si="160"/>
        <v>0.23670557717250323</v>
      </c>
      <c r="X70" s="33">
        <f t="shared" si="160"/>
        <v>0.21429019116264494</v>
      </c>
      <c r="Y70" s="33">
        <f t="shared" si="160"/>
        <v>0.1769654421109968</v>
      </c>
      <c r="Z70" s="33">
        <f t="shared" si="160"/>
        <v>0.20035353256366348</v>
      </c>
      <c r="AA70" s="33">
        <f t="shared" si="160"/>
        <v>0.20367365859311623</v>
      </c>
      <c r="AB70" s="33">
        <f t="shared" si="160"/>
        <v>0.22175212951994133</v>
      </c>
      <c r="AC70" s="33">
        <f t="shared" si="160"/>
        <v>0.21306559571619813</v>
      </c>
      <c r="AD70" s="33">
        <f t="shared" si="160"/>
        <v>0.23081250879084814</v>
      </c>
      <c r="AE70" s="33">
        <f t="shared" si="160"/>
        <v>0.20768129535469221</v>
      </c>
      <c r="AF70" s="33">
        <f t="shared" si="160"/>
        <v>0.22683720930232559</v>
      </c>
      <c r="AG70" s="33">
        <f t="shared" si="160"/>
        <v>0.22542425727139104</v>
      </c>
      <c r="AH70" s="33">
        <f t="shared" si="160"/>
        <v>0.20461172498465316</v>
      </c>
      <c r="AI70" s="33">
        <f t="shared" ref="AI70:BO70" si="161">AI59/AI48</f>
        <v>0.21923232323232322</v>
      </c>
      <c r="AJ70" s="33">
        <f t="shared" si="161"/>
        <v>0.13548635140330642</v>
      </c>
      <c r="AK70" s="33">
        <f t="shared" si="161"/>
        <v>0.24240241970329829</v>
      </c>
      <c r="AL70" s="33">
        <f t="shared" si="161"/>
        <v>-9.343192154193608E-2</v>
      </c>
      <c r="AM70" s="33">
        <f t="shared" si="161"/>
        <v>0.30183651191164196</v>
      </c>
      <c r="AN70" s="33">
        <f t="shared" si="161"/>
        <v>9.7835073644241669E-2</v>
      </c>
      <c r="AO70" s="33">
        <f t="shared" si="161"/>
        <v>0.2724362774155305</v>
      </c>
      <c r="AP70" s="33">
        <f t="shared" si="161"/>
        <v>0.22782360729198492</v>
      </c>
      <c r="AQ70" s="33">
        <f t="shared" si="161"/>
        <v>0.18319161231734502</v>
      </c>
      <c r="AR70" s="33">
        <f t="shared" si="161"/>
        <v>0.25541803615447822</v>
      </c>
      <c r="AS70" s="33">
        <f t="shared" si="161"/>
        <v>0.17452282772414135</v>
      </c>
      <c r="AT70" s="33">
        <f t="shared" si="161"/>
        <v>0.23160065111231687</v>
      </c>
      <c r="AU70" s="33">
        <f t="shared" si="161"/>
        <v>0.16608761145800433</v>
      </c>
      <c r="AV70" s="33">
        <f t="shared" si="161"/>
        <v>0.1817113612032274</v>
      </c>
      <c r="AW70" s="33">
        <f t="shared" si="161"/>
        <v>0.24358391267623936</v>
      </c>
      <c r="AX70" s="33">
        <f t="shared" si="161"/>
        <v>0.26761924847973567</v>
      </c>
      <c r="AY70" s="33">
        <f t="shared" si="161"/>
        <v>0.32414940159814876</v>
      </c>
      <c r="AZ70" s="33">
        <f t="shared" si="161"/>
        <v>0.29936974789915966</v>
      </c>
      <c r="BA70" s="33">
        <f t="shared" si="161"/>
        <v>0.29079517184188702</v>
      </c>
      <c r="BB70" s="33">
        <f t="shared" si="161"/>
        <v>0.2740391636242947</v>
      </c>
      <c r="BC70" s="33">
        <f t="shared" si="161"/>
        <v>0.24166678919586537</v>
      </c>
      <c r="BD70" s="33">
        <f t="shared" si="161"/>
        <v>0.22963335007533903</v>
      </c>
      <c r="BE70" s="33">
        <f t="shared" si="161"/>
        <v>0.20132576854049672</v>
      </c>
      <c r="BF70" s="33">
        <f t="shared" si="161"/>
        <v>0.17915001051967178</v>
      </c>
      <c r="BG70" s="33">
        <f t="shared" si="161"/>
        <v>0.21567054035851949</v>
      </c>
      <c r="BH70" s="33">
        <f t="shared" si="161"/>
        <v>0.2462066377137955</v>
      </c>
      <c r="BI70" s="33">
        <f t="shared" si="161"/>
        <v>0.25672486406842865</v>
      </c>
      <c r="BJ70" s="33">
        <f t="shared" si="161"/>
        <v>0.23968253968253969</v>
      </c>
      <c r="BK70" s="33">
        <f t="shared" si="161"/>
        <v>0.29379555246526529</v>
      </c>
      <c r="BL70" s="33">
        <f t="shared" si="161"/>
        <v>0.27871657501593072</v>
      </c>
      <c r="BM70" s="33">
        <f t="shared" si="161"/>
        <v>0.29796755336022113</v>
      </c>
      <c r="BN70" s="33">
        <f t="shared" si="161"/>
        <v>0.27507282132083882</v>
      </c>
      <c r="BO70" s="33">
        <f t="shared" si="161"/>
        <v>0.38278254316554733</v>
      </c>
      <c r="BP70" s="33">
        <f t="shared" ref="BP70:BQ70" si="162">BP59/BP48</f>
        <v>0.29240469573153027</v>
      </c>
      <c r="BQ70" s="33">
        <f t="shared" si="162"/>
        <v>0.34177202821800556</v>
      </c>
      <c r="CA70" s="33">
        <f t="shared" ref="CA70:CZ70" si="163">CA59/CA48</f>
        <v>0.2756754471269714</v>
      </c>
      <c r="CB70" s="33">
        <f t="shared" si="163"/>
        <v>0.29006514102520375</v>
      </c>
      <c r="CC70" s="33">
        <f t="shared" si="163"/>
        <v>0.25687903970452447</v>
      </c>
      <c r="CD70" s="33">
        <f t="shared" si="163"/>
        <v>0.2509394209257369</v>
      </c>
      <c r="CE70" s="33">
        <f t="shared" si="163"/>
        <v>0.23703596966804158</v>
      </c>
      <c r="CF70" s="33">
        <f t="shared" si="163"/>
        <v>0.20636050968924713</v>
      </c>
      <c r="CG70" s="33">
        <f t="shared" si="163"/>
        <v>0.21800530744509194</v>
      </c>
      <c r="CH70" s="33">
        <f t="shared" si="163"/>
        <v>0.2157701169797944</v>
      </c>
      <c r="CI70" s="33">
        <f t="shared" si="163"/>
        <v>0.11422128005051645</v>
      </c>
      <c r="CJ70" s="33">
        <f t="shared" si="163"/>
        <v>0.22464716157843576</v>
      </c>
      <c r="CK70" s="33">
        <f t="shared" si="163"/>
        <v>0.21218112284300339</v>
      </c>
      <c r="CL70" s="33">
        <f t="shared" si="163"/>
        <v>0.22061941520980458</v>
      </c>
      <c r="CM70" s="33">
        <f t="shared" si="163"/>
        <v>0.29511677282377918</v>
      </c>
      <c r="CN70" s="33">
        <f t="shared" si="163"/>
        <v>0.21203807153261961</v>
      </c>
      <c r="CO70" s="33">
        <f t="shared" si="163"/>
        <v>0.24006649446638517</v>
      </c>
      <c r="CP70" s="33">
        <f t="shared" si="163"/>
        <v>0.28603671811164</v>
      </c>
      <c r="CQ70" s="38">
        <f t="shared" si="163"/>
        <v>0.29483342120012035</v>
      </c>
      <c r="CR70" s="38">
        <f t="shared" si="163"/>
        <v>0.29916179254675412</v>
      </c>
      <c r="CS70" s="38">
        <f t="shared" si="163"/>
        <v>0.31931483766047442</v>
      </c>
      <c r="CT70" s="38">
        <f t="shared" si="163"/>
        <v>0.33660363754476175</v>
      </c>
      <c r="CU70" s="38">
        <f t="shared" si="163"/>
        <v>0.35410318965085608</v>
      </c>
      <c r="CV70" s="38">
        <f t="shared" si="163"/>
        <v>0.37037661272451461</v>
      </c>
      <c r="CW70" s="38">
        <f t="shared" si="163"/>
        <v>0.39142157092548407</v>
      </c>
      <c r="CX70" s="38">
        <f t="shared" si="163"/>
        <v>0.41608706309118537</v>
      </c>
      <c r="CY70" s="38">
        <f t="shared" si="163"/>
        <v>0.44339342846972202</v>
      </c>
      <c r="CZ70" s="38">
        <f t="shared" si="163"/>
        <v>0.47699393604027879</v>
      </c>
    </row>
    <row r="71" spans="2:104">
      <c r="B71" s="29"/>
    </row>
    <row r="72" spans="2:104">
      <c r="B72" s="1" t="s">
        <v>63</v>
      </c>
      <c r="AX72" s="1">
        <v>26465</v>
      </c>
      <c r="AY72" s="1">
        <v>26622</v>
      </c>
      <c r="AZ72" s="1">
        <v>23630</v>
      </c>
      <c r="BA72" s="1">
        <v>23719</v>
      </c>
      <c r="BB72" s="1">
        <v>20945</v>
      </c>
      <c r="BC72" s="1">
        <v>20886</v>
      </c>
      <c r="BD72" s="1">
        <v>17936</v>
      </c>
      <c r="BE72" s="1">
        <v>21984</v>
      </c>
      <c r="BF72" s="1">
        <v>21879</v>
      </c>
      <c r="BG72" s="1">
        <v>25924</v>
      </c>
      <c r="BH72" s="1">
        <v>25929</v>
      </c>
      <c r="BI72" s="1">
        <v>30702</v>
      </c>
      <c r="BJ72" s="1">
        <v>24048</v>
      </c>
      <c r="BK72" s="1">
        <v>24493</v>
      </c>
      <c r="BL72" s="1">
        <v>27225</v>
      </c>
      <c r="BM72" s="1">
        <v>19959</v>
      </c>
      <c r="BN72" s="1">
        <v>23466</v>
      </c>
      <c r="BO72" s="1">
        <v>23264</v>
      </c>
      <c r="BP72" s="1">
        <v>21036</v>
      </c>
      <c r="BQ72" s="1">
        <v>23090</v>
      </c>
      <c r="CL72" s="1">
        <f t="shared" ref="CL72:CL85" si="164">AX72</f>
        <v>26465</v>
      </c>
      <c r="CM72" s="1">
        <f t="shared" ref="CM72:CM85" si="165">BB72</f>
        <v>20945</v>
      </c>
      <c r="CN72" s="1">
        <f t="shared" ref="CN72:CN85" si="166">BF72</f>
        <v>21879</v>
      </c>
      <c r="CO72" s="1">
        <f t="shared" ref="CO72:CO85" si="167">BJ72</f>
        <v>24048</v>
      </c>
      <c r="CP72" s="1">
        <f t="shared" ref="CP72:CP85" si="168">BN72</f>
        <v>23466</v>
      </c>
      <c r="CQ72" s="43">
        <f t="shared" ref="CQ72:CZ72" si="169">CP72+CQ59</f>
        <v>142091.19215456003</v>
      </c>
      <c r="CR72" s="43">
        <f t="shared" si="169"/>
        <v>281983.41877390101</v>
      </c>
      <c r="CS72" s="43">
        <f t="shared" si="169"/>
        <v>453061.89272481634</v>
      </c>
      <c r="CT72" s="43">
        <f t="shared" si="169"/>
        <v>656559.14349726785</v>
      </c>
      <c r="CU72" s="43">
        <f t="shared" si="169"/>
        <v>893331.63704494294</v>
      </c>
      <c r="CV72" s="43">
        <f t="shared" si="169"/>
        <v>1164647.8220471544</v>
      </c>
      <c r="CW72" s="43">
        <f t="shared" si="169"/>
        <v>1475817.6903321801</v>
      </c>
      <c r="CX72" s="43">
        <f t="shared" si="169"/>
        <v>1831475.1547969487</v>
      </c>
      <c r="CY72" s="43">
        <f t="shared" si="169"/>
        <v>2235941.2327849679</v>
      </c>
      <c r="CZ72" s="43">
        <f t="shared" si="169"/>
        <v>2696740.4122101376</v>
      </c>
    </row>
    <row r="73" spans="2:104">
      <c r="B73" s="1" t="s">
        <v>64</v>
      </c>
      <c r="AX73" s="1">
        <v>110229</v>
      </c>
      <c r="AY73" s="1">
        <v>108482</v>
      </c>
      <c r="AZ73" s="1">
        <v>112233</v>
      </c>
      <c r="BA73" s="1">
        <v>118284</v>
      </c>
      <c r="BB73" s="1">
        <v>118704</v>
      </c>
      <c r="BC73" s="1">
        <v>113084</v>
      </c>
      <c r="BD73" s="1">
        <v>107061</v>
      </c>
      <c r="BE73" s="1">
        <v>94275</v>
      </c>
      <c r="BF73" s="1">
        <v>91883</v>
      </c>
      <c r="BG73" s="1">
        <v>89178</v>
      </c>
      <c r="BH73" s="1">
        <v>92403</v>
      </c>
      <c r="BI73" s="1">
        <v>89233</v>
      </c>
      <c r="BJ73" s="1">
        <v>86868</v>
      </c>
      <c r="BK73" s="1">
        <v>83597</v>
      </c>
      <c r="BL73" s="1">
        <v>73500</v>
      </c>
      <c r="BM73" s="1">
        <v>73271</v>
      </c>
      <c r="BN73" s="1">
        <v>72191</v>
      </c>
      <c r="BO73" s="1">
        <v>72064</v>
      </c>
      <c r="BP73" s="1">
        <v>74112</v>
      </c>
      <c r="BQ73" s="1">
        <v>75406</v>
      </c>
      <c r="CL73" s="1">
        <f t="shared" si="164"/>
        <v>110229</v>
      </c>
      <c r="CM73" s="1">
        <f t="shared" si="165"/>
        <v>118704</v>
      </c>
      <c r="CN73" s="1">
        <f t="shared" si="166"/>
        <v>91883</v>
      </c>
      <c r="CO73" s="1">
        <f t="shared" si="167"/>
        <v>86868</v>
      </c>
      <c r="CP73" s="1">
        <f t="shared" si="168"/>
        <v>72191</v>
      </c>
    </row>
    <row r="74" spans="2:104" ht="14.25" customHeight="1">
      <c r="B74" s="29" t="s">
        <v>270</v>
      </c>
      <c r="AX74" s="1">
        <v>30930</v>
      </c>
      <c r="AY74" s="1">
        <v>28006</v>
      </c>
      <c r="AZ74" s="1">
        <v>31967</v>
      </c>
      <c r="BA74" s="1">
        <v>34047</v>
      </c>
      <c r="BB74" s="1">
        <v>39304</v>
      </c>
      <c r="BC74" s="1">
        <v>34703</v>
      </c>
      <c r="BD74" s="1">
        <v>35707</v>
      </c>
      <c r="BE74" s="1">
        <v>34697</v>
      </c>
      <c r="BF74" s="1">
        <v>40258</v>
      </c>
      <c r="BG74" s="1">
        <v>36036</v>
      </c>
      <c r="BH74" s="1">
        <v>38804</v>
      </c>
      <c r="BI74" s="1">
        <v>41020</v>
      </c>
      <c r="BJ74" s="1">
        <v>47964</v>
      </c>
      <c r="BK74" s="1">
        <v>44552</v>
      </c>
      <c r="BL74" s="1">
        <v>47087</v>
      </c>
      <c r="BM74" s="1">
        <v>49104</v>
      </c>
      <c r="BN74" s="1">
        <v>52340</v>
      </c>
      <c r="BO74" s="1">
        <v>51000</v>
      </c>
      <c r="BP74" s="1">
        <v>55048</v>
      </c>
      <c r="BQ74" s="1">
        <v>57148</v>
      </c>
      <c r="CL74" s="1">
        <f t="shared" si="164"/>
        <v>30930</v>
      </c>
      <c r="CM74" s="1">
        <f t="shared" si="165"/>
        <v>39304</v>
      </c>
      <c r="CN74" s="1">
        <f t="shared" si="166"/>
        <v>40258</v>
      </c>
      <c r="CO74" s="1">
        <f t="shared" si="167"/>
        <v>47964</v>
      </c>
      <c r="CP74" s="1">
        <f t="shared" si="168"/>
        <v>52340</v>
      </c>
      <c r="CR74" s="45" t="s">
        <v>2834</v>
      </c>
      <c r="CU74" s="45" t="s">
        <v>2831</v>
      </c>
      <c r="CW74" s="49" t="s">
        <v>2835</v>
      </c>
      <c r="CY74" s="50" t="s">
        <v>2617</v>
      </c>
      <c r="CZ74" s="51">
        <v>0.34749999999999998</v>
      </c>
    </row>
    <row r="75" spans="2:104" ht="14.25" customHeight="1">
      <c r="B75" s="29" t="s">
        <v>296</v>
      </c>
      <c r="AX75" s="1">
        <v>454</v>
      </c>
      <c r="AY75" s="1">
        <v>493</v>
      </c>
      <c r="AZ75" s="1">
        <v>884</v>
      </c>
      <c r="BA75" s="1">
        <v>753</v>
      </c>
      <c r="BB75" s="1">
        <v>966</v>
      </c>
      <c r="BC75" s="1">
        <v>919</v>
      </c>
      <c r="BD75" s="1">
        <v>1366</v>
      </c>
      <c r="BE75" s="1">
        <v>1479</v>
      </c>
      <c r="BF75" s="1">
        <v>0</v>
      </c>
      <c r="BG75" s="1">
        <v>0</v>
      </c>
      <c r="BH75" s="1">
        <v>0</v>
      </c>
      <c r="BI75" s="1">
        <v>0</v>
      </c>
      <c r="BJ75" s="1">
        <v>0</v>
      </c>
      <c r="BK75" s="1">
        <v>0</v>
      </c>
      <c r="BL75" s="1">
        <v>0</v>
      </c>
      <c r="BM75" s="1">
        <v>0</v>
      </c>
      <c r="BN75" s="1">
        <v>0</v>
      </c>
      <c r="BO75" s="1">
        <v>0</v>
      </c>
      <c r="BP75" s="1">
        <v>0</v>
      </c>
      <c r="BQ75" s="1">
        <v>0</v>
      </c>
      <c r="CL75" s="1">
        <f t="shared" si="164"/>
        <v>454</v>
      </c>
      <c r="CM75" s="1">
        <f t="shared" si="165"/>
        <v>966</v>
      </c>
      <c r="CN75" s="1">
        <f t="shared" si="166"/>
        <v>0</v>
      </c>
      <c r="CO75" s="1">
        <f t="shared" si="167"/>
        <v>0</v>
      </c>
      <c r="CP75" s="1">
        <f t="shared" si="168"/>
        <v>0</v>
      </c>
      <c r="CR75" s="27">
        <v>2024</v>
      </c>
      <c r="CT75" s="27">
        <v>2023</v>
      </c>
      <c r="CU75" s="27">
        <v>2024</v>
      </c>
      <c r="CW75" s="49" t="s">
        <v>2836</v>
      </c>
      <c r="CY75" s="50" t="s">
        <v>2618</v>
      </c>
      <c r="CZ75" s="42">
        <v>2.75E-2</v>
      </c>
    </row>
    <row r="76" spans="2:104" ht="14.25" customHeight="1">
      <c r="B76" s="29" t="s">
        <v>294</v>
      </c>
      <c r="AX76" s="1">
        <v>728</v>
      </c>
      <c r="AY76" s="1">
        <v>888</v>
      </c>
      <c r="AZ76" s="1">
        <v>907</v>
      </c>
      <c r="BA76" s="1">
        <v>1278</v>
      </c>
      <c r="BB76" s="1">
        <v>1170</v>
      </c>
      <c r="BC76" s="1">
        <v>1369</v>
      </c>
      <c r="BD76" s="1">
        <v>1980</v>
      </c>
      <c r="BE76" s="1">
        <v>3156</v>
      </c>
      <c r="BF76" s="1">
        <v>2670</v>
      </c>
      <c r="BG76" s="1">
        <v>2315</v>
      </c>
      <c r="BH76" s="1">
        <v>2231</v>
      </c>
      <c r="BI76" s="1">
        <v>2957</v>
      </c>
      <c r="BJ76" s="1">
        <v>0</v>
      </c>
      <c r="BK76" s="1">
        <v>0</v>
      </c>
      <c r="BL76" s="1">
        <v>0</v>
      </c>
      <c r="BM76" s="1">
        <v>0</v>
      </c>
      <c r="BN76" s="1">
        <v>0</v>
      </c>
      <c r="BO76" s="1">
        <v>0</v>
      </c>
      <c r="BP76" s="1">
        <v>0</v>
      </c>
      <c r="BQ76" s="1">
        <v>0</v>
      </c>
      <c r="CL76" s="1">
        <f t="shared" si="164"/>
        <v>728</v>
      </c>
      <c r="CM76" s="1">
        <f t="shared" si="165"/>
        <v>1170</v>
      </c>
      <c r="CN76" s="1">
        <f t="shared" si="166"/>
        <v>2670</v>
      </c>
      <c r="CO76" s="1">
        <f t="shared" si="167"/>
        <v>0</v>
      </c>
      <c r="CP76" s="1">
        <f t="shared" si="168"/>
        <v>0</v>
      </c>
      <c r="CR76" s="43">
        <f>CP55*(1-CP69)</f>
        <v>93913.633685264795</v>
      </c>
      <c r="CT76" s="27">
        <f>SUM(CO72:CO77)-SUM(CO87:CO91)+CO80+CO83+CO81</f>
        <v>267350</v>
      </c>
      <c r="CU76" s="27">
        <f>SUM(CP72:CP77)-SUM(CP87:CP91)+CP80+CP83+CP81</f>
        <v>291098</v>
      </c>
      <c r="CW76" s="27">
        <f>AVERAGE(CT76:CU76)</f>
        <v>279224</v>
      </c>
      <c r="CY76" s="50" t="s">
        <v>2619</v>
      </c>
      <c r="CZ76" s="42">
        <v>3.9899999999999998E-2</v>
      </c>
    </row>
    <row r="77" spans="2:104" ht="14.25" customHeight="1">
      <c r="B77" s="29" t="s">
        <v>271</v>
      </c>
      <c r="AX77" s="1">
        <v>5490</v>
      </c>
      <c r="AY77" s="1">
        <v>7646</v>
      </c>
      <c r="AZ77" s="1">
        <v>6076</v>
      </c>
      <c r="BA77" s="1">
        <v>6029</v>
      </c>
      <c r="BB77" s="1">
        <v>4054</v>
      </c>
      <c r="BC77" s="1">
        <v>6892</v>
      </c>
      <c r="BD77" s="1">
        <v>8321</v>
      </c>
      <c r="BE77" s="1">
        <v>10518</v>
      </c>
      <c r="BF77" s="1">
        <v>8105</v>
      </c>
      <c r="BG77" s="1">
        <v>8532</v>
      </c>
      <c r="BH77" s="1">
        <v>9421</v>
      </c>
      <c r="BI77" s="1">
        <v>12398</v>
      </c>
      <c r="BJ77" s="1">
        <v>12650</v>
      </c>
      <c r="BK77" s="1">
        <v>12829</v>
      </c>
      <c r="BL77" s="1">
        <v>14183</v>
      </c>
      <c r="BM77" s="1">
        <v>15207</v>
      </c>
      <c r="BN77" s="1">
        <v>15714</v>
      </c>
      <c r="BO77" s="1">
        <v>15724</v>
      </c>
      <c r="BP77" s="1">
        <v>16020</v>
      </c>
      <c r="BQ77" s="1">
        <v>18303</v>
      </c>
      <c r="CL77" s="1">
        <f t="shared" si="164"/>
        <v>5490</v>
      </c>
      <c r="CM77" s="1">
        <f t="shared" si="165"/>
        <v>4054</v>
      </c>
      <c r="CN77" s="1">
        <f t="shared" si="166"/>
        <v>8105</v>
      </c>
      <c r="CO77" s="1">
        <f t="shared" si="167"/>
        <v>12650</v>
      </c>
      <c r="CP77" s="1">
        <f t="shared" si="168"/>
        <v>15714</v>
      </c>
      <c r="CR77" s="38">
        <f>CR76/CW76</f>
        <v>0.33633797125341947</v>
      </c>
      <c r="CY77" s="50" t="s">
        <v>2620</v>
      </c>
      <c r="CZ77" s="42">
        <f>9.85%-CZ76</f>
        <v>5.8599999999999992E-2</v>
      </c>
    </row>
    <row r="78" spans="2:104" ht="14.25" customHeight="1">
      <c r="B78" s="1" t="s">
        <v>272</v>
      </c>
      <c r="AX78" s="1">
        <v>20703</v>
      </c>
      <c r="AY78" s="1">
        <v>25294</v>
      </c>
      <c r="AZ78" s="1">
        <v>25532</v>
      </c>
      <c r="BA78" s="1">
        <v>26101</v>
      </c>
      <c r="BB78" s="1">
        <v>29549</v>
      </c>
      <c r="BC78" s="1">
        <v>30544</v>
      </c>
      <c r="BD78" s="1">
        <v>30665</v>
      </c>
      <c r="BE78" s="1">
        <v>30419</v>
      </c>
      <c r="BF78" s="1">
        <v>30492</v>
      </c>
      <c r="BG78" s="1">
        <v>31213</v>
      </c>
      <c r="BH78" s="1">
        <v>31224</v>
      </c>
      <c r="BI78" s="1">
        <v>30907</v>
      </c>
      <c r="BJ78" s="1">
        <v>31008</v>
      </c>
      <c r="BK78" s="1">
        <v>33994</v>
      </c>
      <c r="BL78" s="1">
        <v>34172</v>
      </c>
      <c r="BM78" s="1">
        <v>36177</v>
      </c>
      <c r="BN78" s="1">
        <v>37982</v>
      </c>
      <c r="BO78" s="1">
        <v>51029</v>
      </c>
      <c r="BP78" s="1">
        <v>52574</v>
      </c>
      <c r="BQ78" s="1">
        <v>63800</v>
      </c>
      <c r="CL78" s="1">
        <f t="shared" si="164"/>
        <v>20703</v>
      </c>
      <c r="CM78" s="1">
        <f t="shared" si="165"/>
        <v>29549</v>
      </c>
      <c r="CN78" s="1">
        <f t="shared" si="166"/>
        <v>30492</v>
      </c>
      <c r="CO78" s="1">
        <f t="shared" si="167"/>
        <v>31008</v>
      </c>
      <c r="CP78" s="1">
        <f t="shared" si="168"/>
        <v>37982</v>
      </c>
      <c r="CY78" s="50" t="s">
        <v>2621</v>
      </c>
      <c r="CZ78" s="37">
        <f>'Notes | Quant Analysis'!T221</f>
        <v>1.0183618501231253</v>
      </c>
    </row>
    <row r="79" spans="2:104" ht="14.25" customHeight="1">
      <c r="B79" s="1" t="s">
        <v>2832</v>
      </c>
      <c r="AX79" s="1">
        <v>1084</v>
      </c>
      <c r="AY79" s="1">
        <v>1129</v>
      </c>
      <c r="AZ79" s="1">
        <v>1153</v>
      </c>
      <c r="BA79" s="1">
        <v>1195</v>
      </c>
      <c r="BB79" s="1">
        <v>1284</v>
      </c>
      <c r="BC79" s="1">
        <v>1388</v>
      </c>
      <c r="BD79" s="1">
        <v>1490</v>
      </c>
      <c r="BE79" s="1">
        <v>2991</v>
      </c>
      <c r="BF79" s="1">
        <v>5261</v>
      </c>
      <c r="BG79" s="1">
        <v>6885</v>
      </c>
      <c r="BH79" s="1">
        <v>9357</v>
      </c>
      <c r="BI79" s="1">
        <v>10983</v>
      </c>
      <c r="BJ79" s="1">
        <v>12169</v>
      </c>
      <c r="BK79" s="1">
        <v>11687</v>
      </c>
      <c r="BL79" s="1">
        <v>14958</v>
      </c>
      <c r="BM79" s="1">
        <v>15915</v>
      </c>
      <c r="BN79" s="1">
        <v>17180</v>
      </c>
      <c r="BO79" s="1">
        <v>18386</v>
      </c>
      <c r="BP79" s="1">
        <v>19289</v>
      </c>
      <c r="BQ79" s="1">
        <v>10331</v>
      </c>
      <c r="CL79" s="1">
        <f t="shared" si="164"/>
        <v>1084</v>
      </c>
      <c r="CM79" s="1">
        <f t="shared" si="165"/>
        <v>1284</v>
      </c>
      <c r="CN79" s="1">
        <f t="shared" si="166"/>
        <v>5261</v>
      </c>
      <c r="CO79" s="1">
        <f t="shared" si="167"/>
        <v>12169</v>
      </c>
      <c r="CP79" s="1">
        <f t="shared" si="168"/>
        <v>17180</v>
      </c>
      <c r="CY79" s="50" t="s">
        <v>2622</v>
      </c>
      <c r="CZ79" s="42">
        <f>+CZ76+(CZ77*CZ78)</f>
        <v>9.9576004417215133E-2</v>
      </c>
    </row>
    <row r="80" spans="2:104" ht="14.25" customHeight="1">
      <c r="B80" s="1" t="s">
        <v>2833</v>
      </c>
      <c r="AX80" s="1">
        <v>84749</v>
      </c>
      <c r="AY80" s="1">
        <v>87606</v>
      </c>
      <c r="AZ80" s="1">
        <v>91697</v>
      </c>
      <c r="BA80" s="1">
        <v>94631</v>
      </c>
      <c r="BB80" s="1">
        <v>97599</v>
      </c>
      <c r="BC80" s="1">
        <v>104218</v>
      </c>
      <c r="BD80" s="1">
        <v>106223</v>
      </c>
      <c r="BE80" s="1">
        <v>108363</v>
      </c>
      <c r="BF80" s="1">
        <v>112668</v>
      </c>
      <c r="BG80" s="1">
        <v>117560</v>
      </c>
      <c r="BH80" s="1">
        <v>121208</v>
      </c>
      <c r="BI80" s="1">
        <v>125705</v>
      </c>
      <c r="BJ80" s="1">
        <v>134345</v>
      </c>
      <c r="BK80" s="1">
        <v>143182</v>
      </c>
      <c r="BL80" s="1">
        <v>151155</v>
      </c>
      <c r="BM80" s="1">
        <v>161270</v>
      </c>
      <c r="BN80" s="1">
        <v>171036</v>
      </c>
      <c r="BO80" s="1">
        <v>185062</v>
      </c>
      <c r="BP80" s="1">
        <v>203231</v>
      </c>
      <c r="BQ80" s="1">
        <v>223787</v>
      </c>
      <c r="CL80" s="1">
        <f t="shared" si="164"/>
        <v>84749</v>
      </c>
      <c r="CM80" s="1">
        <f t="shared" si="165"/>
        <v>97599</v>
      </c>
      <c r="CN80" s="1">
        <f t="shared" si="166"/>
        <v>112668</v>
      </c>
      <c r="CO80" s="1">
        <f t="shared" si="167"/>
        <v>134345</v>
      </c>
      <c r="CP80" s="1">
        <f t="shared" si="168"/>
        <v>171036</v>
      </c>
      <c r="CY80" s="50"/>
    </row>
    <row r="81" spans="2:154" ht="14.25" customHeight="1">
      <c r="B81" s="1" t="s">
        <v>273</v>
      </c>
      <c r="AX81" s="1">
        <v>12211</v>
      </c>
      <c r="AY81" s="1">
        <v>12598</v>
      </c>
      <c r="AZ81" s="1">
        <v>12978</v>
      </c>
      <c r="BA81" s="1">
        <v>12918</v>
      </c>
      <c r="BB81" s="1">
        <v>12959</v>
      </c>
      <c r="BC81" s="1">
        <v>12992</v>
      </c>
      <c r="BD81" s="1">
        <v>13398</v>
      </c>
      <c r="BE81" s="1">
        <v>13677</v>
      </c>
      <c r="BF81" s="1">
        <v>14381</v>
      </c>
      <c r="BG81" s="1">
        <v>14447</v>
      </c>
      <c r="BH81" s="1">
        <v>14469</v>
      </c>
      <c r="BI81" s="1">
        <v>14199</v>
      </c>
      <c r="BJ81" s="1">
        <v>14091</v>
      </c>
      <c r="BK81" s="1">
        <v>13768</v>
      </c>
      <c r="BL81" s="1">
        <v>13606</v>
      </c>
      <c r="BM81" s="1">
        <v>13561</v>
      </c>
      <c r="BN81" s="1">
        <v>13588</v>
      </c>
      <c r="BO81" s="1">
        <v>13722</v>
      </c>
      <c r="BP81" s="1">
        <v>14255</v>
      </c>
      <c r="BQ81" s="1">
        <v>14524</v>
      </c>
      <c r="CL81" s="1">
        <f t="shared" si="164"/>
        <v>12211</v>
      </c>
      <c r="CM81" s="1">
        <f t="shared" si="165"/>
        <v>12959</v>
      </c>
      <c r="CN81" s="1">
        <f t="shared" si="166"/>
        <v>14381</v>
      </c>
      <c r="CO81" s="1">
        <f t="shared" si="167"/>
        <v>14091</v>
      </c>
      <c r="CP81" s="1">
        <f t="shared" si="168"/>
        <v>13588</v>
      </c>
      <c r="CY81" s="50" t="s">
        <v>2623</v>
      </c>
      <c r="CZ81" s="43">
        <f>NPV(CZ79,CQ59:EY59)</f>
        <v>3926011.8641788224</v>
      </c>
    </row>
    <row r="82" spans="2:154" ht="14.25" customHeight="1">
      <c r="B82" s="1" t="s">
        <v>295</v>
      </c>
      <c r="AX82" s="1">
        <v>1445</v>
      </c>
      <c r="AY82" s="1">
        <v>1823</v>
      </c>
      <c r="AZ82" s="1">
        <v>1626</v>
      </c>
      <c r="BA82" s="1">
        <v>1549</v>
      </c>
      <c r="BB82" s="1">
        <v>1417</v>
      </c>
      <c r="BC82" s="1">
        <v>1313</v>
      </c>
      <c r="BD82" s="1">
        <v>1377</v>
      </c>
      <c r="BE82" s="1">
        <v>2192</v>
      </c>
      <c r="BF82" s="1">
        <v>2084</v>
      </c>
      <c r="BG82" s="1">
        <v>1968</v>
      </c>
      <c r="BH82" s="1">
        <v>1966</v>
      </c>
      <c r="BI82" s="1">
        <v>1833</v>
      </c>
      <c r="BJ82" s="1">
        <v>0</v>
      </c>
      <c r="BK82" s="1">
        <v>0</v>
      </c>
      <c r="BL82" s="1">
        <v>0</v>
      </c>
      <c r="BM82" s="1">
        <v>0</v>
      </c>
      <c r="BN82" s="1">
        <v>0</v>
      </c>
      <c r="BO82" s="1">
        <v>0</v>
      </c>
      <c r="BP82" s="1">
        <v>0</v>
      </c>
      <c r="BQ82" s="1">
        <v>0</v>
      </c>
      <c r="CL82" s="1">
        <f t="shared" si="164"/>
        <v>1445</v>
      </c>
      <c r="CM82" s="1">
        <f t="shared" si="165"/>
        <v>1417</v>
      </c>
      <c r="CN82" s="1">
        <f t="shared" si="166"/>
        <v>2084</v>
      </c>
      <c r="CO82" s="1">
        <f t="shared" si="167"/>
        <v>0</v>
      </c>
      <c r="CP82" s="1">
        <f t="shared" si="168"/>
        <v>0</v>
      </c>
      <c r="CY82" s="50" t="s">
        <v>75</v>
      </c>
      <c r="CZ82" s="43">
        <f>Main!C4</f>
        <v>12086</v>
      </c>
    </row>
    <row r="83" spans="2:154" ht="14.25" customHeight="1">
      <c r="B83" s="1" t="s">
        <v>274</v>
      </c>
      <c r="AX83" s="1">
        <v>21175</v>
      </c>
      <c r="AY83" s="1">
        <v>22341</v>
      </c>
      <c r="AZ83" s="1">
        <v>22406</v>
      </c>
      <c r="BA83" s="1">
        <v>22623</v>
      </c>
      <c r="BB83" s="1">
        <v>22956</v>
      </c>
      <c r="BC83" s="1">
        <v>23010</v>
      </c>
      <c r="BD83" s="1">
        <v>23949</v>
      </c>
      <c r="BE83" s="1">
        <v>28834</v>
      </c>
      <c r="BF83" s="1">
        <v>28960</v>
      </c>
      <c r="BG83" s="1">
        <v>28994</v>
      </c>
      <c r="BH83" s="1">
        <v>29210</v>
      </c>
      <c r="BI83" s="1">
        <v>29146</v>
      </c>
      <c r="BJ83" s="1">
        <v>29198</v>
      </c>
      <c r="BK83" s="1">
        <v>29183</v>
      </c>
      <c r="BL83" s="1">
        <v>29185</v>
      </c>
      <c r="BM83" s="1">
        <v>31935</v>
      </c>
      <c r="BN83" s="1">
        <v>31885</v>
      </c>
      <c r="BO83" s="1">
        <v>32173</v>
      </c>
      <c r="BP83" s="1">
        <v>32335</v>
      </c>
      <c r="BQ83" s="1">
        <v>33269</v>
      </c>
      <c r="CL83" s="1">
        <f t="shared" si="164"/>
        <v>21175</v>
      </c>
      <c r="CM83" s="1">
        <f t="shared" si="165"/>
        <v>22956</v>
      </c>
      <c r="CN83" s="1">
        <f t="shared" si="166"/>
        <v>28960</v>
      </c>
      <c r="CO83" s="1">
        <f t="shared" si="167"/>
        <v>29198</v>
      </c>
      <c r="CP83" s="1">
        <f t="shared" si="168"/>
        <v>31885</v>
      </c>
      <c r="CY83" s="50" t="s">
        <v>2624</v>
      </c>
      <c r="CZ83" s="37">
        <f>CZ81/CZ82</f>
        <v>324.83963794297722</v>
      </c>
    </row>
    <row r="84" spans="2:154" ht="14.25" customHeight="1">
      <c r="B84" s="1" t="s">
        <v>275</v>
      </c>
      <c r="AX84" s="1">
        <v>3953</v>
      </c>
      <c r="AY84" s="1">
        <v>4167</v>
      </c>
      <c r="AZ84" s="1">
        <v>4298</v>
      </c>
      <c r="BA84" s="1">
        <v>4276</v>
      </c>
      <c r="BB84" s="1">
        <v>5361</v>
      </c>
      <c r="BC84" s="1">
        <v>5778</v>
      </c>
      <c r="BD84" s="1">
        <v>5712</v>
      </c>
      <c r="BE84" s="1">
        <v>5670</v>
      </c>
      <c r="BF84" s="1">
        <v>6623</v>
      </c>
      <c r="BG84" s="1">
        <v>6439</v>
      </c>
      <c r="BH84" s="1">
        <v>6822</v>
      </c>
      <c r="BI84" s="1">
        <v>7628</v>
      </c>
      <c r="BJ84" s="1">
        <v>10051</v>
      </c>
      <c r="BK84" s="1">
        <v>10065</v>
      </c>
      <c r="BL84" s="1">
        <v>9699</v>
      </c>
      <c r="BM84" s="1">
        <v>13867</v>
      </c>
      <c r="BN84" s="1">
        <v>14874</v>
      </c>
      <c r="BO84" s="1">
        <v>12950</v>
      </c>
      <c r="BP84" s="1">
        <v>14153</v>
      </c>
      <c r="BQ84" s="1">
        <v>16811</v>
      </c>
      <c r="CL84" s="1">
        <f t="shared" si="164"/>
        <v>3953</v>
      </c>
      <c r="CM84" s="1">
        <f t="shared" si="165"/>
        <v>5361</v>
      </c>
      <c r="CN84" s="1">
        <f t="shared" si="166"/>
        <v>6623</v>
      </c>
      <c r="CO84" s="1">
        <f t="shared" si="167"/>
        <v>10051</v>
      </c>
      <c r="CP84" s="1">
        <f t="shared" si="168"/>
        <v>14874</v>
      </c>
      <c r="CY84" s="50" t="s">
        <v>2625</v>
      </c>
      <c r="CZ84" s="37">
        <f>Main!C3</f>
        <v>329.4</v>
      </c>
    </row>
    <row r="85" spans="2:154" s="2" customFormat="1" ht="14.25" customHeight="1">
      <c r="B85" s="2" t="s">
        <v>276</v>
      </c>
      <c r="AX85" s="2">
        <f t="shared" ref="AX85:BO85" si="170">SUM(AX72:AX84)</f>
        <v>319616</v>
      </c>
      <c r="AY85" s="2">
        <f t="shared" si="170"/>
        <v>327095</v>
      </c>
      <c r="AZ85" s="2">
        <f t="shared" si="170"/>
        <v>335387</v>
      </c>
      <c r="BA85" s="2">
        <f t="shared" si="170"/>
        <v>347403</v>
      </c>
      <c r="BB85" s="2">
        <f t="shared" si="170"/>
        <v>356268</v>
      </c>
      <c r="BC85" s="2">
        <f t="shared" si="170"/>
        <v>357096</v>
      </c>
      <c r="BD85" s="2">
        <f t="shared" si="170"/>
        <v>355185</v>
      </c>
      <c r="BE85" s="2">
        <f t="shared" si="170"/>
        <v>358255</v>
      </c>
      <c r="BF85" s="2">
        <f t="shared" si="170"/>
        <v>365264</v>
      </c>
      <c r="BG85" s="2">
        <f t="shared" si="170"/>
        <v>369491</v>
      </c>
      <c r="BH85" s="2">
        <f t="shared" si="170"/>
        <v>383044</v>
      </c>
      <c r="BI85" s="2">
        <f t="shared" si="170"/>
        <v>396711</v>
      </c>
      <c r="BJ85" s="2">
        <f t="shared" si="170"/>
        <v>402392</v>
      </c>
      <c r="BK85" s="2">
        <f t="shared" si="170"/>
        <v>407350</v>
      </c>
      <c r="BL85" s="2">
        <f t="shared" si="170"/>
        <v>414770</v>
      </c>
      <c r="BM85" s="2">
        <f t="shared" si="170"/>
        <v>430266</v>
      </c>
      <c r="BN85" s="2">
        <f t="shared" si="170"/>
        <v>450256</v>
      </c>
      <c r="BO85" s="2">
        <f t="shared" si="170"/>
        <v>475374</v>
      </c>
      <c r="BP85" s="2">
        <f t="shared" ref="BP85:BQ85" si="171">SUM(BP72:BP84)</f>
        <v>502053</v>
      </c>
      <c r="BQ85" s="2">
        <f t="shared" si="171"/>
        <v>536469</v>
      </c>
      <c r="BR85" s="26"/>
      <c r="BS85" s="26"/>
      <c r="BT85" s="26"/>
      <c r="BU85" s="26"/>
      <c r="BV85" s="26"/>
      <c r="BW85" s="26"/>
      <c r="BX85" s="26"/>
      <c r="BY85" s="26"/>
      <c r="BZ85" s="26"/>
      <c r="CL85" s="2">
        <f t="shared" si="164"/>
        <v>319616</v>
      </c>
      <c r="CM85" s="2">
        <f t="shared" si="165"/>
        <v>356268</v>
      </c>
      <c r="CN85" s="2">
        <f t="shared" si="166"/>
        <v>365264</v>
      </c>
      <c r="CO85" s="2">
        <f t="shared" si="167"/>
        <v>402392</v>
      </c>
      <c r="CP85" s="2">
        <f t="shared" si="168"/>
        <v>450256</v>
      </c>
      <c r="CQ85" s="26"/>
      <c r="CR85" s="26"/>
      <c r="CS85" s="26"/>
      <c r="CT85" s="26"/>
      <c r="CU85" s="26"/>
      <c r="CV85" s="26"/>
      <c r="CW85" s="26"/>
      <c r="CX85" s="26"/>
      <c r="CY85" s="50" t="s">
        <v>2626</v>
      </c>
      <c r="CZ85" s="42">
        <f>CZ83/CZ84-1</f>
        <v>-1.3844450689200816E-2</v>
      </c>
      <c r="DA85" s="45" t="str">
        <f>IF(CZ85&gt;0,"Upside","Downside")</f>
        <v>Downside</v>
      </c>
      <c r="DB85" s="27"/>
      <c r="DC85" s="26"/>
      <c r="DD85" s="26"/>
      <c r="DE85" s="26"/>
      <c r="DF85" s="26"/>
      <c r="DG85" s="26"/>
      <c r="DH85" s="26"/>
      <c r="DI85" s="26"/>
      <c r="DJ85" s="26"/>
      <c r="DK85" s="26"/>
      <c r="DL85" s="26"/>
      <c r="DM85" s="26"/>
      <c r="DN85" s="26"/>
      <c r="DO85" s="26"/>
      <c r="DP85" s="26"/>
      <c r="DQ85" s="26"/>
      <c r="DR85" s="26"/>
      <c r="DS85" s="26"/>
      <c r="DT85" s="26"/>
      <c r="DU85" s="26"/>
      <c r="DV85" s="26"/>
      <c r="DW85" s="26"/>
      <c r="DX85" s="26"/>
      <c r="DY85" s="26"/>
      <c r="DZ85" s="26"/>
      <c r="EA85" s="26"/>
      <c r="EB85" s="26"/>
      <c r="EC85" s="26"/>
      <c r="ED85" s="26"/>
      <c r="EE85" s="26"/>
      <c r="EF85" s="26"/>
      <c r="EG85" s="26"/>
      <c r="EH85" s="26"/>
      <c r="EI85" s="26"/>
      <c r="EJ85" s="26"/>
      <c r="EK85" s="26"/>
      <c r="EL85" s="26"/>
      <c r="EM85" s="26"/>
      <c r="EN85" s="26"/>
      <c r="EO85" s="26"/>
      <c r="EP85" s="26"/>
      <c r="EQ85" s="26"/>
      <c r="ER85" s="26"/>
      <c r="ES85" s="26"/>
      <c r="ET85" s="26"/>
      <c r="EU85" s="26"/>
      <c r="EV85" s="26"/>
      <c r="EW85" s="26"/>
      <c r="EX85" s="26"/>
    </row>
    <row r="86" spans="2:154">
      <c r="CY86" s="139" t="str" cm="1">
        <f t="array" ref="CY86">_xlfn.IFS(CZ85&gt;=25%,"Strong Buy",CZ85&gt;=10.00001%,"Buy",AND(CZ85&lt;=10%,CZ85&gt;=-4.9999%),"Hold",AND(CZ85&lt;=-5%,CZ85&gt;=-14.999999%),"Sell",CZ85&lt;=-15%,"Strong Sell")</f>
        <v>Hold</v>
      </c>
      <c r="CZ86" s="139"/>
    </row>
    <row r="87" spans="2:154" ht="15" customHeight="1">
      <c r="B87" s="1" t="s">
        <v>277</v>
      </c>
      <c r="AX87" s="1">
        <v>5589</v>
      </c>
      <c r="AY87" s="1">
        <v>4801</v>
      </c>
      <c r="AZ87" s="1">
        <v>4708</v>
      </c>
      <c r="BA87" s="1">
        <v>4616</v>
      </c>
      <c r="BB87" s="1">
        <v>6037</v>
      </c>
      <c r="BC87" s="1">
        <v>3436</v>
      </c>
      <c r="BD87" s="1">
        <v>4409</v>
      </c>
      <c r="BE87" s="1">
        <v>6303</v>
      </c>
      <c r="BF87" s="1">
        <v>5128</v>
      </c>
      <c r="BG87" s="1">
        <v>4184</v>
      </c>
      <c r="BH87" s="1">
        <v>5313</v>
      </c>
      <c r="BI87" s="1">
        <v>5803</v>
      </c>
      <c r="BJ87" s="1">
        <v>7493</v>
      </c>
      <c r="BK87" s="1">
        <v>6198</v>
      </c>
      <c r="BL87" s="1">
        <v>6092</v>
      </c>
      <c r="BM87" s="1">
        <v>7049</v>
      </c>
      <c r="BN87" s="1">
        <v>7987</v>
      </c>
      <c r="BO87" s="1">
        <v>8497</v>
      </c>
      <c r="BP87" s="1">
        <v>8347</v>
      </c>
      <c r="BQ87" s="1">
        <v>10546</v>
      </c>
      <c r="CL87" s="1">
        <f t="shared" ref="CL87:CL101" si="172">AX87</f>
        <v>5589</v>
      </c>
      <c r="CM87" s="1">
        <f t="shared" ref="CM87:CM101" si="173">BB87</f>
        <v>6037</v>
      </c>
      <c r="CN87" s="1">
        <f t="shared" ref="CN87:CN101" si="174">BF87</f>
        <v>5128</v>
      </c>
      <c r="CO87" s="1">
        <f t="shared" ref="CO87:CO101" si="175">BJ87</f>
        <v>7493</v>
      </c>
      <c r="CP87" s="1">
        <f t="shared" ref="CP87:CP101" si="176">BN87</f>
        <v>7987</v>
      </c>
      <c r="DB87" s="26"/>
    </row>
    <row r="88" spans="2:154">
      <c r="B88" s="1" t="s">
        <v>278</v>
      </c>
      <c r="AX88" s="1">
        <v>11086</v>
      </c>
      <c r="AY88" s="1">
        <v>8375</v>
      </c>
      <c r="AZ88" s="1">
        <v>10088</v>
      </c>
      <c r="BA88" s="1">
        <v>12170</v>
      </c>
      <c r="BB88" s="1">
        <v>13889</v>
      </c>
      <c r="BC88" s="1">
        <v>9803</v>
      </c>
      <c r="BD88" s="1">
        <v>10852</v>
      </c>
      <c r="BE88" s="1">
        <v>12366</v>
      </c>
      <c r="BF88" s="1">
        <v>14028</v>
      </c>
      <c r="BG88" s="1">
        <v>9954</v>
      </c>
      <c r="BH88" s="1">
        <v>11260</v>
      </c>
      <c r="BI88" s="1">
        <v>12562</v>
      </c>
      <c r="BJ88" s="1">
        <v>15140</v>
      </c>
      <c r="BK88" s="1">
        <v>9703</v>
      </c>
      <c r="BL88" s="1">
        <v>11373</v>
      </c>
      <c r="BM88" s="1">
        <v>12908</v>
      </c>
      <c r="BN88" s="1">
        <v>15069</v>
      </c>
      <c r="BO88" s="1">
        <v>9984</v>
      </c>
      <c r="BP88" s="1">
        <v>12168</v>
      </c>
      <c r="BQ88" s="1">
        <v>13944</v>
      </c>
      <c r="CL88" s="1">
        <f t="shared" si="172"/>
        <v>11086</v>
      </c>
      <c r="CM88" s="1">
        <f t="shared" si="173"/>
        <v>13889</v>
      </c>
      <c r="CN88" s="1">
        <f t="shared" si="174"/>
        <v>14028</v>
      </c>
      <c r="CO88" s="1">
        <f t="shared" si="175"/>
        <v>15140</v>
      </c>
      <c r="CP88" s="1">
        <f t="shared" si="176"/>
        <v>15069</v>
      </c>
    </row>
    <row r="89" spans="2:154">
      <c r="B89" s="1" t="s">
        <v>279</v>
      </c>
      <c r="AX89" s="1">
        <v>28631</v>
      </c>
      <c r="AY89" s="1">
        <v>30732</v>
      </c>
      <c r="AZ89" s="1">
        <v>28981</v>
      </c>
      <c r="BA89" s="1">
        <v>30113</v>
      </c>
      <c r="BB89" s="1">
        <v>31236</v>
      </c>
      <c r="BC89" s="1">
        <v>33051</v>
      </c>
      <c r="BD89" s="1">
        <v>32976</v>
      </c>
      <c r="BE89" s="1">
        <v>35038</v>
      </c>
      <c r="BF89" s="1">
        <v>37866</v>
      </c>
      <c r="BG89" s="1">
        <v>43185</v>
      </c>
      <c r="BH89" s="1">
        <v>29300</v>
      </c>
      <c r="BI89" s="1">
        <v>55602</v>
      </c>
      <c r="BJ89" s="1">
        <v>46168</v>
      </c>
      <c r="BK89" s="1">
        <v>48603</v>
      </c>
      <c r="BL89" s="1">
        <v>47298</v>
      </c>
      <c r="BM89" s="1">
        <v>46585</v>
      </c>
      <c r="BN89" s="1">
        <v>51228</v>
      </c>
      <c r="BO89" s="1">
        <v>58300</v>
      </c>
      <c r="BP89" s="1">
        <v>52039</v>
      </c>
      <c r="BQ89" s="1">
        <v>59437</v>
      </c>
      <c r="CL89" s="1">
        <f t="shared" si="172"/>
        <v>28631</v>
      </c>
      <c r="CM89" s="1">
        <f t="shared" si="173"/>
        <v>31236</v>
      </c>
      <c r="CN89" s="1">
        <f t="shared" si="174"/>
        <v>37866</v>
      </c>
      <c r="CO89" s="1">
        <f t="shared" si="175"/>
        <v>46168</v>
      </c>
      <c r="CP89" s="1">
        <f t="shared" si="176"/>
        <v>51228</v>
      </c>
    </row>
    <row r="90" spans="2:154">
      <c r="B90" s="1" t="s">
        <v>282</v>
      </c>
      <c r="AX90" s="1">
        <v>7500</v>
      </c>
      <c r="AY90" s="1">
        <v>6962</v>
      </c>
      <c r="AZ90" s="1">
        <v>7438</v>
      </c>
      <c r="BA90" s="1">
        <v>7745</v>
      </c>
      <c r="BB90" s="1">
        <v>8996</v>
      </c>
      <c r="BC90" s="1">
        <v>8116</v>
      </c>
      <c r="BD90" s="1">
        <v>7889</v>
      </c>
      <c r="BE90" s="1">
        <v>7662</v>
      </c>
      <c r="BF90" s="1">
        <v>8370</v>
      </c>
      <c r="BG90" s="1">
        <v>7816</v>
      </c>
      <c r="BH90" s="1">
        <v>7990</v>
      </c>
      <c r="BI90" s="1">
        <v>8025</v>
      </c>
      <c r="BJ90" s="1">
        <v>8876</v>
      </c>
      <c r="BK90" s="1">
        <v>8520</v>
      </c>
      <c r="BL90" s="1">
        <v>8899</v>
      </c>
      <c r="BM90" s="1">
        <v>9365</v>
      </c>
      <c r="BN90" s="1">
        <v>9802</v>
      </c>
      <c r="BO90" s="1">
        <v>9965</v>
      </c>
      <c r="BP90" s="1">
        <v>9787</v>
      </c>
      <c r="BQ90" s="1">
        <v>10081</v>
      </c>
      <c r="CL90" s="1">
        <f t="shared" si="172"/>
        <v>7500</v>
      </c>
      <c r="CM90" s="1">
        <f t="shared" si="173"/>
        <v>8996</v>
      </c>
      <c r="CN90" s="1">
        <f t="shared" si="174"/>
        <v>8370</v>
      </c>
      <c r="CO90" s="1">
        <f t="shared" si="175"/>
        <v>8876</v>
      </c>
      <c r="CP90" s="1">
        <f t="shared" si="176"/>
        <v>9802</v>
      </c>
    </row>
    <row r="91" spans="2:154">
      <c r="B91" s="1" t="s">
        <v>280</v>
      </c>
      <c r="AX91" s="1">
        <v>2543</v>
      </c>
      <c r="AY91" s="1">
        <v>2690</v>
      </c>
      <c r="AZ91" s="1">
        <v>2715</v>
      </c>
      <c r="BA91" s="1">
        <v>2968</v>
      </c>
      <c r="BB91" s="1">
        <v>3288</v>
      </c>
      <c r="BC91" s="1">
        <v>3198</v>
      </c>
      <c r="BD91" s="1">
        <v>3272</v>
      </c>
      <c r="BE91" s="1">
        <v>3585</v>
      </c>
      <c r="BF91" s="1">
        <v>3908</v>
      </c>
      <c r="BG91" s="1">
        <v>3715</v>
      </c>
      <c r="BH91" s="1">
        <v>3846</v>
      </c>
      <c r="BI91" s="1">
        <v>4303</v>
      </c>
      <c r="BJ91" s="1">
        <v>4137</v>
      </c>
      <c r="BK91" s="1">
        <v>3973</v>
      </c>
      <c r="BL91" s="1">
        <v>4251</v>
      </c>
      <c r="BM91" s="1">
        <v>4896</v>
      </c>
      <c r="BN91" s="1">
        <v>5036</v>
      </c>
      <c r="BO91" s="1">
        <v>4908</v>
      </c>
      <c r="BP91" s="1">
        <v>4969</v>
      </c>
      <c r="BQ91" s="1">
        <v>5542</v>
      </c>
      <c r="CL91" s="1">
        <f t="shared" si="172"/>
        <v>2543</v>
      </c>
      <c r="CM91" s="1">
        <f t="shared" si="173"/>
        <v>3288</v>
      </c>
      <c r="CN91" s="1">
        <f t="shared" si="174"/>
        <v>3908</v>
      </c>
      <c r="CO91" s="1">
        <f t="shared" si="175"/>
        <v>4137</v>
      </c>
      <c r="CP91" s="1">
        <f t="shared" si="176"/>
        <v>5036</v>
      </c>
    </row>
    <row r="92" spans="2:154">
      <c r="B92" s="1" t="s">
        <v>297</v>
      </c>
      <c r="AX92" s="1">
        <v>1485</v>
      </c>
      <c r="AY92" s="1">
        <v>1893</v>
      </c>
      <c r="AZ92" s="1">
        <v>1811</v>
      </c>
      <c r="BA92" s="1">
        <v>4170</v>
      </c>
      <c r="BB92" s="1">
        <v>808</v>
      </c>
      <c r="BC92" s="1">
        <v>4344</v>
      </c>
      <c r="BD92" s="1">
        <v>1956</v>
      </c>
      <c r="BE92" s="1">
        <v>1025</v>
      </c>
      <c r="BF92" s="1">
        <v>0</v>
      </c>
      <c r="BG92" s="1">
        <v>0</v>
      </c>
      <c r="BH92" s="1">
        <v>0</v>
      </c>
      <c r="BI92" s="1">
        <v>0</v>
      </c>
      <c r="BJ92" s="1">
        <v>0</v>
      </c>
      <c r="BK92" s="1">
        <v>0</v>
      </c>
      <c r="BL92" s="1">
        <v>0</v>
      </c>
      <c r="BM92" s="1">
        <v>0</v>
      </c>
      <c r="BN92" s="1">
        <v>0</v>
      </c>
      <c r="BO92" s="1">
        <v>0</v>
      </c>
      <c r="BP92" s="1">
        <v>0</v>
      </c>
      <c r="BQ92" s="1">
        <v>0</v>
      </c>
      <c r="CL92" s="1">
        <f t="shared" si="172"/>
        <v>1485</v>
      </c>
      <c r="CM92" s="1">
        <f t="shared" si="173"/>
        <v>808</v>
      </c>
      <c r="CN92" s="1">
        <f t="shared" si="174"/>
        <v>0</v>
      </c>
      <c r="CO92" s="1">
        <f t="shared" si="175"/>
        <v>0</v>
      </c>
      <c r="CP92" s="1">
        <f t="shared" si="176"/>
        <v>0</v>
      </c>
    </row>
    <row r="93" spans="2:154">
      <c r="B93" s="1" t="s">
        <v>281</v>
      </c>
      <c r="AX93" s="1">
        <v>13932</v>
      </c>
      <c r="AY93" s="1">
        <v>13887</v>
      </c>
      <c r="AZ93" s="1">
        <v>14328</v>
      </c>
      <c r="BA93" s="1">
        <v>14288</v>
      </c>
      <c r="BB93" s="1">
        <v>14817</v>
      </c>
      <c r="BC93" s="1">
        <v>14791</v>
      </c>
      <c r="BD93" s="1">
        <v>14734</v>
      </c>
      <c r="BE93" s="1">
        <v>14653</v>
      </c>
      <c r="BF93" s="1">
        <v>14701</v>
      </c>
      <c r="BG93" s="1">
        <v>13697</v>
      </c>
      <c r="BH93" s="1">
        <v>13705</v>
      </c>
      <c r="BI93" s="1">
        <v>13781</v>
      </c>
      <c r="BJ93" s="1">
        <v>13253</v>
      </c>
      <c r="BK93" s="1">
        <v>13228</v>
      </c>
      <c r="BL93" s="1">
        <v>13238</v>
      </c>
      <c r="BM93" s="1">
        <v>12297</v>
      </c>
      <c r="BN93" s="1">
        <v>10883</v>
      </c>
      <c r="BO93" s="1">
        <v>10886</v>
      </c>
      <c r="BP93" s="1">
        <v>23607</v>
      </c>
      <c r="BQ93" s="1">
        <v>21607</v>
      </c>
      <c r="CL93" s="1">
        <f t="shared" si="172"/>
        <v>13932</v>
      </c>
      <c r="CM93" s="1">
        <f t="shared" si="173"/>
        <v>14817</v>
      </c>
      <c r="CN93" s="1">
        <f t="shared" si="174"/>
        <v>14701</v>
      </c>
      <c r="CO93" s="1">
        <f t="shared" si="175"/>
        <v>13253</v>
      </c>
      <c r="CP93" s="1">
        <f t="shared" si="176"/>
        <v>10883</v>
      </c>
    </row>
    <row r="94" spans="2:154">
      <c r="B94" s="1" t="s">
        <v>291</v>
      </c>
      <c r="AX94" s="1">
        <v>481</v>
      </c>
      <c r="AY94" s="1">
        <v>530</v>
      </c>
      <c r="AZ94" s="1">
        <v>510</v>
      </c>
      <c r="BA94" s="1">
        <v>510</v>
      </c>
      <c r="BB94" s="1">
        <v>535</v>
      </c>
      <c r="BC94" s="1">
        <v>499</v>
      </c>
      <c r="BD94" s="1">
        <v>472</v>
      </c>
      <c r="BE94" s="1">
        <v>594</v>
      </c>
      <c r="BF94" s="1">
        <v>599</v>
      </c>
      <c r="BG94" s="1">
        <v>610</v>
      </c>
      <c r="BH94" s="1">
        <v>667</v>
      </c>
      <c r="BI94" s="1">
        <v>884</v>
      </c>
      <c r="BJ94" s="1">
        <v>911</v>
      </c>
      <c r="BK94" s="1">
        <v>921</v>
      </c>
      <c r="BL94" s="1">
        <v>985</v>
      </c>
      <c r="BM94" s="1">
        <v>1015</v>
      </c>
      <c r="BN94" s="1">
        <v>0</v>
      </c>
      <c r="BO94" s="1">
        <v>0</v>
      </c>
      <c r="BP94" s="1">
        <v>0</v>
      </c>
      <c r="BQ94" s="1">
        <v>0</v>
      </c>
      <c r="CL94" s="1">
        <f t="shared" si="172"/>
        <v>481</v>
      </c>
      <c r="CM94" s="1">
        <f t="shared" si="173"/>
        <v>535</v>
      </c>
      <c r="CN94" s="1">
        <f t="shared" si="174"/>
        <v>599</v>
      </c>
      <c r="CO94" s="1">
        <f t="shared" si="175"/>
        <v>911</v>
      </c>
      <c r="CP94" s="1">
        <f t="shared" si="176"/>
        <v>0</v>
      </c>
    </row>
    <row r="95" spans="2:154">
      <c r="B95" s="1" t="s">
        <v>292</v>
      </c>
      <c r="AX95" s="1">
        <v>8849</v>
      </c>
      <c r="AY95" s="1">
        <v>9278</v>
      </c>
      <c r="AZ95" s="1">
        <v>8651</v>
      </c>
      <c r="BA95" s="1">
        <v>8984</v>
      </c>
      <c r="BB95" s="1">
        <v>9176</v>
      </c>
      <c r="BC95" s="1">
        <v>9406</v>
      </c>
      <c r="BD95" s="1">
        <v>8163</v>
      </c>
      <c r="BE95" s="1">
        <v>8572</v>
      </c>
      <c r="BF95" s="1">
        <v>9258</v>
      </c>
      <c r="BG95" s="1">
        <v>9722</v>
      </c>
      <c r="BH95" s="1">
        <v>8753</v>
      </c>
      <c r="BI95" s="1">
        <v>8038</v>
      </c>
      <c r="BJ95" s="1">
        <v>8474</v>
      </c>
      <c r="BK95" s="1">
        <v>9234</v>
      </c>
      <c r="BL95" s="1">
        <v>7703</v>
      </c>
      <c r="BM95" s="1">
        <v>8219</v>
      </c>
      <c r="BN95" s="1">
        <v>0</v>
      </c>
      <c r="BO95" s="1">
        <v>0</v>
      </c>
      <c r="BP95" s="1">
        <v>0</v>
      </c>
      <c r="BQ95" s="1">
        <v>0</v>
      </c>
      <c r="CL95" s="1">
        <f t="shared" si="172"/>
        <v>8849</v>
      </c>
      <c r="CM95" s="1">
        <f t="shared" si="173"/>
        <v>9176</v>
      </c>
      <c r="CN95" s="1">
        <f t="shared" si="174"/>
        <v>9258</v>
      </c>
      <c r="CO95" s="1">
        <f t="shared" si="175"/>
        <v>8474</v>
      </c>
      <c r="CP95" s="1">
        <f t="shared" si="176"/>
        <v>0</v>
      </c>
    </row>
    <row r="96" spans="2:154">
      <c r="B96" s="1" t="s">
        <v>293</v>
      </c>
      <c r="AX96" s="1">
        <v>3561</v>
      </c>
      <c r="AY96" s="1">
        <v>4406</v>
      </c>
      <c r="AZ96" s="1">
        <v>4703</v>
      </c>
      <c r="BA96" s="1">
        <v>3551</v>
      </c>
      <c r="BB96" s="1">
        <v>5257</v>
      </c>
      <c r="BC96" s="1">
        <v>2843</v>
      </c>
      <c r="BD96" s="1">
        <v>924</v>
      </c>
      <c r="BE96" s="1">
        <v>476</v>
      </c>
      <c r="BF96" s="1">
        <v>514</v>
      </c>
      <c r="BG96" s="1">
        <v>542</v>
      </c>
      <c r="BH96" s="1">
        <v>558</v>
      </c>
      <c r="BI96" s="1">
        <v>528</v>
      </c>
      <c r="BJ96" s="1">
        <v>485</v>
      </c>
      <c r="BK96" s="1">
        <v>486</v>
      </c>
      <c r="BL96" s="1">
        <v>717</v>
      </c>
      <c r="BM96" s="1">
        <v>706</v>
      </c>
      <c r="BN96" s="1">
        <v>8782</v>
      </c>
      <c r="BO96" s="1">
        <v>9773</v>
      </c>
      <c r="BP96" s="1">
        <v>10027</v>
      </c>
      <c r="BQ96" s="1">
        <v>10072</v>
      </c>
      <c r="CL96" s="1">
        <f t="shared" si="172"/>
        <v>3561</v>
      </c>
      <c r="CM96" s="1">
        <f t="shared" si="173"/>
        <v>5257</v>
      </c>
      <c r="CN96" s="1">
        <f t="shared" si="174"/>
        <v>514</v>
      </c>
      <c r="CO96" s="1">
        <f t="shared" si="175"/>
        <v>485</v>
      </c>
      <c r="CP96" s="1">
        <f t="shared" si="176"/>
        <v>8782</v>
      </c>
    </row>
    <row r="97" spans="2:154">
      <c r="B97" s="1" t="s">
        <v>283</v>
      </c>
      <c r="AX97" s="1">
        <v>11146</v>
      </c>
      <c r="AY97" s="1">
        <v>11382</v>
      </c>
      <c r="AZ97" s="1">
        <v>11619</v>
      </c>
      <c r="BA97" s="1">
        <v>11471</v>
      </c>
      <c r="BB97" s="1">
        <v>11389</v>
      </c>
      <c r="BC97" s="1">
        <v>11363</v>
      </c>
      <c r="BD97" s="1">
        <v>11697</v>
      </c>
      <c r="BE97" s="1">
        <v>11984</v>
      </c>
      <c r="BF97" s="1">
        <v>12501</v>
      </c>
      <c r="BG97" s="1">
        <v>12799</v>
      </c>
      <c r="BH97" s="1">
        <v>12746</v>
      </c>
      <c r="BI97" s="1">
        <v>12550</v>
      </c>
      <c r="BJ97" s="1">
        <v>12460</v>
      </c>
      <c r="BK97" s="1">
        <v>11957</v>
      </c>
      <c r="BL97" s="1">
        <v>11708</v>
      </c>
      <c r="BM97" s="1">
        <v>11654</v>
      </c>
      <c r="BN97" s="1">
        <v>11691</v>
      </c>
      <c r="BO97" s="1">
        <v>11678</v>
      </c>
      <c r="BP97" s="1">
        <v>11952</v>
      </c>
      <c r="BQ97" s="1">
        <v>12106</v>
      </c>
      <c r="CL97" s="1">
        <f t="shared" si="172"/>
        <v>11146</v>
      </c>
      <c r="CM97" s="1">
        <f t="shared" si="173"/>
        <v>11389</v>
      </c>
      <c r="CN97" s="1">
        <f t="shared" si="174"/>
        <v>12501</v>
      </c>
      <c r="CO97" s="1">
        <f t="shared" si="175"/>
        <v>12460</v>
      </c>
      <c r="CP97" s="1">
        <f t="shared" si="176"/>
        <v>11691</v>
      </c>
    </row>
    <row r="98" spans="2:154">
      <c r="B98" s="1" t="s">
        <v>284</v>
      </c>
      <c r="AX98" s="1">
        <v>2269</v>
      </c>
      <c r="AY98" s="1">
        <v>2146</v>
      </c>
      <c r="AZ98" s="1">
        <v>2270</v>
      </c>
      <c r="BA98" s="1">
        <v>2250</v>
      </c>
      <c r="BB98" s="1">
        <v>2205</v>
      </c>
      <c r="BC98" s="1">
        <v>2242</v>
      </c>
      <c r="BD98" s="1">
        <v>2422</v>
      </c>
      <c r="BE98" s="1">
        <v>2371</v>
      </c>
      <c r="BF98" s="1">
        <v>2247</v>
      </c>
      <c r="BG98" s="1">
        <v>2373</v>
      </c>
      <c r="BH98" s="1">
        <v>1765</v>
      </c>
      <c r="BI98" s="1">
        <v>1433</v>
      </c>
      <c r="BJ98" s="1">
        <v>1616</v>
      </c>
      <c r="BK98" s="1">
        <v>1683</v>
      </c>
      <c r="BL98" s="1">
        <v>1753</v>
      </c>
      <c r="BM98" s="1">
        <v>1453</v>
      </c>
      <c r="BN98" s="1">
        <v>4694</v>
      </c>
      <c r="BO98" s="1">
        <v>6116</v>
      </c>
      <c r="BP98" s="1">
        <v>6241</v>
      </c>
      <c r="BQ98" s="1">
        <v>6267</v>
      </c>
      <c r="CL98" s="1">
        <f t="shared" si="172"/>
        <v>2269</v>
      </c>
      <c r="CM98" s="1">
        <f t="shared" si="173"/>
        <v>2205</v>
      </c>
      <c r="CN98" s="1">
        <f t="shared" si="174"/>
        <v>2247</v>
      </c>
      <c r="CO98" s="1">
        <f t="shared" si="175"/>
        <v>1616</v>
      </c>
      <c r="CP98" s="1">
        <f t="shared" si="176"/>
        <v>4694</v>
      </c>
    </row>
    <row r="99" spans="2:154" s="2" customFormat="1" ht="15">
      <c r="B99" s="2" t="s">
        <v>285</v>
      </c>
      <c r="AX99" s="2">
        <f t="shared" ref="AX99:BO99" si="177">SUM(AX87:AX98)</f>
        <v>97072</v>
      </c>
      <c r="AY99" s="2">
        <f t="shared" si="177"/>
        <v>97082</v>
      </c>
      <c r="AZ99" s="2">
        <f t="shared" si="177"/>
        <v>97822</v>
      </c>
      <c r="BA99" s="2">
        <f t="shared" si="177"/>
        <v>102836</v>
      </c>
      <c r="BB99" s="2">
        <f t="shared" si="177"/>
        <v>107633</v>
      </c>
      <c r="BC99" s="2">
        <f t="shared" si="177"/>
        <v>103092</v>
      </c>
      <c r="BD99" s="2">
        <f t="shared" si="177"/>
        <v>99766</v>
      </c>
      <c r="BE99" s="2">
        <f t="shared" si="177"/>
        <v>104629</v>
      </c>
      <c r="BF99" s="2">
        <f t="shared" si="177"/>
        <v>109120</v>
      </c>
      <c r="BG99" s="2">
        <f t="shared" si="177"/>
        <v>108597</v>
      </c>
      <c r="BH99" s="2">
        <f t="shared" si="177"/>
        <v>95903</v>
      </c>
      <c r="BI99" s="2">
        <f t="shared" si="177"/>
        <v>123509</v>
      </c>
      <c r="BJ99" s="2">
        <f t="shared" si="177"/>
        <v>119013</v>
      </c>
      <c r="BK99" s="2">
        <f t="shared" si="177"/>
        <v>114506</v>
      </c>
      <c r="BL99" s="2">
        <f t="shared" si="177"/>
        <v>114017</v>
      </c>
      <c r="BM99" s="2">
        <f t="shared" si="177"/>
        <v>116147</v>
      </c>
      <c r="BN99" s="2">
        <f t="shared" si="177"/>
        <v>125172</v>
      </c>
      <c r="BO99" s="2">
        <f t="shared" si="177"/>
        <v>130107</v>
      </c>
      <c r="BP99" s="2">
        <f>SUM(BP87:BP98)</f>
        <v>139137</v>
      </c>
      <c r="BQ99" s="2">
        <f>SUM(BQ87:BQ98)</f>
        <v>149602</v>
      </c>
      <c r="BR99" s="26"/>
      <c r="BS99" s="26"/>
      <c r="BT99" s="26"/>
      <c r="BU99" s="26"/>
      <c r="BV99" s="26"/>
      <c r="BW99" s="26"/>
      <c r="BX99" s="26"/>
      <c r="BY99" s="26"/>
      <c r="BZ99" s="26"/>
      <c r="CL99" s="2">
        <f t="shared" si="172"/>
        <v>97072</v>
      </c>
      <c r="CM99" s="2">
        <f t="shared" si="173"/>
        <v>107633</v>
      </c>
      <c r="CN99" s="2">
        <f t="shared" si="174"/>
        <v>109120</v>
      </c>
      <c r="CO99" s="2">
        <f t="shared" si="175"/>
        <v>119013</v>
      </c>
      <c r="CP99" s="2">
        <f t="shared" si="176"/>
        <v>125172</v>
      </c>
      <c r="CQ99" s="26"/>
      <c r="CR99" s="26"/>
      <c r="CS99" s="26"/>
      <c r="CT99" s="26"/>
      <c r="CU99" s="26"/>
      <c r="CV99" s="26"/>
      <c r="CW99" s="26"/>
      <c r="CX99" s="26"/>
      <c r="CY99" s="26"/>
      <c r="CZ99" s="26"/>
      <c r="DA99" s="26"/>
      <c r="DB99" s="26"/>
      <c r="DC99" s="26"/>
      <c r="DD99" s="26"/>
      <c r="DE99" s="26"/>
      <c r="DF99" s="26"/>
      <c r="DG99" s="26"/>
      <c r="DH99" s="26"/>
      <c r="DI99" s="26"/>
      <c r="DJ99" s="26"/>
      <c r="DK99" s="26"/>
      <c r="DL99" s="26"/>
      <c r="DM99" s="26"/>
      <c r="DN99" s="26"/>
      <c r="DO99" s="26"/>
      <c r="DP99" s="26"/>
      <c r="DQ99" s="26"/>
      <c r="DR99" s="26"/>
      <c r="DS99" s="26"/>
      <c r="DT99" s="26"/>
      <c r="DU99" s="26"/>
      <c r="DV99" s="26"/>
      <c r="DW99" s="26"/>
      <c r="DX99" s="26"/>
      <c r="DY99" s="26"/>
      <c r="DZ99" s="26"/>
      <c r="EA99" s="26"/>
      <c r="EB99" s="26"/>
      <c r="EC99" s="26"/>
      <c r="ED99" s="26"/>
      <c r="EE99" s="26"/>
      <c r="EF99" s="26"/>
      <c r="EG99" s="26"/>
      <c r="EH99" s="26"/>
      <c r="EI99" s="26"/>
      <c r="EJ99" s="26"/>
      <c r="EK99" s="26"/>
      <c r="EL99" s="26"/>
      <c r="EM99" s="26"/>
      <c r="EN99" s="26"/>
      <c r="EO99" s="26"/>
      <c r="EP99" s="26"/>
      <c r="EQ99" s="26"/>
      <c r="ER99" s="26"/>
      <c r="ES99" s="26"/>
      <c r="ET99" s="26"/>
      <c r="EU99" s="26"/>
      <c r="EV99" s="26"/>
      <c r="EW99" s="26"/>
      <c r="EX99" s="26"/>
    </row>
    <row r="100" spans="2:154">
      <c r="B100" s="1" t="s">
        <v>286</v>
      </c>
      <c r="AX100" s="1">
        <v>222544</v>
      </c>
      <c r="AY100" s="1">
        <v>230013</v>
      </c>
      <c r="AZ100" s="1">
        <v>237565</v>
      </c>
      <c r="BA100" s="1">
        <v>244567</v>
      </c>
      <c r="BB100" s="1">
        <v>251635</v>
      </c>
      <c r="BC100" s="1">
        <v>254004</v>
      </c>
      <c r="BD100" s="1">
        <v>255419</v>
      </c>
      <c r="BE100" s="1">
        <v>253626</v>
      </c>
      <c r="BF100" s="1">
        <v>256144</v>
      </c>
      <c r="BG100" s="1">
        <v>260894</v>
      </c>
      <c r="BH100" s="1">
        <v>267141</v>
      </c>
      <c r="BI100" s="1">
        <v>273202</v>
      </c>
      <c r="BJ100" s="1">
        <v>283379</v>
      </c>
      <c r="BK100" s="1">
        <v>292844</v>
      </c>
      <c r="BL100" s="1">
        <v>300753</v>
      </c>
      <c r="BM100" s="1">
        <v>314119</v>
      </c>
      <c r="BN100" s="1">
        <v>325084</v>
      </c>
      <c r="BO100" s="1">
        <v>345267</v>
      </c>
      <c r="BP100" s="1">
        <v>362916</v>
      </c>
      <c r="BQ100" s="1">
        <v>386867</v>
      </c>
      <c r="CL100" s="1">
        <f t="shared" si="172"/>
        <v>222544</v>
      </c>
      <c r="CM100" s="1">
        <f t="shared" si="173"/>
        <v>251635</v>
      </c>
      <c r="CN100" s="1">
        <f t="shared" si="174"/>
        <v>256144</v>
      </c>
      <c r="CO100" s="1">
        <f t="shared" si="175"/>
        <v>283379</v>
      </c>
      <c r="CP100" s="1">
        <f t="shared" si="176"/>
        <v>325084</v>
      </c>
    </row>
    <row r="101" spans="2:154" s="2" customFormat="1" ht="15">
      <c r="B101" s="2" t="s">
        <v>287</v>
      </c>
      <c r="AX101" s="2">
        <f t="shared" ref="AX101:BO101" si="178">AX99+AX100</f>
        <v>319616</v>
      </c>
      <c r="AY101" s="2">
        <f t="shared" si="178"/>
        <v>327095</v>
      </c>
      <c r="AZ101" s="2">
        <f t="shared" si="178"/>
        <v>335387</v>
      </c>
      <c r="BA101" s="2">
        <f t="shared" si="178"/>
        <v>347403</v>
      </c>
      <c r="BB101" s="2">
        <f t="shared" si="178"/>
        <v>359268</v>
      </c>
      <c r="BC101" s="2">
        <f t="shared" si="178"/>
        <v>357096</v>
      </c>
      <c r="BD101" s="2">
        <f t="shared" si="178"/>
        <v>355185</v>
      </c>
      <c r="BE101" s="2">
        <f t="shared" si="178"/>
        <v>358255</v>
      </c>
      <c r="BF101" s="2">
        <f t="shared" si="178"/>
        <v>365264</v>
      </c>
      <c r="BG101" s="2">
        <f t="shared" si="178"/>
        <v>369491</v>
      </c>
      <c r="BH101" s="2">
        <f t="shared" si="178"/>
        <v>363044</v>
      </c>
      <c r="BI101" s="2">
        <f t="shared" si="178"/>
        <v>396711</v>
      </c>
      <c r="BJ101" s="2">
        <f t="shared" si="178"/>
        <v>402392</v>
      </c>
      <c r="BK101" s="2">
        <f t="shared" si="178"/>
        <v>407350</v>
      </c>
      <c r="BL101" s="2">
        <f t="shared" si="178"/>
        <v>414770</v>
      </c>
      <c r="BM101" s="2">
        <f t="shared" si="178"/>
        <v>430266</v>
      </c>
      <c r="BN101" s="2">
        <f t="shared" si="178"/>
        <v>450256</v>
      </c>
      <c r="BO101" s="2">
        <f t="shared" si="178"/>
        <v>475374</v>
      </c>
      <c r="BP101" s="2">
        <f t="shared" ref="BP101:BQ101" si="179">BP99+BP100</f>
        <v>502053</v>
      </c>
      <c r="BQ101" s="2">
        <f t="shared" si="179"/>
        <v>536469</v>
      </c>
      <c r="BR101" s="26"/>
      <c r="BS101" s="26"/>
      <c r="BT101" s="26"/>
      <c r="BU101" s="26"/>
      <c r="BV101" s="26"/>
      <c r="BW101" s="26"/>
      <c r="BX101" s="26"/>
      <c r="BY101" s="26"/>
      <c r="BZ101" s="26"/>
      <c r="CL101" s="2">
        <f t="shared" si="172"/>
        <v>319616</v>
      </c>
      <c r="CM101" s="2">
        <f t="shared" si="173"/>
        <v>359268</v>
      </c>
      <c r="CN101" s="2">
        <f t="shared" si="174"/>
        <v>365264</v>
      </c>
      <c r="CO101" s="2">
        <f t="shared" si="175"/>
        <v>402392</v>
      </c>
      <c r="CP101" s="2">
        <f t="shared" si="176"/>
        <v>450256</v>
      </c>
      <c r="CQ101" s="26"/>
      <c r="CR101" s="26"/>
      <c r="CS101" s="26"/>
      <c r="CT101" s="26"/>
      <c r="CU101" s="26"/>
      <c r="CV101" s="26"/>
      <c r="CW101" s="26"/>
      <c r="CX101" s="26"/>
      <c r="CY101" s="26"/>
      <c r="CZ101" s="26"/>
      <c r="DA101" s="26"/>
      <c r="DB101" s="26"/>
      <c r="DC101" s="26"/>
      <c r="DD101" s="26"/>
      <c r="DE101" s="26"/>
      <c r="DF101" s="26"/>
      <c r="DG101" s="26"/>
      <c r="DH101" s="26"/>
      <c r="DI101" s="26"/>
      <c r="DJ101" s="26"/>
      <c r="DK101" s="26"/>
      <c r="DL101" s="26"/>
      <c r="DM101" s="26"/>
      <c r="DN101" s="26"/>
      <c r="DO101" s="26"/>
      <c r="DP101" s="26"/>
      <c r="DQ101" s="26"/>
      <c r="DR101" s="26"/>
      <c r="DS101" s="26"/>
      <c r="DT101" s="26"/>
      <c r="DU101" s="26"/>
      <c r="DV101" s="26"/>
      <c r="DW101" s="26"/>
      <c r="DX101" s="26"/>
      <c r="DY101" s="26"/>
      <c r="DZ101" s="26"/>
      <c r="EA101" s="26"/>
      <c r="EB101" s="26"/>
      <c r="EC101" s="26"/>
      <c r="ED101" s="26"/>
      <c r="EE101" s="26"/>
      <c r="EF101" s="26"/>
      <c r="EG101" s="26"/>
      <c r="EH101" s="26"/>
      <c r="EI101" s="26"/>
      <c r="EJ101" s="26"/>
      <c r="EK101" s="26"/>
      <c r="EL101" s="26"/>
      <c r="EM101" s="26"/>
      <c r="EN101" s="26"/>
      <c r="EO101" s="26"/>
      <c r="EP101" s="26"/>
      <c r="EQ101" s="26"/>
      <c r="ER101" s="26"/>
      <c r="ES101" s="26"/>
      <c r="ET101" s="26"/>
      <c r="EU101" s="26"/>
      <c r="EV101" s="26"/>
      <c r="EW101" s="26"/>
      <c r="EX101" s="26"/>
    </row>
    <row r="103" spans="2:154">
      <c r="B103" s="1" t="s">
        <v>65</v>
      </c>
      <c r="AX103" s="30">
        <f t="shared" ref="AX103:BN103" si="180">SUM(AX72:AX77)/SUM(AX87:AX92)</f>
        <v>3.0667558151810534</v>
      </c>
      <c r="AY103" s="30">
        <f t="shared" si="180"/>
        <v>3.1041963464555571</v>
      </c>
      <c r="AZ103" s="30">
        <f t="shared" si="180"/>
        <v>3.152024542078542</v>
      </c>
      <c r="BA103" s="30">
        <f t="shared" si="180"/>
        <v>2.9799941730601147</v>
      </c>
      <c r="BB103" s="30">
        <f t="shared" si="180"/>
        <v>2.8814237245930214</v>
      </c>
      <c r="BC103" s="30">
        <f t="shared" si="180"/>
        <v>2.871004713630787</v>
      </c>
      <c r="BD103" s="30">
        <f t="shared" si="180"/>
        <v>2.8094500766046222</v>
      </c>
      <c r="BE103" s="30">
        <f t="shared" si="180"/>
        <v>2.5176040861486229</v>
      </c>
      <c r="BF103" s="30">
        <f t="shared" si="180"/>
        <v>2.3779942279942281</v>
      </c>
      <c r="BG103" s="30">
        <f t="shared" si="180"/>
        <v>2.3525866325848899</v>
      </c>
      <c r="BH103" s="30">
        <f t="shared" si="180"/>
        <v>2.9248124209395416</v>
      </c>
      <c r="BI103" s="30">
        <f t="shared" si="180"/>
        <v>2.0431079436815573</v>
      </c>
      <c r="BJ103" s="30">
        <f t="shared" si="180"/>
        <v>2.0965849365634242</v>
      </c>
      <c r="BK103" s="30">
        <f t="shared" si="180"/>
        <v>2.1490577554969672</v>
      </c>
      <c r="BL103" s="30">
        <f t="shared" si="180"/>
        <v>2.0791780575770411</v>
      </c>
      <c r="BM103" s="30">
        <f t="shared" si="180"/>
        <v>1.9496924619135427</v>
      </c>
      <c r="BN103" s="30">
        <f t="shared" si="180"/>
        <v>1.8369313974102914</v>
      </c>
      <c r="BO103" s="30">
        <f>SUM(BO72:BO77)/SUM(BO87:BO92)</f>
        <v>1.7680843171056364</v>
      </c>
      <c r="BP103" s="30">
        <f>SUM(BP72:BP77)/SUM(BP87:BP92)</f>
        <v>1.9037452754552744</v>
      </c>
      <c r="BQ103" s="30">
        <f>SUM(BQ72:BQ77)/SUM(BQ87:BQ92)</f>
        <v>1.7473329984932195</v>
      </c>
      <c r="CL103" s="30">
        <f t="shared" ref="CL103:CO103" si="181">SUM(CL72:CL77)/SUM(CL87:CL92)</f>
        <v>3.0667558151810534</v>
      </c>
      <c r="CM103" s="30">
        <f t="shared" si="181"/>
        <v>2.8814237245930214</v>
      </c>
      <c r="CN103" s="30">
        <f t="shared" si="181"/>
        <v>2.3779942279942281</v>
      </c>
      <c r="CO103" s="30">
        <f t="shared" si="181"/>
        <v>2.0965849365634242</v>
      </c>
      <c r="CP103" s="30">
        <f>SUM(CP72:CP77)/SUM(CP87:CP92)</f>
        <v>1.8369313974102914</v>
      </c>
    </row>
    <row r="104" spans="2:154">
      <c r="B104" s="1" t="s">
        <v>66</v>
      </c>
      <c r="AX104" s="30">
        <f t="shared" ref="AX104:BN104" si="182">(SUM(AX72:AX77)-AX76)/SUM(AX87:AX92)</f>
        <v>3.0539465812717741</v>
      </c>
      <c r="AY104" s="30">
        <f t="shared" si="182"/>
        <v>3.0881827854218886</v>
      </c>
      <c r="AZ104" s="30">
        <f t="shared" si="182"/>
        <v>3.1357528569634558</v>
      </c>
      <c r="BA104" s="30">
        <f t="shared" si="182"/>
        <v>2.9593085364669323</v>
      </c>
      <c r="BB104" s="30">
        <f t="shared" si="182"/>
        <v>2.8632147414946929</v>
      </c>
      <c r="BC104" s="30">
        <f t="shared" si="182"/>
        <v>2.8489055336734035</v>
      </c>
      <c r="BD104" s="30">
        <f t="shared" si="182"/>
        <v>2.7771783420803859</v>
      </c>
      <c r="BE104" s="30">
        <f t="shared" si="182"/>
        <v>2.4697706846117704</v>
      </c>
      <c r="BF104" s="30">
        <f t="shared" si="182"/>
        <v>2.3394660894660895</v>
      </c>
      <c r="BG104" s="30">
        <f t="shared" si="182"/>
        <v>2.318964766026665</v>
      </c>
      <c r="BH104" s="30">
        <f t="shared" si="182"/>
        <v>2.8861529397494325</v>
      </c>
      <c r="BI104" s="30">
        <f t="shared" si="182"/>
        <v>2.0088417637174807</v>
      </c>
      <c r="BJ104" s="30">
        <f t="shared" si="182"/>
        <v>2.0965849365634242</v>
      </c>
      <c r="BK104" s="30">
        <f t="shared" si="182"/>
        <v>2.1490577554969672</v>
      </c>
      <c r="BL104" s="30">
        <f t="shared" si="182"/>
        <v>2.0791780575770411</v>
      </c>
      <c r="BM104" s="30">
        <f t="shared" si="182"/>
        <v>1.9496924619135427</v>
      </c>
      <c r="BN104" s="30">
        <f t="shared" si="182"/>
        <v>1.8369313974102914</v>
      </c>
      <c r="BO104" s="30">
        <f>(SUM(BO72:BO77)-BO76)/SUM(BO87:BO92)</f>
        <v>1.7680843171056364</v>
      </c>
      <c r="BP104" s="30">
        <f>(SUM(BP72:BP77)-BP76)/SUM(BP87:BP92)</f>
        <v>1.9037452754552744</v>
      </c>
      <c r="BQ104" s="30">
        <f>(SUM(BQ72:BQ77)-BQ76)/SUM(BQ87:BQ92)</f>
        <v>1.7473329984932195</v>
      </c>
      <c r="CL104" s="30">
        <f t="shared" ref="CL104:CO104" si="183">(SUM(CL72:CL77)-CL76)/SUM(CL87:CL92)</f>
        <v>3.0539465812717741</v>
      </c>
      <c r="CM104" s="30">
        <f t="shared" si="183"/>
        <v>2.8632147414946929</v>
      </c>
      <c r="CN104" s="30">
        <f t="shared" si="183"/>
        <v>2.3394660894660895</v>
      </c>
      <c r="CO104" s="30">
        <f t="shared" si="183"/>
        <v>2.0965849365634242</v>
      </c>
      <c r="CP104" s="30">
        <f>(SUM(CP72:CP77)-CP76)/SUM(CP87:CP92)</f>
        <v>1.8369313974102914</v>
      </c>
    </row>
    <row r="105" spans="2:154">
      <c r="B105" s="1" t="s">
        <v>67</v>
      </c>
      <c r="AX105" s="30">
        <f t="shared" ref="AX105:BN105" si="184">SUM(AX72:AX73)/SUM(AX87:AX92)</f>
        <v>2.4051448076855402</v>
      </c>
      <c r="AY105" s="30">
        <f t="shared" si="184"/>
        <v>2.4363695381674573</v>
      </c>
      <c r="AZ105" s="30">
        <f t="shared" si="184"/>
        <v>2.4373979655908578</v>
      </c>
      <c r="BA105" s="30">
        <f t="shared" si="184"/>
        <v>2.298452623741543</v>
      </c>
      <c r="BB105" s="30">
        <f t="shared" si="184"/>
        <v>2.1733899835029726</v>
      </c>
      <c r="BC105" s="30">
        <f t="shared" si="184"/>
        <v>2.1626202621553561</v>
      </c>
      <c r="BD105" s="30">
        <f t="shared" si="184"/>
        <v>2.0373080809727155</v>
      </c>
      <c r="BE105" s="30">
        <f t="shared" si="184"/>
        <v>1.7620606556631655</v>
      </c>
      <c r="BF105" s="30">
        <f t="shared" si="184"/>
        <v>1.6415873015873015</v>
      </c>
      <c r="BG105" s="30">
        <f t="shared" si="184"/>
        <v>1.6716821099718244</v>
      </c>
      <c r="BH105" s="30">
        <f t="shared" si="184"/>
        <v>2.0504947235266595</v>
      </c>
      <c r="BI105" s="30">
        <f t="shared" si="184"/>
        <v>1.3898255982386001</v>
      </c>
      <c r="BJ105" s="30">
        <f t="shared" si="184"/>
        <v>1.3557092918082481</v>
      </c>
      <c r="BK105" s="30">
        <f t="shared" si="184"/>
        <v>1.4038209280881073</v>
      </c>
      <c r="BL105" s="30">
        <f t="shared" si="184"/>
        <v>1.2927881098147935</v>
      </c>
      <c r="BM105" s="30">
        <f t="shared" si="184"/>
        <v>1.1537937947848471</v>
      </c>
      <c r="BN105" s="30">
        <f t="shared" si="184"/>
        <v>1.0733264513812526</v>
      </c>
      <c r="BO105" s="30">
        <f>SUM(BO72:BO73)/SUM(BO87:BO92)</f>
        <v>1.0400855390926746</v>
      </c>
      <c r="BP105" s="30">
        <f>SUM(BP72:BP73)/SUM(BP87:BP92)</f>
        <v>1.0897720765089909</v>
      </c>
      <c r="BQ105" s="30">
        <f>SUM(BQ72:BQ73)/SUM(BQ87:BQ92)</f>
        <v>0.98941235560020091</v>
      </c>
      <c r="CL105" s="30">
        <f t="shared" ref="CL105:CO105" si="185">SUM(CL72:CL73)/SUM(CL87:CL92)</f>
        <v>2.4051448076855402</v>
      </c>
      <c r="CM105" s="30">
        <f t="shared" si="185"/>
        <v>2.1733899835029726</v>
      </c>
      <c r="CN105" s="30">
        <f t="shared" si="185"/>
        <v>1.6415873015873015</v>
      </c>
      <c r="CO105" s="30">
        <f t="shared" si="185"/>
        <v>1.3557092918082481</v>
      </c>
      <c r="CP105" s="30">
        <f>SUM(CP72:CP73)/SUM(CP87:CP92)</f>
        <v>1.0733264513812526</v>
      </c>
    </row>
    <row r="106" spans="2:154">
      <c r="B106" s="1" t="s">
        <v>68</v>
      </c>
      <c r="AX106" s="30">
        <f t="shared" ref="AX106:BP106" si="186">AX48/AX85</f>
        <v>0.17801987384861834</v>
      </c>
      <c r="AY106" s="30">
        <f t="shared" si="186"/>
        <v>0.16910683440590654</v>
      </c>
      <c r="AZ106" s="30">
        <f t="shared" si="186"/>
        <v>0.18450327532074887</v>
      </c>
      <c r="BA106" s="30">
        <f t="shared" si="186"/>
        <v>0.18744225006692516</v>
      </c>
      <c r="BB106" s="30">
        <f t="shared" si="186"/>
        <v>0.2114279138176878</v>
      </c>
      <c r="BC106" s="30">
        <f t="shared" si="186"/>
        <v>0.19045578779935929</v>
      </c>
      <c r="BD106" s="30">
        <f t="shared" si="186"/>
        <v>0.19619353294761885</v>
      </c>
      <c r="BE106" s="30">
        <f t="shared" si="186"/>
        <v>0.19285704316757618</v>
      </c>
      <c r="BF106" s="30">
        <f t="shared" si="186"/>
        <v>0.20820009636865391</v>
      </c>
      <c r="BG106" s="30">
        <f t="shared" si="186"/>
        <v>0.18887334197585326</v>
      </c>
      <c r="BH106" s="30">
        <f t="shared" si="186"/>
        <v>0.19476613652739633</v>
      </c>
      <c r="BI106" s="30">
        <f t="shared" si="186"/>
        <v>0.19332209089236246</v>
      </c>
      <c r="BJ106" s="30">
        <f t="shared" si="186"/>
        <v>0.21449233583172628</v>
      </c>
      <c r="BK106" s="30">
        <f t="shared" si="186"/>
        <v>0.19771449613354608</v>
      </c>
      <c r="BL106" s="30">
        <f t="shared" si="186"/>
        <v>0.20431082286568458</v>
      </c>
      <c r="BM106" s="30">
        <f t="shared" si="186"/>
        <v>0.20514751339868825</v>
      </c>
      <c r="BN106" s="30">
        <f t="shared" si="186"/>
        <v>0.21425366902384421</v>
      </c>
      <c r="BO106" s="30">
        <f t="shared" si="186"/>
        <v>0.18981685998813566</v>
      </c>
      <c r="BP106" s="30">
        <f t="shared" si="186"/>
        <v>0.19206737137314189</v>
      </c>
      <c r="BQ106" s="30">
        <f t="shared" ref="BQ106" si="187">BQ48/BQ85</f>
        <v>0.19077709988834396</v>
      </c>
      <c r="CL106" s="30">
        <f>CL48/CL85</f>
        <v>0.57108217360833002</v>
      </c>
      <c r="CM106" s="30">
        <f>CM48/CM85</f>
        <v>0.72315504058742297</v>
      </c>
      <c r="CN106" s="30">
        <f>CN48/CN85</f>
        <v>0.77433308511104293</v>
      </c>
      <c r="CO106" s="30">
        <f>CO48/CO85</f>
        <v>0.76391677766953614</v>
      </c>
      <c r="CP106" s="30">
        <f>CP48/CP85</f>
        <v>0.77737553747201593</v>
      </c>
    </row>
    <row r="107" spans="2:154">
      <c r="B107" s="1" t="s">
        <v>69</v>
      </c>
      <c r="AX107" s="30">
        <f t="shared" ref="AX107:BQ107" si="188">AX49/AVERAGE(AU76:AX76)</f>
        <v>35.824175824175825</v>
      </c>
      <c r="AY107" s="30">
        <f t="shared" si="188"/>
        <v>29.830445544554454</v>
      </c>
      <c r="AZ107" s="30">
        <f t="shared" si="188"/>
        <v>31.18549346016647</v>
      </c>
      <c r="BA107" s="30">
        <f t="shared" si="188"/>
        <v>29.067087608524073</v>
      </c>
      <c r="BB107" s="30">
        <f t="shared" si="188"/>
        <v>31.098750883808627</v>
      </c>
      <c r="BC107" s="30">
        <f t="shared" si="188"/>
        <v>25.062658763759526</v>
      </c>
      <c r="BD107" s="30">
        <f t="shared" si="188"/>
        <v>20.772123512161464</v>
      </c>
      <c r="BE107" s="30">
        <f t="shared" si="188"/>
        <v>16.238697068403908</v>
      </c>
      <c r="BF107" s="30">
        <f t="shared" si="188"/>
        <v>15.407956403269754</v>
      </c>
      <c r="BG107" s="30">
        <f t="shared" si="188"/>
        <v>12.098409248098013</v>
      </c>
      <c r="BH107" s="30">
        <f t="shared" si="188"/>
        <v>12.308522946394138</v>
      </c>
      <c r="BI107" s="30">
        <f t="shared" si="188"/>
        <v>13.065565713162293</v>
      </c>
      <c r="BJ107" s="30">
        <f t="shared" si="188"/>
        <v>20.031987205117954</v>
      </c>
      <c r="BK107" s="30">
        <f t="shared" si="188"/>
        <v>25.992289899768696</v>
      </c>
      <c r="BL107" s="30">
        <f t="shared" si="188"/>
        <v>48.031112614135949</v>
      </c>
      <c r="BM107" s="30" t="e">
        <f t="shared" si="188"/>
        <v>#DIV/0!</v>
      </c>
      <c r="BN107" s="30" t="e">
        <f t="shared" si="188"/>
        <v>#DIV/0!</v>
      </c>
      <c r="BO107" s="30" t="e">
        <f t="shared" si="188"/>
        <v>#DIV/0!</v>
      </c>
      <c r="BP107" s="30" t="e">
        <f t="shared" si="188"/>
        <v>#DIV/0!</v>
      </c>
      <c r="BQ107" s="30" t="e">
        <f t="shared" si="188"/>
        <v>#DIV/0!</v>
      </c>
      <c r="CL107" s="30">
        <f>CL49/AVERAGE(CI76:CL76)</f>
        <v>116.39010989010988</v>
      </c>
      <c r="CM107" s="30">
        <f>CM49/AVERAGE(CJ76:CM76)</f>
        <v>116.9009483667018</v>
      </c>
      <c r="CN107" s="30">
        <f>CN49/AVERAGE(CK76:CN76)</f>
        <v>82.882880910683014</v>
      </c>
      <c r="CO107" s="30">
        <f>CO49/AVERAGE(CL76:CO76)</f>
        <v>116.75306479859896</v>
      </c>
      <c r="CP107" s="30">
        <f>CP49/AVERAGE(CM76:CP76)</f>
        <v>152.40208333333334</v>
      </c>
    </row>
    <row r="108" spans="2:154">
      <c r="B108" s="1" t="s">
        <v>70</v>
      </c>
      <c r="AX108" s="33">
        <f t="shared" ref="AX108:BP108" si="189">AX59/AX85</f>
        <v>4.7641544853824588E-2</v>
      </c>
      <c r="AY108" s="33">
        <f t="shared" si="189"/>
        <v>5.4815879178831836E-2</v>
      </c>
      <c r="AZ108" s="33">
        <f t="shared" si="189"/>
        <v>5.5234699019341832E-2</v>
      </c>
      <c r="BA108" s="33">
        <f t="shared" si="189"/>
        <v>5.4507301318641461E-2</v>
      </c>
      <c r="BB108" s="33">
        <f t="shared" si="189"/>
        <v>5.7939528669428635E-2</v>
      </c>
      <c r="BC108" s="33">
        <f t="shared" si="189"/>
        <v>4.6026838721240228E-2</v>
      </c>
      <c r="BD108" s="33">
        <f t="shared" si="189"/>
        <v>4.5052578233878121E-2</v>
      </c>
      <c r="BE108" s="33">
        <f t="shared" si="189"/>
        <v>3.8827092434160028E-2</v>
      </c>
      <c r="BF108" s="33">
        <f t="shared" si="189"/>
        <v>3.7299049454641027E-2</v>
      </c>
      <c r="BG108" s="33">
        <f t="shared" si="189"/>
        <v>4.0734415723251718E-2</v>
      </c>
      <c r="BH108" s="33">
        <f t="shared" si="189"/>
        <v>4.7952715614916305E-2</v>
      </c>
      <c r="BI108" s="33">
        <f t="shared" si="189"/>
        <v>4.9630587505766162E-2</v>
      </c>
      <c r="BJ108" s="33">
        <f t="shared" si="189"/>
        <v>5.1410067794588364E-2</v>
      </c>
      <c r="BK108" s="33">
        <f t="shared" si="189"/>
        <v>5.8087639621946727E-2</v>
      </c>
      <c r="BL108" s="33">
        <f t="shared" si="189"/>
        <v>5.6944812787810113E-2</v>
      </c>
      <c r="BM108" s="33">
        <f t="shared" si="189"/>
        <v>6.1127302645340324E-2</v>
      </c>
      <c r="BN108" s="33">
        <f t="shared" si="189"/>
        <v>5.8935361216730035E-2</v>
      </c>
      <c r="BO108" s="33">
        <f t="shared" si="189"/>
        <v>7.265858040195719E-2</v>
      </c>
      <c r="BP108" s="33">
        <f t="shared" si="189"/>
        <v>5.6161401286318378E-2</v>
      </c>
      <c r="BQ108" s="33">
        <f t="shared" ref="BQ108" si="190">BQ59/BQ85</f>
        <v>6.5202276366388368E-2</v>
      </c>
      <c r="CL108" s="33">
        <f>CL59/CL85</f>
        <v>0.12599181517821387</v>
      </c>
      <c r="CM108" s="33">
        <f>CM59/CM85</f>
        <v>0.21341518182940933</v>
      </c>
      <c r="CN108" s="33">
        <f>CN59/CN85</f>
        <v>0.16418809409084936</v>
      </c>
      <c r="CO108" s="33">
        <f>CO59/CO85</f>
        <v>0.18339082287918249</v>
      </c>
      <c r="CP108" s="33">
        <f>CP59/CP85</f>
        <v>0.22235794747876764</v>
      </c>
    </row>
    <row r="109" spans="2:154">
      <c r="B109" s="1" t="s">
        <v>71</v>
      </c>
      <c r="AX109" s="33">
        <f t="shared" ref="AX109:BP109" si="191">AX59/AX100</f>
        <v>6.8422424329570783E-2</v>
      </c>
      <c r="AY109" s="33">
        <f t="shared" si="191"/>
        <v>7.7952115749979345E-2</v>
      </c>
      <c r="AZ109" s="33">
        <f t="shared" si="191"/>
        <v>7.7978658472418069E-2</v>
      </c>
      <c r="BA109" s="33">
        <f t="shared" si="191"/>
        <v>7.7426635645855738E-2</v>
      </c>
      <c r="BB109" s="33">
        <f t="shared" si="191"/>
        <v>8.2031513899099892E-2</v>
      </c>
      <c r="BC109" s="33">
        <f t="shared" si="191"/>
        <v>6.4707642399332299E-2</v>
      </c>
      <c r="BD109" s="33">
        <f t="shared" si="191"/>
        <v>6.2649998629702566E-2</v>
      </c>
      <c r="BE109" s="33">
        <f t="shared" si="191"/>
        <v>5.4844534866299199E-2</v>
      </c>
      <c r="BF109" s="33">
        <f t="shared" si="191"/>
        <v>5.3188831282403648E-2</v>
      </c>
      <c r="BG109" s="33">
        <f t="shared" si="191"/>
        <v>5.7690096360974191E-2</v>
      </c>
      <c r="BH109" s="33">
        <f t="shared" si="191"/>
        <v>6.8757697246023639E-2</v>
      </c>
      <c r="BI109" s="33">
        <f t="shared" si="191"/>
        <v>7.2067554410289822E-2</v>
      </c>
      <c r="BJ109" s="33">
        <f t="shared" si="191"/>
        <v>7.3001175104718416E-2</v>
      </c>
      <c r="BK109" s="33">
        <f t="shared" si="191"/>
        <v>8.0800699348458571E-2</v>
      </c>
      <c r="BL109" s="33">
        <f t="shared" si="191"/>
        <v>7.8532882465012818E-2</v>
      </c>
      <c r="BM109" s="33">
        <f t="shared" si="191"/>
        <v>8.3729414648588588E-2</v>
      </c>
      <c r="BN109" s="33">
        <f t="shared" si="191"/>
        <v>8.1628133036384443E-2</v>
      </c>
      <c r="BO109" s="33">
        <f t="shared" si="191"/>
        <v>0.10003852091280081</v>
      </c>
      <c r="BP109" s="33">
        <f t="shared" si="191"/>
        <v>7.7692909654024617E-2</v>
      </c>
      <c r="BQ109" s="33">
        <f t="shared" ref="BQ109" si="192">BQ59/BQ100</f>
        <v>9.0416086148469632E-2</v>
      </c>
      <c r="CL109" s="33">
        <f>CL59/CL100</f>
        <v>0.18094848659141563</v>
      </c>
      <c r="CM109" s="33">
        <f>CM59/CM100</f>
        <v>0.30215590041131002</v>
      </c>
      <c r="CN109" s="33">
        <f>CN59/CN100</f>
        <v>0.23413392466737459</v>
      </c>
      <c r="CO109" s="33">
        <f>CO59/CO100</f>
        <v>0.26041096905557576</v>
      </c>
      <c r="CP109" s="33">
        <f>CP59/CP100</f>
        <v>0.30797578472025694</v>
      </c>
    </row>
    <row r="111" spans="2:154">
      <c r="B111" s="1" t="s">
        <v>72</v>
      </c>
      <c r="C111" s="35">
        <f t="shared" ref="C111:AH111" si="193">C59</f>
        <v>1423</v>
      </c>
      <c r="D111" s="35">
        <f t="shared" si="193"/>
        <v>1485</v>
      </c>
      <c r="E111" s="35">
        <f t="shared" si="193"/>
        <v>1639</v>
      </c>
      <c r="F111" s="35">
        <f t="shared" si="193"/>
        <v>1973</v>
      </c>
      <c r="G111" s="35">
        <f t="shared" si="193"/>
        <v>1955</v>
      </c>
      <c r="H111" s="35">
        <f t="shared" si="193"/>
        <v>1840</v>
      </c>
      <c r="I111" s="35">
        <f t="shared" si="193"/>
        <v>2167</v>
      </c>
      <c r="J111" s="35">
        <f t="shared" si="193"/>
        <v>2543</v>
      </c>
      <c r="K111" s="35">
        <f t="shared" si="193"/>
        <v>1798</v>
      </c>
      <c r="L111" s="35">
        <f t="shared" si="193"/>
        <v>2505</v>
      </c>
      <c r="M111" s="35">
        <f t="shared" si="193"/>
        <v>2729</v>
      </c>
      <c r="N111" s="35">
        <f t="shared" si="193"/>
        <v>2705</v>
      </c>
      <c r="O111" s="35">
        <f t="shared" si="193"/>
        <v>2890</v>
      </c>
      <c r="P111" s="35">
        <f t="shared" si="193"/>
        <v>2833</v>
      </c>
      <c r="Q111" s="35">
        <f t="shared" si="193"/>
        <v>2158</v>
      </c>
      <c r="R111" s="35">
        <f t="shared" si="193"/>
        <v>3672</v>
      </c>
      <c r="S111" s="35">
        <f t="shared" si="193"/>
        <v>3528</v>
      </c>
      <c r="T111" s="35">
        <f t="shared" si="193"/>
        <v>2774</v>
      </c>
      <c r="U111" s="35">
        <f t="shared" si="193"/>
        <v>3163</v>
      </c>
      <c r="V111" s="35">
        <f t="shared" si="193"/>
        <v>3695</v>
      </c>
      <c r="W111" s="35">
        <f t="shared" si="193"/>
        <v>3650</v>
      </c>
      <c r="X111" s="35">
        <f t="shared" si="193"/>
        <v>3419</v>
      </c>
      <c r="Y111" s="35">
        <f t="shared" si="193"/>
        <v>2924</v>
      </c>
      <c r="Z111" s="35">
        <f t="shared" si="193"/>
        <v>3627</v>
      </c>
      <c r="AA111" s="35">
        <f t="shared" si="193"/>
        <v>3515</v>
      </c>
      <c r="AB111" s="35">
        <f t="shared" si="193"/>
        <v>3931</v>
      </c>
      <c r="AC111" s="35">
        <f t="shared" si="193"/>
        <v>3979</v>
      </c>
      <c r="AD111" s="35">
        <f t="shared" si="193"/>
        <v>4923</v>
      </c>
      <c r="AE111" s="35">
        <f t="shared" si="193"/>
        <v>4207</v>
      </c>
      <c r="AF111" s="35">
        <f t="shared" si="193"/>
        <v>4877</v>
      </c>
      <c r="AG111" s="35">
        <f t="shared" si="193"/>
        <v>5061</v>
      </c>
      <c r="AH111" s="35">
        <f t="shared" si="193"/>
        <v>5333</v>
      </c>
      <c r="AI111" s="35">
        <f t="shared" ref="AI111:BP111" si="194">AI59</f>
        <v>5426</v>
      </c>
      <c r="AJ111" s="35">
        <f t="shared" si="194"/>
        <v>3524</v>
      </c>
      <c r="AK111" s="35">
        <f t="shared" si="194"/>
        <v>6732</v>
      </c>
      <c r="AL111" s="35">
        <f t="shared" si="194"/>
        <v>-3020</v>
      </c>
      <c r="AM111" s="35">
        <f t="shared" si="194"/>
        <v>9401</v>
      </c>
      <c r="AN111" s="35">
        <f t="shared" si="194"/>
        <v>3195</v>
      </c>
      <c r="AO111" s="35">
        <f t="shared" si="194"/>
        <v>9192</v>
      </c>
      <c r="AP111" s="35">
        <f t="shared" si="194"/>
        <v>8948</v>
      </c>
      <c r="AQ111" s="35">
        <f t="shared" si="194"/>
        <v>6657</v>
      </c>
      <c r="AR111" s="35">
        <f t="shared" si="194"/>
        <v>9947</v>
      </c>
      <c r="AS111" s="35">
        <f t="shared" si="194"/>
        <v>7068</v>
      </c>
      <c r="AT111" s="35">
        <f t="shared" si="194"/>
        <v>10671</v>
      </c>
      <c r="AU111" s="35">
        <f t="shared" si="194"/>
        <v>6836</v>
      </c>
      <c r="AV111" s="1">
        <f t="shared" si="194"/>
        <v>6959</v>
      </c>
      <c r="AW111" s="1">
        <f t="shared" si="194"/>
        <v>11247</v>
      </c>
      <c r="AX111" s="1">
        <f t="shared" si="194"/>
        <v>15227</v>
      </c>
      <c r="AY111" s="1">
        <f t="shared" si="194"/>
        <v>17930</v>
      </c>
      <c r="AZ111" s="1">
        <f t="shared" si="194"/>
        <v>18525</v>
      </c>
      <c r="BA111" s="1">
        <f t="shared" si="194"/>
        <v>18936</v>
      </c>
      <c r="BB111" s="1">
        <f t="shared" si="194"/>
        <v>20642</v>
      </c>
      <c r="BC111" s="1">
        <f t="shared" si="194"/>
        <v>16436</v>
      </c>
      <c r="BD111" s="1">
        <f t="shared" si="194"/>
        <v>16002</v>
      </c>
      <c r="BE111" s="1">
        <f t="shared" si="194"/>
        <v>13910</v>
      </c>
      <c r="BF111" s="1">
        <f t="shared" si="194"/>
        <v>13624</v>
      </c>
      <c r="BG111" s="1">
        <f t="shared" si="194"/>
        <v>15051</v>
      </c>
      <c r="BH111" s="1">
        <f t="shared" si="194"/>
        <v>18368</v>
      </c>
      <c r="BI111" s="1">
        <f t="shared" si="194"/>
        <v>19689</v>
      </c>
      <c r="BJ111" s="1">
        <f t="shared" si="194"/>
        <v>20687</v>
      </c>
      <c r="BK111" s="1">
        <f t="shared" si="194"/>
        <v>23662</v>
      </c>
      <c r="BL111" s="1">
        <f t="shared" si="194"/>
        <v>23619</v>
      </c>
      <c r="BM111" s="1">
        <f t="shared" si="194"/>
        <v>26301</v>
      </c>
      <c r="BN111" s="1">
        <f t="shared" si="194"/>
        <v>26536</v>
      </c>
      <c r="BO111" s="1">
        <f t="shared" si="194"/>
        <v>34540</v>
      </c>
      <c r="BP111" s="1">
        <f t="shared" si="194"/>
        <v>28196</v>
      </c>
      <c r="BQ111" s="1">
        <f t="shared" ref="BQ111" si="195">BQ59</f>
        <v>34979</v>
      </c>
      <c r="CA111" s="35">
        <f>SUM(C111:F111)</f>
        <v>6520</v>
      </c>
      <c r="CB111" s="35">
        <f>SUM(G111:J111)</f>
        <v>8505</v>
      </c>
      <c r="CC111" s="35">
        <f>SUM(K111:N111)</f>
        <v>9737</v>
      </c>
      <c r="CD111" s="35">
        <f>SUM(O111:R111)</f>
        <v>11553</v>
      </c>
      <c r="CE111" s="35">
        <f>SUM(S111:V111)</f>
        <v>13160</v>
      </c>
      <c r="CF111" s="35">
        <f>SUM(W111:Z111)</f>
        <v>13620</v>
      </c>
      <c r="CG111" s="35">
        <f>SUM(AA111:AD111)</f>
        <v>16348</v>
      </c>
      <c r="CH111" s="35">
        <f>SUM(AE111:AH111)</f>
        <v>19478</v>
      </c>
      <c r="CI111" s="35">
        <f>SUM(AI111:AL111)</f>
        <v>12662</v>
      </c>
      <c r="CJ111" s="35">
        <f>SUM(AM111:AP111)</f>
        <v>30736</v>
      </c>
      <c r="CK111" s="35">
        <f>SUM(AQ111:AT111)</f>
        <v>34343</v>
      </c>
      <c r="CL111" s="1">
        <f>SUM(AU111:AX111)</f>
        <v>40269</v>
      </c>
      <c r="CM111" s="1">
        <f>SUM(AY111:BB111)</f>
        <v>76033</v>
      </c>
      <c r="CN111" s="1">
        <f>SUM(BC111:BF111)</f>
        <v>59972</v>
      </c>
      <c r="CO111" s="1">
        <f>SUM(BG111:BJ111)</f>
        <v>73795</v>
      </c>
      <c r="CP111" s="1">
        <f>SUM(BK111:BN111)</f>
        <v>100118</v>
      </c>
    </row>
    <row r="112" spans="2:154" s="2" customFormat="1" ht="15">
      <c r="B112" s="2" t="s">
        <v>73</v>
      </c>
      <c r="C112" s="36">
        <v>2250</v>
      </c>
      <c r="D112" s="36">
        <v>1609</v>
      </c>
      <c r="E112" s="36">
        <v>2726</v>
      </c>
      <c r="F112" s="36">
        <v>2731</v>
      </c>
      <c r="G112" s="36">
        <v>2584</v>
      </c>
      <c r="H112" s="36">
        <v>2085</v>
      </c>
      <c r="I112" s="36">
        <v>2886</v>
      </c>
      <c r="J112" s="36">
        <v>3526</v>
      </c>
      <c r="K112" s="36">
        <v>3172</v>
      </c>
      <c r="L112" s="36">
        <v>3519</v>
      </c>
      <c r="M112" s="36">
        <v>3950</v>
      </c>
      <c r="N112" s="36">
        <v>3924</v>
      </c>
      <c r="O112" s="36">
        <v>3694</v>
      </c>
      <c r="P112" s="36">
        <v>4252</v>
      </c>
      <c r="Q112" s="36">
        <v>4004</v>
      </c>
      <c r="R112" s="36">
        <v>4669</v>
      </c>
      <c r="S112" s="36">
        <v>3633</v>
      </c>
      <c r="T112" s="36">
        <v>4705</v>
      </c>
      <c r="U112" s="36">
        <v>5083</v>
      </c>
      <c r="V112" s="36">
        <v>5238</v>
      </c>
      <c r="W112" s="36">
        <v>4391</v>
      </c>
      <c r="X112" s="36">
        <v>5627</v>
      </c>
      <c r="Y112" s="36">
        <v>5994</v>
      </c>
      <c r="Z112" s="36">
        <v>7012</v>
      </c>
      <c r="AA112" s="36">
        <v>6722</v>
      </c>
      <c r="AB112" s="36">
        <v>7096</v>
      </c>
      <c r="AC112" s="36">
        <v>6145</v>
      </c>
      <c r="AD112" s="36">
        <v>6609</v>
      </c>
      <c r="AE112" s="36">
        <v>7658</v>
      </c>
      <c r="AF112" s="36">
        <v>9120</v>
      </c>
      <c r="AG112" s="36">
        <v>9845</v>
      </c>
      <c r="AH112" s="36">
        <v>9413</v>
      </c>
      <c r="AI112" s="36">
        <v>9548</v>
      </c>
      <c r="AJ112" s="36">
        <v>7403</v>
      </c>
      <c r="AK112" s="36">
        <v>9872</v>
      </c>
      <c r="AL112" s="36">
        <v>10268</v>
      </c>
      <c r="AM112" s="36">
        <v>11642</v>
      </c>
      <c r="AN112" s="36">
        <v>10132</v>
      </c>
      <c r="AO112" s="36">
        <v>13210</v>
      </c>
      <c r="AP112" s="36">
        <v>12987</v>
      </c>
      <c r="AQ112" s="36">
        <v>12000</v>
      </c>
      <c r="AR112" s="36">
        <v>12627</v>
      </c>
      <c r="AS112" s="36">
        <v>15466</v>
      </c>
      <c r="AT112" s="36">
        <v>14427</v>
      </c>
      <c r="AU112" s="36">
        <v>11451</v>
      </c>
      <c r="AV112" s="36">
        <v>13993</v>
      </c>
      <c r="AW112" s="36">
        <v>17003</v>
      </c>
      <c r="AX112" s="36">
        <v>22677</v>
      </c>
      <c r="AY112" s="36">
        <v>19289</v>
      </c>
      <c r="AZ112" s="36">
        <v>21890</v>
      </c>
      <c r="BA112" s="36">
        <v>25539</v>
      </c>
      <c r="BB112" s="36">
        <v>24934</v>
      </c>
      <c r="BC112" s="36">
        <v>25106</v>
      </c>
      <c r="BD112" s="36">
        <v>19422</v>
      </c>
      <c r="BE112" s="36">
        <v>23353</v>
      </c>
      <c r="BF112" s="36">
        <v>23614</v>
      </c>
      <c r="BG112" s="36">
        <v>23509</v>
      </c>
      <c r="BH112" s="36">
        <v>28666</v>
      </c>
      <c r="BI112" s="36">
        <v>30656</v>
      </c>
      <c r="BJ112" s="36">
        <v>18915</v>
      </c>
      <c r="BK112" s="36">
        <v>28848</v>
      </c>
      <c r="BL112" s="36">
        <v>26640</v>
      </c>
      <c r="BM112" s="36">
        <v>30698</v>
      </c>
      <c r="BN112" s="36">
        <v>39113</v>
      </c>
      <c r="BO112" s="36">
        <v>36150</v>
      </c>
      <c r="BP112" s="36">
        <v>27747</v>
      </c>
      <c r="BQ112" s="36">
        <v>30698</v>
      </c>
      <c r="BR112" s="26"/>
      <c r="BS112" s="26"/>
      <c r="BT112" s="26"/>
      <c r="BU112" s="26"/>
      <c r="BV112" s="26"/>
      <c r="BW112" s="26"/>
      <c r="BX112" s="26"/>
      <c r="BY112" s="26"/>
      <c r="BZ112" s="26"/>
      <c r="CA112" s="36">
        <f>SUM(C112:F112)</f>
        <v>9316</v>
      </c>
      <c r="CB112" s="36">
        <f>SUM(G112:J112)</f>
        <v>11081</v>
      </c>
      <c r="CC112" s="36">
        <f>SUM(K112:N112)</f>
        <v>14565</v>
      </c>
      <c r="CD112" s="36">
        <f>SUM(O112:R112)</f>
        <v>16619</v>
      </c>
      <c r="CE112" s="36">
        <f>SUM(S112:V112)</f>
        <v>18659</v>
      </c>
      <c r="CF112" s="36">
        <f>SUM(W112:Z112)</f>
        <v>23024</v>
      </c>
      <c r="CG112" s="36">
        <f>SUM(AA112:AD112)</f>
        <v>26572</v>
      </c>
      <c r="CH112" s="36">
        <f>SUM(AE112:AH112)</f>
        <v>36036</v>
      </c>
      <c r="CI112" s="36">
        <f>SUM(AI112:AL112)</f>
        <v>37091</v>
      </c>
      <c r="CJ112" s="36">
        <f>SUM(AM112:AP112)</f>
        <v>47971</v>
      </c>
      <c r="CK112" s="36">
        <f>SUM(AQ112:AT112)</f>
        <v>54520</v>
      </c>
      <c r="CL112" s="2">
        <f>SUM(AU112:AX112)</f>
        <v>65124</v>
      </c>
      <c r="CM112" s="2">
        <f>SUM(AY112:BB112)</f>
        <v>91652</v>
      </c>
      <c r="CN112" s="2">
        <f>SUM(BC112:BF112)</f>
        <v>91495</v>
      </c>
      <c r="CO112" s="2">
        <f>SUM(BG112:BJ112)</f>
        <v>101746</v>
      </c>
      <c r="CP112" s="2">
        <f>SUM(BK112:BN112)</f>
        <v>125299</v>
      </c>
      <c r="CQ112" s="26"/>
      <c r="CR112" s="26"/>
      <c r="CS112" s="26"/>
      <c r="CT112" s="26"/>
      <c r="CU112" s="26"/>
      <c r="CV112" s="26"/>
      <c r="CW112" s="26"/>
      <c r="CX112" s="26"/>
      <c r="CY112" s="26"/>
      <c r="CZ112" s="26"/>
      <c r="DA112" s="26"/>
      <c r="DB112" s="26"/>
      <c r="DC112" s="26"/>
      <c r="DD112" s="26"/>
      <c r="DE112" s="26"/>
      <c r="DF112" s="26"/>
      <c r="DG112" s="26"/>
      <c r="DH112" s="26"/>
      <c r="DI112" s="26"/>
      <c r="DJ112" s="26"/>
      <c r="DK112" s="26"/>
      <c r="DL112" s="26"/>
      <c r="DM112" s="26"/>
      <c r="DN112" s="26"/>
      <c r="DO112" s="26"/>
      <c r="DP112" s="26"/>
      <c r="DQ112" s="26"/>
      <c r="DR112" s="26"/>
      <c r="DS112" s="26"/>
      <c r="DT112" s="26"/>
      <c r="DU112" s="26"/>
      <c r="DV112" s="26"/>
      <c r="DW112" s="26"/>
      <c r="DX112" s="26"/>
      <c r="DY112" s="26"/>
      <c r="DZ112" s="26"/>
      <c r="EA112" s="26"/>
      <c r="EB112" s="26"/>
      <c r="EC112" s="26"/>
      <c r="ED112" s="26"/>
      <c r="EE112" s="26"/>
      <c r="EF112" s="26"/>
      <c r="EG112" s="26"/>
      <c r="EH112" s="26"/>
      <c r="EI112" s="26"/>
      <c r="EJ112" s="26"/>
      <c r="EK112" s="26"/>
      <c r="EL112" s="26"/>
      <c r="EM112" s="26"/>
      <c r="EN112" s="26"/>
      <c r="EO112" s="26"/>
      <c r="EP112" s="26"/>
      <c r="EQ112" s="26"/>
      <c r="ER112" s="26"/>
      <c r="ES112" s="26"/>
      <c r="ET112" s="26"/>
      <c r="EU112" s="26"/>
      <c r="EV112" s="26"/>
      <c r="EW112" s="26"/>
      <c r="EX112" s="26"/>
    </row>
    <row r="113" spans="2:154">
      <c r="B113" s="1" t="s">
        <v>288</v>
      </c>
      <c r="C113" s="35">
        <v>-263</v>
      </c>
      <c r="D113" s="35">
        <v>-139</v>
      </c>
      <c r="E113" s="35">
        <v>-187</v>
      </c>
      <c r="F113" s="35">
        <v>-221</v>
      </c>
      <c r="G113" s="35">
        <v>-239</v>
      </c>
      <c r="H113" s="35">
        <v>-476</v>
      </c>
      <c r="I113" s="35">
        <v>-758</v>
      </c>
      <c r="J113" s="35">
        <v>-2545</v>
      </c>
      <c r="K113" s="35">
        <v>-890</v>
      </c>
      <c r="L113" s="35">
        <v>-917</v>
      </c>
      <c r="M113" s="35">
        <v>-680</v>
      </c>
      <c r="N113" s="35">
        <v>-951</v>
      </c>
      <c r="O113" s="35">
        <v>-607</v>
      </c>
      <c r="P113" s="35">
        <v>-774</v>
      </c>
      <c r="Q113" s="35">
        <v>-872</v>
      </c>
      <c r="R113" s="35">
        <v>-1020</v>
      </c>
      <c r="S113" s="35">
        <v>-1203</v>
      </c>
      <c r="T113" s="35">
        <v>-1611</v>
      </c>
      <c r="U113" s="35">
        <v>-2289</v>
      </c>
      <c r="V113" s="1">
        <v>-2255</v>
      </c>
      <c r="W113" s="35">
        <v>-2345</v>
      </c>
      <c r="X113" s="35">
        <v>-2646</v>
      </c>
      <c r="Y113" s="35">
        <v>-2417</v>
      </c>
      <c r="Z113" s="35">
        <v>-3551</v>
      </c>
      <c r="AA113" s="35">
        <v>-2927</v>
      </c>
      <c r="AB113" s="35">
        <v>-2515</v>
      </c>
      <c r="AC113" s="35">
        <v>-2373</v>
      </c>
      <c r="AD113" s="35">
        <v>-2100</v>
      </c>
      <c r="AE113" s="35">
        <v>-2428</v>
      </c>
      <c r="AF113" s="35">
        <v>-2123</v>
      </c>
      <c r="AG113" s="35">
        <v>-2357</v>
      </c>
      <c r="AH113" s="35">
        <v>-3064</v>
      </c>
      <c r="AI113" s="35">
        <v>-2467</v>
      </c>
      <c r="AJ113" s="35">
        <v>-2818</v>
      </c>
      <c r="AK113" s="35">
        <v>-3511</v>
      </c>
      <c r="AL113" s="35">
        <v>-4388</v>
      </c>
      <c r="AM113" s="35">
        <v>-7269</v>
      </c>
      <c r="AN113" s="35">
        <v>-5507</v>
      </c>
      <c r="AO113" s="35">
        <v>-5282</v>
      </c>
      <c r="AP113" s="35">
        <v>-7081</v>
      </c>
      <c r="AQ113" s="35">
        <v>-4638</v>
      </c>
      <c r="AR113" s="35">
        <v>-6126</v>
      </c>
      <c r="AS113" s="35">
        <v>-6732</v>
      </c>
      <c r="AT113" s="35">
        <v>-6052</v>
      </c>
      <c r="AU113" s="35">
        <v>-6005</v>
      </c>
      <c r="AV113" s="35">
        <v>-5391</v>
      </c>
      <c r="AW113" s="35">
        <v>-5406</v>
      </c>
      <c r="AX113" s="35">
        <v>-5479</v>
      </c>
      <c r="AY113" s="35">
        <v>-5942</v>
      </c>
      <c r="AZ113" s="35">
        <v>-5496</v>
      </c>
      <c r="BA113" s="35">
        <v>-6819</v>
      </c>
      <c r="BB113" s="35">
        <v>-6383</v>
      </c>
      <c r="BC113" s="35">
        <v>-9786</v>
      </c>
      <c r="BD113" s="35">
        <v>-6828</v>
      </c>
      <c r="BE113" s="35">
        <v>-7276</v>
      </c>
      <c r="BF113" s="35">
        <v>-7595</v>
      </c>
      <c r="BG113" s="35">
        <v>-6289</v>
      </c>
      <c r="BH113" s="35">
        <v>-6888</v>
      </c>
      <c r="BI113" s="35">
        <v>-8055</v>
      </c>
      <c r="BJ113" s="35">
        <v>-11019</v>
      </c>
      <c r="BK113" s="35">
        <v>-12012</v>
      </c>
      <c r="BL113" s="35">
        <v>-13186</v>
      </c>
      <c r="BM113" s="35">
        <v>-13061</v>
      </c>
      <c r="BN113" s="35">
        <v>-14276</v>
      </c>
      <c r="BO113" s="35">
        <v>-17197</v>
      </c>
      <c r="BP113" s="35">
        <v>-22446</v>
      </c>
      <c r="BQ113" s="35">
        <v>-13061</v>
      </c>
      <c r="CA113" s="35">
        <f>SUM(C113:F113)</f>
        <v>-810</v>
      </c>
      <c r="CB113" s="35">
        <f>SUM(G113:J113)</f>
        <v>-4018</v>
      </c>
      <c r="CC113" s="35">
        <f>SUM(K113:N113)</f>
        <v>-3438</v>
      </c>
      <c r="CD113" s="35">
        <f>SUM(O113:R113)</f>
        <v>-3273</v>
      </c>
      <c r="CE113" s="35">
        <f>SUM(S113:V113)</f>
        <v>-7358</v>
      </c>
      <c r="CF113" s="35">
        <f>SUM(W113:Z113)</f>
        <v>-10959</v>
      </c>
      <c r="CG113" s="35">
        <f>SUM(AA113:AD113)</f>
        <v>-9915</v>
      </c>
      <c r="CH113" s="35">
        <f>SUM(AE113:AH113)</f>
        <v>-9972</v>
      </c>
      <c r="CI113" s="35">
        <f>SUM(AI113:AL113)</f>
        <v>-13184</v>
      </c>
      <c r="CJ113" s="35">
        <f>SUM(AM113:AP113)</f>
        <v>-25139</v>
      </c>
      <c r="CK113" s="35">
        <f>SUM(AQ113:AT113)</f>
        <v>-23548</v>
      </c>
      <c r="CL113" s="1">
        <f>SUM(AU113:AX113)</f>
        <v>-22281</v>
      </c>
      <c r="CM113" s="1">
        <f>SUM(AY113:BB113)</f>
        <v>-24640</v>
      </c>
      <c r="CN113" s="1">
        <f>SUM(BC113:BF113)</f>
        <v>-31485</v>
      </c>
      <c r="CO113" s="1">
        <f>SUM(BG113:BJ113)</f>
        <v>-32251</v>
      </c>
      <c r="CP113" s="1">
        <f>SUM(BK113:BN113)</f>
        <v>-52535</v>
      </c>
    </row>
    <row r="114" spans="2:154" s="2" customFormat="1" ht="15">
      <c r="B114" s="2" t="s">
        <v>74</v>
      </c>
      <c r="C114" s="36">
        <f t="shared" ref="C114:V114" si="196">C112+C113</f>
        <v>1987</v>
      </c>
      <c r="D114" s="36">
        <f t="shared" si="196"/>
        <v>1470</v>
      </c>
      <c r="E114" s="36">
        <f t="shared" si="196"/>
        <v>2539</v>
      </c>
      <c r="F114" s="36">
        <f t="shared" si="196"/>
        <v>2510</v>
      </c>
      <c r="G114" s="36">
        <f t="shared" si="196"/>
        <v>2345</v>
      </c>
      <c r="H114" s="36">
        <f t="shared" si="196"/>
        <v>1609</v>
      </c>
      <c r="I114" s="36">
        <f t="shared" si="196"/>
        <v>2128</v>
      </c>
      <c r="J114" s="36">
        <f t="shared" si="196"/>
        <v>981</v>
      </c>
      <c r="K114" s="36">
        <f t="shared" si="196"/>
        <v>2282</v>
      </c>
      <c r="L114" s="36">
        <f t="shared" si="196"/>
        <v>2602</v>
      </c>
      <c r="M114" s="36">
        <f t="shared" si="196"/>
        <v>3270</v>
      </c>
      <c r="N114" s="36">
        <f t="shared" si="196"/>
        <v>2973</v>
      </c>
      <c r="O114" s="36">
        <f t="shared" si="196"/>
        <v>3087</v>
      </c>
      <c r="P114" s="36">
        <f t="shared" si="196"/>
        <v>3478</v>
      </c>
      <c r="Q114" s="36">
        <f t="shared" si="196"/>
        <v>3132</v>
      </c>
      <c r="R114" s="36">
        <f t="shared" si="196"/>
        <v>3649</v>
      </c>
      <c r="S114" s="36">
        <f t="shared" si="196"/>
        <v>2430</v>
      </c>
      <c r="T114" s="36">
        <f t="shared" si="196"/>
        <v>3094</v>
      </c>
      <c r="U114" s="36">
        <f t="shared" si="196"/>
        <v>2794</v>
      </c>
      <c r="V114" s="36">
        <f t="shared" si="196"/>
        <v>2983</v>
      </c>
      <c r="W114" s="36">
        <f>W112+W113</f>
        <v>2046</v>
      </c>
      <c r="X114" s="36">
        <f t="shared" ref="X114:BO114" si="197">X112+X113</f>
        <v>2981</v>
      </c>
      <c r="Y114" s="36">
        <f t="shared" si="197"/>
        <v>3577</v>
      </c>
      <c r="Z114" s="36">
        <f t="shared" si="197"/>
        <v>3461</v>
      </c>
      <c r="AA114" s="36">
        <f t="shared" si="197"/>
        <v>3795</v>
      </c>
      <c r="AB114" s="36">
        <f t="shared" si="197"/>
        <v>4581</v>
      </c>
      <c r="AC114" s="36">
        <f t="shared" si="197"/>
        <v>3772</v>
      </c>
      <c r="AD114" s="36">
        <f t="shared" si="197"/>
        <v>4509</v>
      </c>
      <c r="AE114" s="36">
        <f t="shared" si="197"/>
        <v>5230</v>
      </c>
      <c r="AF114" s="36">
        <f t="shared" si="197"/>
        <v>6997</v>
      </c>
      <c r="AG114" s="36">
        <f t="shared" si="197"/>
        <v>7488</v>
      </c>
      <c r="AH114" s="36">
        <f t="shared" si="197"/>
        <v>6349</v>
      </c>
      <c r="AI114" s="36">
        <f t="shared" si="197"/>
        <v>7081</v>
      </c>
      <c r="AJ114" s="36">
        <f t="shared" si="197"/>
        <v>4585</v>
      </c>
      <c r="AK114" s="36">
        <f t="shared" si="197"/>
        <v>6361</v>
      </c>
      <c r="AL114" s="36">
        <f t="shared" si="197"/>
        <v>5880</v>
      </c>
      <c r="AM114" s="36">
        <f t="shared" si="197"/>
        <v>4373</v>
      </c>
      <c r="AN114" s="36">
        <f t="shared" si="197"/>
        <v>4625</v>
      </c>
      <c r="AO114" s="36">
        <f t="shared" si="197"/>
        <v>7928</v>
      </c>
      <c r="AP114" s="36">
        <f t="shared" si="197"/>
        <v>5906</v>
      </c>
      <c r="AQ114" s="36">
        <f t="shared" si="197"/>
        <v>7362</v>
      </c>
      <c r="AR114" s="36">
        <f t="shared" si="197"/>
        <v>6501</v>
      </c>
      <c r="AS114" s="36">
        <f t="shared" si="197"/>
        <v>8734</v>
      </c>
      <c r="AT114" s="36">
        <f t="shared" si="197"/>
        <v>8375</v>
      </c>
      <c r="AU114" s="36">
        <f t="shared" si="197"/>
        <v>5446</v>
      </c>
      <c r="AV114" s="36">
        <f t="shared" si="197"/>
        <v>8602</v>
      </c>
      <c r="AW114" s="36">
        <f t="shared" si="197"/>
        <v>11597</v>
      </c>
      <c r="AX114" s="36">
        <f t="shared" si="197"/>
        <v>17198</v>
      </c>
      <c r="AY114" s="36">
        <f t="shared" si="197"/>
        <v>13347</v>
      </c>
      <c r="AZ114" s="36">
        <f t="shared" si="197"/>
        <v>16394</v>
      </c>
      <c r="BA114" s="36">
        <f t="shared" si="197"/>
        <v>18720</v>
      </c>
      <c r="BB114" s="36">
        <f t="shared" si="197"/>
        <v>18551</v>
      </c>
      <c r="BC114" s="36">
        <f t="shared" si="197"/>
        <v>15320</v>
      </c>
      <c r="BD114" s="36">
        <f t="shared" si="197"/>
        <v>12594</v>
      </c>
      <c r="BE114" s="36">
        <f t="shared" si="197"/>
        <v>16077</v>
      </c>
      <c r="BF114" s="36">
        <f t="shared" si="197"/>
        <v>16019</v>
      </c>
      <c r="BG114" s="36">
        <f t="shared" si="197"/>
        <v>17220</v>
      </c>
      <c r="BH114" s="36">
        <f t="shared" si="197"/>
        <v>21778</v>
      </c>
      <c r="BI114" s="36">
        <f t="shared" si="197"/>
        <v>22601</v>
      </c>
      <c r="BJ114" s="36">
        <f t="shared" si="197"/>
        <v>7896</v>
      </c>
      <c r="BK114" s="36">
        <f t="shared" si="197"/>
        <v>16836</v>
      </c>
      <c r="BL114" s="36">
        <f t="shared" si="197"/>
        <v>13454</v>
      </c>
      <c r="BM114" s="36">
        <f t="shared" si="197"/>
        <v>17637</v>
      </c>
      <c r="BN114" s="36">
        <f t="shared" si="197"/>
        <v>24837</v>
      </c>
      <c r="BO114" s="36">
        <f t="shared" si="197"/>
        <v>18953</v>
      </c>
      <c r="BP114" s="36">
        <f t="shared" ref="BP114:BQ114" si="198">BP112+BP113</f>
        <v>5301</v>
      </c>
      <c r="BQ114" s="36">
        <f t="shared" si="198"/>
        <v>17637</v>
      </c>
      <c r="BR114" s="26"/>
      <c r="BS114" s="26"/>
      <c r="BT114" s="26"/>
      <c r="BU114" s="26"/>
      <c r="BV114" s="26"/>
      <c r="BW114" s="26"/>
      <c r="BX114" s="26"/>
      <c r="BY114" s="26"/>
      <c r="BZ114" s="26"/>
      <c r="CA114" s="36">
        <f>SUM(C114:F114)</f>
        <v>8506</v>
      </c>
      <c r="CB114" s="36">
        <f>SUM(G114:J114)</f>
        <v>7063</v>
      </c>
      <c r="CC114" s="36">
        <f>SUM(K114:N114)</f>
        <v>11127</v>
      </c>
      <c r="CD114" s="36">
        <f>SUM(O114:R114)</f>
        <v>13346</v>
      </c>
      <c r="CE114" s="36">
        <f>SUM(S114:V114)</f>
        <v>11301</v>
      </c>
      <c r="CF114" s="36">
        <f>SUM(W114:Z114)</f>
        <v>12065</v>
      </c>
      <c r="CG114" s="36">
        <f>SUM(AA114:AD114)</f>
        <v>16657</v>
      </c>
      <c r="CH114" s="36">
        <f>SUM(AE114:AH114)</f>
        <v>26064</v>
      </c>
      <c r="CI114" s="36">
        <f>SUM(AI114:AL114)</f>
        <v>23907</v>
      </c>
      <c r="CJ114" s="36">
        <f>SUM(AM114:AP114)</f>
        <v>22832</v>
      </c>
      <c r="CK114" s="36">
        <f>SUM(AQ114:AT114)</f>
        <v>30972</v>
      </c>
      <c r="CL114" s="2">
        <f>SUM(AU114:AX114)</f>
        <v>42843</v>
      </c>
      <c r="CM114" s="2">
        <f>SUM(AY114:BB114)</f>
        <v>67012</v>
      </c>
      <c r="CN114" s="2">
        <f>SUM(BC114:BF114)</f>
        <v>60010</v>
      </c>
      <c r="CO114" s="2">
        <f>SUM(BG114:BJ114)</f>
        <v>69495</v>
      </c>
      <c r="CP114" s="2">
        <f>SUM(BK114:BN114)</f>
        <v>72764</v>
      </c>
      <c r="CQ114" s="26"/>
      <c r="CR114" s="26"/>
      <c r="CS114" s="26"/>
      <c r="CT114" s="26"/>
      <c r="CU114" s="26"/>
      <c r="CV114" s="26"/>
      <c r="CW114" s="26"/>
      <c r="CX114" s="26"/>
      <c r="CY114" s="26"/>
      <c r="CZ114" s="26"/>
      <c r="DA114" s="26"/>
      <c r="DB114" s="26"/>
      <c r="DC114" s="26"/>
      <c r="DD114" s="26"/>
      <c r="DE114" s="26"/>
      <c r="DF114" s="26"/>
      <c r="DG114" s="26"/>
      <c r="DH114" s="26"/>
      <c r="DI114" s="26"/>
      <c r="DJ114" s="26"/>
      <c r="DK114" s="26"/>
      <c r="DL114" s="26"/>
      <c r="DM114" s="26"/>
      <c r="DN114" s="26"/>
      <c r="DO114" s="26"/>
      <c r="DP114" s="26"/>
      <c r="DQ114" s="26"/>
      <c r="DR114" s="26"/>
      <c r="DS114" s="26"/>
      <c r="DT114" s="26"/>
      <c r="DU114" s="26"/>
      <c r="DV114" s="26"/>
      <c r="DW114" s="26"/>
      <c r="DX114" s="26"/>
      <c r="DY114" s="26"/>
      <c r="DZ114" s="26"/>
      <c r="EA114" s="26"/>
      <c r="EB114" s="26"/>
      <c r="EC114" s="26"/>
      <c r="ED114" s="26"/>
      <c r="EE114" s="26"/>
      <c r="EF114" s="26"/>
      <c r="EG114" s="26"/>
      <c r="EH114" s="26"/>
      <c r="EI114" s="26"/>
      <c r="EJ114" s="26"/>
      <c r="EK114" s="26"/>
      <c r="EL114" s="26"/>
      <c r="EM114" s="26"/>
      <c r="EN114" s="26"/>
      <c r="EO114" s="26"/>
      <c r="EP114" s="26"/>
      <c r="EQ114" s="26"/>
      <c r="ER114" s="26"/>
      <c r="ES114" s="26"/>
      <c r="ET114" s="26"/>
      <c r="EU114" s="26"/>
      <c r="EV114" s="26"/>
      <c r="EW114" s="26"/>
      <c r="EX114" s="26"/>
    </row>
    <row r="115" spans="2:154">
      <c r="B115" s="1" t="s">
        <v>289</v>
      </c>
      <c r="C115" s="1">
        <f t="shared" ref="C115:AH115" si="199">C60</f>
        <v>12610</v>
      </c>
      <c r="D115" s="1">
        <f t="shared" si="199"/>
        <v>12636</v>
      </c>
      <c r="E115" s="1">
        <f t="shared" si="199"/>
        <v>12660</v>
      </c>
      <c r="F115" s="1">
        <f t="shared" si="199"/>
        <v>12649</v>
      </c>
      <c r="G115" s="1">
        <f t="shared" si="199"/>
        <v>12716</v>
      </c>
      <c r="H115" s="1">
        <f t="shared" si="199"/>
        <v>12734</v>
      </c>
      <c r="I115" s="1">
        <f t="shared" si="199"/>
        <v>12745</v>
      </c>
      <c r="J115" s="1">
        <f t="shared" si="199"/>
        <v>12748</v>
      </c>
      <c r="K115" s="1">
        <f t="shared" si="199"/>
        <v>12861</v>
      </c>
      <c r="L115" s="1">
        <f t="shared" si="199"/>
        <v>12889</v>
      </c>
      <c r="M115" s="1">
        <f t="shared" si="199"/>
        <v>12926</v>
      </c>
      <c r="N115" s="1">
        <f t="shared" si="199"/>
        <v>12911</v>
      </c>
      <c r="O115" s="1">
        <f t="shared" si="199"/>
        <v>13012</v>
      </c>
      <c r="P115" s="1">
        <f t="shared" si="199"/>
        <v>13051</v>
      </c>
      <c r="Q115" s="1">
        <f t="shared" si="199"/>
        <v>13111</v>
      </c>
      <c r="R115" s="1">
        <f t="shared" si="199"/>
        <v>13089</v>
      </c>
      <c r="S115" s="1">
        <f t="shared" si="199"/>
        <v>13218</v>
      </c>
      <c r="T115" s="1">
        <f t="shared" si="199"/>
        <v>13299</v>
      </c>
      <c r="U115" s="1">
        <f t="shared" si="199"/>
        <v>13345</v>
      </c>
      <c r="V115" s="1">
        <f t="shared" si="199"/>
        <v>13314</v>
      </c>
      <c r="W115" s="1">
        <f t="shared" si="199"/>
        <v>13452</v>
      </c>
      <c r="X115" s="1">
        <f t="shared" si="199"/>
        <v>13502</v>
      </c>
      <c r="Y115" s="1">
        <f t="shared" si="199"/>
        <v>13542</v>
      </c>
      <c r="Z115" s="1">
        <f t="shared" si="199"/>
        <v>13519</v>
      </c>
      <c r="AA115" s="1">
        <f t="shared" si="199"/>
        <v>13618</v>
      </c>
      <c r="AB115" s="1">
        <f t="shared" si="199"/>
        <v>13672</v>
      </c>
      <c r="AC115" s="1">
        <f t="shared" si="199"/>
        <v>13729</v>
      </c>
      <c r="AD115" s="1">
        <f t="shared" si="199"/>
        <v>13693</v>
      </c>
      <c r="AE115" s="1">
        <f t="shared" si="199"/>
        <v>13750</v>
      </c>
      <c r="AF115" s="1">
        <f t="shared" si="199"/>
        <v>13724</v>
      </c>
      <c r="AG115" s="1">
        <f t="shared" si="199"/>
        <v>13751</v>
      </c>
      <c r="AH115" s="1">
        <f t="shared" si="199"/>
        <v>13756</v>
      </c>
      <c r="AI115" s="1">
        <f t="shared" ref="AI115:BP115" si="200">AI60</f>
        <v>13831</v>
      </c>
      <c r="AJ115" s="1">
        <f t="shared" si="200"/>
        <v>13839</v>
      </c>
      <c r="AK115" s="1">
        <f t="shared" si="200"/>
        <v>13870</v>
      </c>
      <c r="AL115" s="1">
        <f t="shared" si="200"/>
        <v>13858</v>
      </c>
      <c r="AM115" s="1">
        <f t="shared" si="200"/>
        <v>13895</v>
      </c>
      <c r="AN115" s="1">
        <f t="shared" si="200"/>
        <v>13899</v>
      </c>
      <c r="AO115" s="1">
        <f t="shared" si="200"/>
        <v>13913</v>
      </c>
      <c r="AP115" s="1">
        <f t="shared" si="200"/>
        <v>13903</v>
      </c>
      <c r="AQ115" s="1">
        <f t="shared" si="200"/>
        <v>13897</v>
      </c>
      <c r="AR115" s="1">
        <f t="shared" si="200"/>
        <v>13879</v>
      </c>
      <c r="AS115" s="1">
        <f t="shared" si="200"/>
        <v>13855</v>
      </c>
      <c r="AT115" s="1">
        <f t="shared" si="200"/>
        <v>13852</v>
      </c>
      <c r="AU115" s="1">
        <f t="shared" si="200"/>
        <v>13729</v>
      </c>
      <c r="AV115" s="1">
        <f t="shared" si="200"/>
        <v>13635</v>
      </c>
      <c r="AW115" s="1">
        <f t="shared" si="200"/>
        <v>13589</v>
      </c>
      <c r="AX115" s="1">
        <f t="shared" si="200"/>
        <v>13616</v>
      </c>
      <c r="AY115" s="1">
        <f t="shared" si="200"/>
        <v>13464</v>
      </c>
      <c r="AZ115" s="1">
        <f t="shared" si="200"/>
        <v>13379</v>
      </c>
      <c r="BA115" s="1">
        <f t="shared" si="200"/>
        <v>13315</v>
      </c>
      <c r="BB115" s="1">
        <f t="shared" si="200"/>
        <v>13353</v>
      </c>
      <c r="BC115" s="1">
        <f t="shared" si="200"/>
        <v>13203</v>
      </c>
      <c r="BD115" s="1">
        <f t="shared" si="200"/>
        <v>13133</v>
      </c>
      <c r="BE115" s="1">
        <f t="shared" si="200"/>
        <v>13018</v>
      </c>
      <c r="BF115" s="1">
        <f t="shared" si="200"/>
        <v>13063</v>
      </c>
      <c r="BG115" s="1">
        <f t="shared" si="200"/>
        <v>12781</v>
      </c>
      <c r="BH115" s="1">
        <f t="shared" si="200"/>
        <v>12668</v>
      </c>
      <c r="BI115" s="1">
        <f t="shared" si="200"/>
        <v>12581</v>
      </c>
      <c r="BJ115" s="1">
        <f t="shared" si="200"/>
        <v>12488</v>
      </c>
      <c r="BK115" s="1">
        <f t="shared" si="200"/>
        <v>12415</v>
      </c>
      <c r="BL115" s="1">
        <f t="shared" si="200"/>
        <v>12343</v>
      </c>
      <c r="BM115" s="1">
        <f t="shared" si="200"/>
        <v>12290</v>
      </c>
      <c r="BN115" s="1">
        <f t="shared" si="200"/>
        <v>12228</v>
      </c>
      <c r="BO115" s="1">
        <f t="shared" si="200"/>
        <v>12183</v>
      </c>
      <c r="BP115" s="1">
        <f t="shared" si="200"/>
        <v>12122</v>
      </c>
      <c r="BQ115" s="1">
        <f t="shared" ref="BQ115" si="201">BQ60</f>
        <v>12122</v>
      </c>
      <c r="CA115" s="1">
        <f t="shared" ref="CA115:CK115" si="202">CA60</f>
        <v>12638.75</v>
      </c>
      <c r="CB115" s="1">
        <f t="shared" si="202"/>
        <v>12735.75</v>
      </c>
      <c r="CC115" s="1">
        <f t="shared" si="202"/>
        <v>12896.75</v>
      </c>
      <c r="CD115" s="1">
        <f t="shared" si="202"/>
        <v>13065.75</v>
      </c>
      <c r="CE115" s="1">
        <f t="shared" si="202"/>
        <v>13294</v>
      </c>
      <c r="CF115" s="1">
        <f t="shared" si="202"/>
        <v>13503.75</v>
      </c>
      <c r="CG115" s="1">
        <f t="shared" si="202"/>
        <v>13678</v>
      </c>
      <c r="CH115" s="1">
        <f t="shared" si="202"/>
        <v>13745.25</v>
      </c>
      <c r="CI115" s="1">
        <f t="shared" si="202"/>
        <v>13849.5</v>
      </c>
      <c r="CJ115" s="1">
        <f t="shared" si="202"/>
        <v>13902.5</v>
      </c>
      <c r="CK115" s="1">
        <f t="shared" si="202"/>
        <v>13870.75</v>
      </c>
      <c r="CL115" s="1">
        <f>AVERAGE(AU115:AX115)</f>
        <v>13642.25</v>
      </c>
      <c r="CM115" s="1">
        <f>AVERAGE(AY115:BB115)</f>
        <v>13377.75</v>
      </c>
      <c r="CN115" s="1">
        <f>AVERAGE(BC115:BF115)</f>
        <v>13104.25</v>
      </c>
      <c r="CO115" s="1">
        <f>AVERAGE(BG115:BJ115)</f>
        <v>12629.5</v>
      </c>
      <c r="CP115" s="1">
        <f>AVERAGE(BK115:BN115)</f>
        <v>12319</v>
      </c>
    </row>
    <row r="116" spans="2:154">
      <c r="B116" s="1" t="s">
        <v>76</v>
      </c>
      <c r="C116" s="30">
        <f t="shared" ref="C116:BN116" si="203">C114/C115</f>
        <v>0.15757335448057097</v>
      </c>
      <c r="D116" s="30">
        <f t="shared" si="203"/>
        <v>0.11633428300094967</v>
      </c>
      <c r="E116" s="30">
        <f t="shared" si="203"/>
        <v>0.20055292259083729</v>
      </c>
      <c r="F116" s="30">
        <f t="shared" si="203"/>
        <v>0.19843465886631353</v>
      </c>
      <c r="G116" s="30">
        <f t="shared" si="203"/>
        <v>0.18441333752752437</v>
      </c>
      <c r="H116" s="30">
        <f t="shared" si="203"/>
        <v>0.12635464111826605</v>
      </c>
      <c r="I116" s="30">
        <f t="shared" si="203"/>
        <v>0.16696743821106316</v>
      </c>
      <c r="J116" s="30">
        <f t="shared" si="203"/>
        <v>7.6953247568245994E-2</v>
      </c>
      <c r="K116" s="30">
        <f t="shared" si="203"/>
        <v>0.17743565819143145</v>
      </c>
      <c r="L116" s="30">
        <f t="shared" si="203"/>
        <v>0.20187757002094808</v>
      </c>
      <c r="M116" s="30">
        <f t="shared" si="203"/>
        <v>0.25297849295992575</v>
      </c>
      <c r="N116" s="30">
        <f t="shared" si="203"/>
        <v>0.23026876307025018</v>
      </c>
      <c r="O116" s="30">
        <f t="shared" si="203"/>
        <v>0.23724254534276054</v>
      </c>
      <c r="P116" s="30">
        <f t="shared" si="203"/>
        <v>0.26649298904298518</v>
      </c>
      <c r="Q116" s="30">
        <f t="shared" si="203"/>
        <v>0.23888338036763024</v>
      </c>
      <c r="R116" s="30">
        <f t="shared" si="203"/>
        <v>0.27878371151348458</v>
      </c>
      <c r="S116" s="30">
        <f t="shared" si="203"/>
        <v>0.18384021788470267</v>
      </c>
      <c r="T116" s="30">
        <f t="shared" si="203"/>
        <v>0.23264907135874877</v>
      </c>
      <c r="U116" s="30">
        <f t="shared" si="203"/>
        <v>0.20936680404645935</v>
      </c>
      <c r="V116" s="30">
        <f t="shared" si="203"/>
        <v>0.22404987231485654</v>
      </c>
      <c r="W116" s="30">
        <f t="shared" si="203"/>
        <v>0.15209634255129348</v>
      </c>
      <c r="X116" s="30">
        <f t="shared" si="203"/>
        <v>0.22078210635461412</v>
      </c>
      <c r="Y116" s="30">
        <f t="shared" si="203"/>
        <v>0.26414119037069855</v>
      </c>
      <c r="Z116" s="30">
        <f t="shared" si="203"/>
        <v>0.25601005991567422</v>
      </c>
      <c r="AA116" s="30">
        <f t="shared" si="203"/>
        <v>0.27867528271405495</v>
      </c>
      <c r="AB116" s="30">
        <f t="shared" si="203"/>
        <v>0.33506436512580456</v>
      </c>
      <c r="AC116" s="30">
        <f t="shared" si="203"/>
        <v>0.27474688615339793</v>
      </c>
      <c r="AD116" s="30">
        <f t="shared" si="203"/>
        <v>0.32929233915139122</v>
      </c>
      <c r="AE116" s="30">
        <f t="shared" si="203"/>
        <v>0.38036363636363635</v>
      </c>
      <c r="AF116" s="30">
        <f t="shared" si="203"/>
        <v>0.50983678227921891</v>
      </c>
      <c r="AG116" s="30">
        <f t="shared" si="203"/>
        <v>0.54454221511162826</v>
      </c>
      <c r="AH116" s="30">
        <f t="shared" si="203"/>
        <v>0.46154405350392558</v>
      </c>
      <c r="AI116" s="30">
        <f t="shared" si="203"/>
        <v>0.51196587376183933</v>
      </c>
      <c r="AJ116" s="30">
        <f t="shared" si="203"/>
        <v>0.33131006575619626</v>
      </c>
      <c r="AK116" s="30">
        <f t="shared" si="203"/>
        <v>0.45861571737563084</v>
      </c>
      <c r="AL116" s="30">
        <f t="shared" si="203"/>
        <v>0.42430365132053688</v>
      </c>
      <c r="AM116" s="30">
        <f t="shared" si="203"/>
        <v>0.31471752428931271</v>
      </c>
      <c r="AN116" s="30">
        <f t="shared" si="203"/>
        <v>0.33275775235628463</v>
      </c>
      <c r="AO116" s="30">
        <f t="shared" si="203"/>
        <v>0.56982678070868975</v>
      </c>
      <c r="AP116" s="30">
        <f t="shared" si="203"/>
        <v>0.42480040279076459</v>
      </c>
      <c r="AQ116" s="30">
        <f t="shared" si="203"/>
        <v>0.52975462329999279</v>
      </c>
      <c r="AR116" s="30">
        <f t="shared" si="203"/>
        <v>0.46840550471936021</v>
      </c>
      <c r="AS116" s="30">
        <f t="shared" si="203"/>
        <v>0.63038614218693612</v>
      </c>
      <c r="AT116" s="30">
        <f t="shared" si="203"/>
        <v>0.60460583309269422</v>
      </c>
      <c r="AU116" s="30">
        <f t="shared" si="203"/>
        <v>0.39667856362444459</v>
      </c>
      <c r="AV116" s="30">
        <f t="shared" si="203"/>
        <v>0.63087642097543084</v>
      </c>
      <c r="AW116" s="30">
        <f t="shared" si="203"/>
        <v>0.85341084700860992</v>
      </c>
      <c r="AX116" s="30">
        <f t="shared" si="203"/>
        <v>1.2630728554641597</v>
      </c>
      <c r="AY116" s="30">
        <f t="shared" si="203"/>
        <v>0.99131016042780751</v>
      </c>
      <c r="AZ116" s="30">
        <f t="shared" si="203"/>
        <v>1.2253531654084759</v>
      </c>
      <c r="BA116" s="30">
        <f t="shared" si="203"/>
        <v>1.4059331580923771</v>
      </c>
      <c r="BB116" s="30">
        <f t="shared" si="203"/>
        <v>1.3892758181682019</v>
      </c>
      <c r="BC116" s="30">
        <f t="shared" si="203"/>
        <v>1.160342346436416</v>
      </c>
      <c r="BD116" s="30">
        <f t="shared" si="203"/>
        <v>0.9589583491966801</v>
      </c>
      <c r="BE116" s="30">
        <f t="shared" si="203"/>
        <v>1.2349823321554769</v>
      </c>
      <c r="BF116" s="30">
        <f t="shared" si="203"/>
        <v>1.2262879889764986</v>
      </c>
      <c r="BG116" s="30">
        <f t="shared" si="203"/>
        <v>1.3473124168687896</v>
      </c>
      <c r="BH116" s="30">
        <f t="shared" si="203"/>
        <v>1.7191348279128513</v>
      </c>
      <c r="BI116" s="30">
        <f t="shared" si="203"/>
        <v>1.7964390747953263</v>
      </c>
      <c r="BJ116" s="30">
        <f t="shared" si="203"/>
        <v>0.63228699551569512</v>
      </c>
      <c r="BK116" s="30">
        <f t="shared" si="203"/>
        <v>1.3561014901329038</v>
      </c>
      <c r="BL116" s="30">
        <f t="shared" si="203"/>
        <v>1.090010532285506</v>
      </c>
      <c r="BM116" s="30">
        <f t="shared" si="203"/>
        <v>1.4350691619202605</v>
      </c>
      <c r="BN116" s="30">
        <f t="shared" si="203"/>
        <v>2.0311579980372914</v>
      </c>
      <c r="BO116" s="30">
        <f>BO114/BO115</f>
        <v>1.5556923582040549</v>
      </c>
      <c r="BP116" s="30">
        <f>BP114/BP115</f>
        <v>0.43730407523510972</v>
      </c>
      <c r="BQ116" s="30">
        <f>BQ114/BQ115</f>
        <v>1.4549579277346973</v>
      </c>
      <c r="CA116" s="30">
        <f t="shared" ref="CA116:CO116" si="204">CA114/CA115</f>
        <v>0.67300959351201661</v>
      </c>
      <c r="CB116" s="30">
        <f t="shared" si="204"/>
        <v>0.5545806097010384</v>
      </c>
      <c r="CC116" s="30">
        <f t="shared" si="204"/>
        <v>0.86277550545680115</v>
      </c>
      <c r="CD116" s="30">
        <f t="shared" si="204"/>
        <v>1.0214492088092915</v>
      </c>
      <c r="CE116" s="30">
        <f t="shared" si="204"/>
        <v>0.85008274409508044</v>
      </c>
      <c r="CF116" s="30">
        <f t="shared" si="204"/>
        <v>0.89345552161436637</v>
      </c>
      <c r="CG116" s="30">
        <f t="shared" si="204"/>
        <v>1.217794999268899</v>
      </c>
      <c r="CH116" s="30">
        <f t="shared" si="204"/>
        <v>1.8962186937305614</v>
      </c>
      <c r="CI116" s="30">
        <f t="shared" si="204"/>
        <v>1.7261995017870682</v>
      </c>
      <c r="CJ116" s="30">
        <f t="shared" si="204"/>
        <v>1.6422945513396872</v>
      </c>
      <c r="CK116" s="30">
        <f t="shared" si="204"/>
        <v>2.2329001676189102</v>
      </c>
      <c r="CL116" s="30">
        <f t="shared" si="204"/>
        <v>3.1404643662152503</v>
      </c>
      <c r="CM116" s="30">
        <f t="shared" si="204"/>
        <v>5.0092130589972159</v>
      </c>
      <c r="CN116" s="30">
        <f t="shared" si="204"/>
        <v>4.5794303374859302</v>
      </c>
      <c r="CO116" s="30">
        <f t="shared" si="204"/>
        <v>5.5025931351201551</v>
      </c>
      <c r="CP116" s="30">
        <f>CP114/CP115</f>
        <v>5.9066482669047815</v>
      </c>
    </row>
  </sheetData>
  <mergeCells count="1">
    <mergeCell ref="CY86:CZ86"/>
  </mergeCells>
  <conditionalFormatting sqref="CY86:CZ86">
    <cfRule type="colorScale" priority="1">
      <colorScale>
        <cfvo type="min"/>
        <cfvo type="percentile" val="50"/>
        <cfvo type="max"/>
        <color rgb="FFF8696B"/>
        <color rgb="FFFCFCFF"/>
        <color rgb="FF63BE7B"/>
      </colorScale>
    </cfRule>
    <cfRule type="containsText" dxfId="4" priority="2" operator="containsText" text="Strong Sell">
      <formula>NOT(ISERROR(SEARCH("Strong Sell",CY86)))</formula>
    </cfRule>
    <cfRule type="containsText" dxfId="3" priority="3" operator="containsText" text="Sell">
      <formula>NOT(ISERROR(SEARCH("Sell",CY86)))</formula>
    </cfRule>
    <cfRule type="containsText" dxfId="2" priority="4" operator="containsText" text="Hold">
      <formula>NOT(ISERROR(SEARCH("Hold",CY86)))</formula>
    </cfRule>
    <cfRule type="beginsWith" dxfId="1" priority="5" operator="beginsWith" text="Buy">
      <formula>LEFT(CY86,LEN("Buy"))="Buy"</formula>
    </cfRule>
    <cfRule type="beginsWith" dxfId="0" priority="6" operator="beginsWith" text="Strong">
      <formula>LEFT(CY86,LEN("Strong"))="Strong"</formula>
    </cfRule>
  </conditionalFormatting>
  <pageMargins left="0.7" right="0.7" top="0.75" bottom="0.75" header="0.3" footer="0.3"/>
  <ignoredErrors>
    <ignoredError sqref="AU54 AX49:AX61 CA48:CK59 AX103:BO106 AX108:BO109 AX107:BL107 CL112:CP114 CA112:CK114 BP103:BP106 BP108 BQ103:BQ106" formulaRange="1"/>
    <ignoredError sqref="CQ7:CZ7" formula="1"/>
    <ignoredError sqref="CM60:CP60 CL115:CP115 CA60:CL60" formula="1" formulaRange="1"/>
    <ignoredError sqref="BM107:BN107 BO107:BQ107" evalError="1" formulaRange="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FD4A5-C172-4508-BDD9-9132B91E029B}">
  <dimension ref="A1:CL1931"/>
  <sheetViews>
    <sheetView tabSelected="1" topLeftCell="Q154" zoomScale="70" zoomScaleNormal="70" workbookViewId="0">
      <selection activeCell="Z236" sqref="Z236"/>
    </sheetView>
  </sheetViews>
  <sheetFormatPr defaultColWidth="9.140625" defaultRowHeight="15" customHeight="1"/>
  <cols>
    <col min="1" max="1" width="3.28515625" style="81" hidden="1" customWidth="1"/>
    <col min="2" max="8" width="9.140625" style="81" hidden="1" customWidth="1"/>
    <col min="9" max="9" width="3.28515625" style="81" hidden="1" customWidth="1"/>
    <col min="10" max="16" width="9.140625" style="81" hidden="1" customWidth="1"/>
    <col min="17" max="17" width="3.140625" style="81" customWidth="1"/>
    <col min="18" max="19" width="9.140625" style="81"/>
    <col min="20" max="20" width="9.140625" style="81" customWidth="1"/>
    <col min="21" max="24" width="9.140625" style="81"/>
    <col min="25" max="25" width="9.140625" style="81" customWidth="1"/>
    <col min="26" max="39" width="9.140625" style="81"/>
    <col min="40" max="40" width="2.85546875" style="81" customWidth="1"/>
    <col min="41" max="16384" width="9.140625" style="81"/>
  </cols>
  <sheetData>
    <row r="1" spans="17:90" ht="15" customHeight="1">
      <c r="CL1" s="81">
        <v>0</v>
      </c>
    </row>
    <row r="2" spans="17:90" ht="15" customHeight="1">
      <c r="Q2" s="80" t="s">
        <v>249</v>
      </c>
      <c r="AO2" s="80" t="s">
        <v>3002</v>
      </c>
    </row>
    <row r="3" spans="17:90" ht="15" customHeight="1">
      <c r="AO3" s="80"/>
    </row>
    <row r="4" spans="17:90" ht="15" customHeight="1">
      <c r="AO4" s="81" t="s">
        <v>2843</v>
      </c>
    </row>
    <row r="5" spans="17:90" ht="15" customHeight="1">
      <c r="AP5" s="81" t="s">
        <v>2844</v>
      </c>
    </row>
    <row r="6" spans="17:90" ht="15" customHeight="1">
      <c r="AO6" s="80"/>
    </row>
    <row r="7" spans="17:90" ht="15" customHeight="1">
      <c r="AO7" s="81" t="s">
        <v>2995</v>
      </c>
    </row>
    <row r="8" spans="17:90" ht="15" customHeight="1">
      <c r="AO8" s="80" t="s">
        <v>2994</v>
      </c>
    </row>
    <row r="9" spans="17:90" ht="15" customHeight="1">
      <c r="AO9" s="80"/>
      <c r="AP9" s="81" t="s">
        <v>2859</v>
      </c>
    </row>
    <row r="10" spans="17:90" ht="15" customHeight="1">
      <c r="AO10" s="80"/>
      <c r="AP10" s="81" t="s">
        <v>2866</v>
      </c>
    </row>
    <row r="11" spans="17:90" ht="15" customHeight="1">
      <c r="AO11" s="80"/>
      <c r="AQ11" s="81" t="s">
        <v>2951</v>
      </c>
    </row>
    <row r="12" spans="17:90" ht="15" customHeight="1">
      <c r="AO12" s="80"/>
      <c r="AQ12" s="81" t="s">
        <v>2858</v>
      </c>
    </row>
    <row r="13" spans="17:90" ht="15" customHeight="1">
      <c r="AO13" s="80"/>
      <c r="AP13" s="81" t="s">
        <v>2860</v>
      </c>
    </row>
    <row r="14" spans="17:90" ht="15" customHeight="1">
      <c r="AO14" s="80"/>
      <c r="AQ14" s="81" t="s">
        <v>2862</v>
      </c>
    </row>
    <row r="15" spans="17:90" ht="15" customHeight="1">
      <c r="AO15" s="80"/>
      <c r="AQ15" s="81" t="s">
        <v>2865</v>
      </c>
    </row>
    <row r="16" spans="17:90" ht="15" customHeight="1">
      <c r="AR16" s="81" t="s">
        <v>2861</v>
      </c>
    </row>
    <row r="17" spans="18:59" ht="15" customHeight="1">
      <c r="AQ17" s="81" t="s">
        <v>2863</v>
      </c>
    </row>
    <row r="18" spans="18:59" ht="15" customHeight="1">
      <c r="AR18" s="81" t="s">
        <v>2864</v>
      </c>
    </row>
    <row r="19" spans="18:59" ht="15" customHeight="1">
      <c r="AQ19" s="81" t="s">
        <v>2867</v>
      </c>
    </row>
    <row r="20" spans="18:59" ht="15" customHeight="1">
      <c r="AR20" s="81" t="s">
        <v>2936</v>
      </c>
    </row>
    <row r="21" spans="18:59" ht="15" customHeight="1">
      <c r="AR21" s="81" t="s">
        <v>2952</v>
      </c>
    </row>
    <row r="22" spans="18:59" ht="15" customHeight="1">
      <c r="AO22" s="80" t="s">
        <v>2993</v>
      </c>
    </row>
    <row r="23" spans="18:59" ht="15" customHeight="1">
      <c r="AP23" s="81" t="s">
        <v>2953</v>
      </c>
    </row>
    <row r="24" spans="18:59" ht="15" customHeight="1">
      <c r="AQ24" s="81" t="s">
        <v>2954</v>
      </c>
    </row>
    <row r="25" spans="18:59" ht="15" customHeight="1">
      <c r="AP25" s="81" t="s">
        <v>2848</v>
      </c>
    </row>
    <row r="26" spans="18:59" ht="15" customHeight="1">
      <c r="AQ26" s="81" t="s">
        <v>2849</v>
      </c>
    </row>
    <row r="27" spans="18:59" ht="15" customHeight="1">
      <c r="AQ27" s="81" t="s">
        <v>2955</v>
      </c>
    </row>
    <row r="28" spans="18:59" ht="15" customHeight="1">
      <c r="AR28" s="140" t="s">
        <v>2850</v>
      </c>
      <c r="AS28" s="140"/>
      <c r="AT28" s="140"/>
      <c r="AU28" s="140"/>
      <c r="AV28" s="140"/>
      <c r="AW28" s="140"/>
      <c r="AX28" s="140"/>
      <c r="AY28" s="140"/>
      <c r="AZ28" s="140"/>
      <c r="BA28" s="140"/>
      <c r="BB28" s="140"/>
      <c r="BC28" s="140"/>
      <c r="BD28" s="140"/>
      <c r="BE28" s="140"/>
      <c r="BF28" s="140"/>
      <c r="BG28" s="140"/>
    </row>
    <row r="29" spans="18:59" ht="15" customHeight="1">
      <c r="AR29" s="140"/>
      <c r="AS29" s="140"/>
      <c r="AT29" s="140"/>
      <c r="AU29" s="140"/>
      <c r="AV29" s="140"/>
      <c r="AW29" s="140"/>
      <c r="AX29" s="140"/>
      <c r="AY29" s="140"/>
      <c r="AZ29" s="140"/>
      <c r="BA29" s="140"/>
      <c r="BB29" s="140"/>
      <c r="BC29" s="140"/>
      <c r="BD29" s="140"/>
      <c r="BE29" s="140"/>
      <c r="BF29" s="140"/>
      <c r="BG29" s="140"/>
    </row>
    <row r="30" spans="18:59" ht="15" customHeight="1">
      <c r="AR30" s="140"/>
      <c r="AS30" s="140"/>
      <c r="AT30" s="140"/>
      <c r="AU30" s="140"/>
      <c r="AV30" s="140"/>
      <c r="AW30" s="140"/>
      <c r="AX30" s="140"/>
      <c r="AY30" s="140"/>
      <c r="AZ30" s="140"/>
      <c r="BA30" s="140"/>
      <c r="BB30" s="140"/>
      <c r="BC30" s="140"/>
      <c r="BD30" s="140"/>
      <c r="BE30" s="140"/>
      <c r="BF30" s="140"/>
      <c r="BG30" s="140"/>
    </row>
    <row r="31" spans="18:59" ht="15" customHeight="1">
      <c r="R31" s="81" t="s">
        <v>13</v>
      </c>
      <c r="S31" s="81" t="s">
        <v>14</v>
      </c>
      <c r="AR31" s="140"/>
      <c r="AS31" s="140"/>
      <c r="AT31" s="140"/>
      <c r="AU31" s="140"/>
      <c r="AV31" s="140"/>
      <c r="AW31" s="140"/>
      <c r="AX31" s="140"/>
      <c r="AY31" s="140"/>
      <c r="AZ31" s="140"/>
      <c r="BA31" s="140"/>
      <c r="BB31" s="140"/>
      <c r="BC31" s="140"/>
      <c r="BD31" s="140"/>
      <c r="BE31" s="140"/>
      <c r="BF31" s="140"/>
      <c r="BG31" s="140"/>
    </row>
    <row r="32" spans="18:59" ht="15" customHeight="1">
      <c r="S32" s="81" t="s">
        <v>15</v>
      </c>
      <c r="AP32" s="81" t="s">
        <v>2956</v>
      </c>
    </row>
    <row r="33" spans="17:62" ht="15" customHeight="1">
      <c r="S33" s="81" t="s">
        <v>16</v>
      </c>
      <c r="AQ33" s="81" t="s">
        <v>2957</v>
      </c>
    </row>
    <row r="34" spans="17:62" ht="15" customHeight="1">
      <c r="AP34" s="81" t="s">
        <v>2958</v>
      </c>
    </row>
    <row r="35" spans="17:62" ht="15" customHeight="1">
      <c r="Q35" s="80" t="s">
        <v>3003</v>
      </c>
      <c r="AQ35" s="61" t="s">
        <v>2852</v>
      </c>
      <c r="AR35" s="59"/>
      <c r="AS35" s="59"/>
      <c r="AT35" s="59"/>
      <c r="AU35" s="59"/>
      <c r="AV35" s="59"/>
      <c r="AW35" s="59"/>
      <c r="AX35" s="59"/>
      <c r="AY35" s="59"/>
      <c r="AZ35" s="59"/>
      <c r="BA35" s="59"/>
      <c r="BB35" s="59"/>
      <c r="BC35" s="59"/>
      <c r="BD35" s="59"/>
      <c r="BE35" s="59"/>
      <c r="BF35" s="59"/>
      <c r="BG35" s="59"/>
    </row>
    <row r="36" spans="17:62" ht="15" customHeight="1">
      <c r="AQ36" s="61" t="s">
        <v>2853</v>
      </c>
      <c r="AR36" s="59"/>
      <c r="AS36" s="59"/>
      <c r="AT36" s="59"/>
      <c r="AU36" s="59"/>
      <c r="AV36" s="59"/>
      <c r="AW36" s="59"/>
      <c r="AX36" s="59"/>
      <c r="AY36" s="59"/>
      <c r="AZ36" s="59"/>
      <c r="BA36" s="59"/>
      <c r="BB36" s="59"/>
      <c r="BC36" s="59"/>
      <c r="BD36" s="59"/>
      <c r="BE36" s="59"/>
      <c r="BF36" s="59"/>
      <c r="BG36" s="59"/>
    </row>
    <row r="37" spans="17:62" ht="15" customHeight="1">
      <c r="AQ37" s="59"/>
      <c r="AR37" s="81" t="s">
        <v>2851</v>
      </c>
      <c r="AS37" s="59"/>
      <c r="AT37" s="59"/>
      <c r="AU37" s="59"/>
      <c r="AV37" s="59"/>
      <c r="AW37" s="59"/>
      <c r="AX37" s="59"/>
      <c r="AY37" s="59"/>
      <c r="AZ37" s="59"/>
      <c r="BA37" s="59"/>
      <c r="BB37" s="59"/>
      <c r="BC37" s="59"/>
      <c r="BD37" s="59"/>
      <c r="BE37" s="59"/>
      <c r="BF37" s="59"/>
      <c r="BG37" s="59"/>
    </row>
    <row r="38" spans="17:62" ht="15" customHeight="1">
      <c r="AQ38" s="140" t="s">
        <v>2959</v>
      </c>
      <c r="AR38" s="140"/>
      <c r="AS38" s="140"/>
      <c r="AT38" s="140"/>
      <c r="AU38" s="140"/>
      <c r="AV38" s="140"/>
      <c r="AW38" s="140"/>
      <c r="AX38" s="140"/>
      <c r="AY38" s="140"/>
      <c r="AZ38" s="140"/>
      <c r="BA38" s="140"/>
      <c r="BB38" s="140"/>
      <c r="BC38" s="140"/>
      <c r="BD38" s="140"/>
      <c r="BE38" s="140"/>
      <c r="BF38" s="140"/>
      <c r="BG38" s="140"/>
      <c r="BH38" s="140"/>
      <c r="BI38" s="140"/>
      <c r="BJ38" s="140"/>
    </row>
    <row r="39" spans="17:62" ht="15" customHeight="1">
      <c r="AQ39" s="140"/>
      <c r="AR39" s="140"/>
      <c r="AS39" s="140"/>
      <c r="AT39" s="140"/>
      <c r="AU39" s="140"/>
      <c r="AV39" s="140"/>
      <c r="AW39" s="140"/>
      <c r="AX39" s="140"/>
      <c r="AY39" s="140"/>
      <c r="AZ39" s="140"/>
      <c r="BA39" s="140"/>
      <c r="BB39" s="140"/>
      <c r="BC39" s="140"/>
      <c r="BD39" s="140"/>
      <c r="BE39" s="140"/>
      <c r="BF39" s="140"/>
      <c r="BG39" s="140"/>
      <c r="BH39" s="140"/>
      <c r="BI39" s="140"/>
      <c r="BJ39" s="140"/>
    </row>
    <row r="40" spans="17:62" ht="15" customHeight="1">
      <c r="AR40" s="81" t="s">
        <v>2960</v>
      </c>
      <c r="AS40" s="59"/>
      <c r="AT40" s="59"/>
      <c r="AU40" s="59"/>
      <c r="AV40" s="59"/>
      <c r="AW40" s="59"/>
      <c r="AX40" s="59"/>
      <c r="AY40" s="59"/>
      <c r="AZ40" s="59"/>
      <c r="BA40" s="59"/>
      <c r="BB40" s="59"/>
      <c r="BC40" s="59"/>
      <c r="BD40" s="59"/>
      <c r="BE40" s="59"/>
      <c r="BF40" s="59"/>
      <c r="BG40" s="59"/>
      <c r="BH40" s="59"/>
      <c r="BI40" s="59"/>
    </row>
    <row r="41" spans="17:62" ht="15" customHeight="1">
      <c r="AQ41" s="59"/>
      <c r="AR41" s="81" t="s">
        <v>2961</v>
      </c>
      <c r="AS41" s="59"/>
      <c r="AT41" s="59"/>
      <c r="AU41" s="59"/>
      <c r="AV41" s="59"/>
      <c r="AW41" s="59"/>
      <c r="AX41" s="59"/>
      <c r="AY41" s="59"/>
      <c r="AZ41" s="59"/>
      <c r="BA41" s="59"/>
      <c r="BB41" s="59"/>
      <c r="BC41" s="59"/>
      <c r="BD41" s="59"/>
      <c r="BE41" s="59"/>
      <c r="BF41" s="59"/>
      <c r="BG41" s="59"/>
      <c r="BH41" s="59"/>
      <c r="BI41" s="59"/>
    </row>
    <row r="42" spans="17:62" ht="15" customHeight="1">
      <c r="AQ42" s="140" t="s">
        <v>2854</v>
      </c>
      <c r="AR42" s="140"/>
      <c r="AS42" s="140"/>
      <c r="AT42" s="140"/>
      <c r="AU42" s="140"/>
      <c r="AV42" s="140"/>
      <c r="AW42" s="140"/>
      <c r="AX42" s="140"/>
      <c r="AY42" s="140"/>
      <c r="AZ42" s="140"/>
      <c r="BA42" s="140"/>
      <c r="BB42" s="140"/>
      <c r="BC42" s="140"/>
      <c r="BD42" s="140"/>
      <c r="BE42" s="140"/>
      <c r="BF42" s="140"/>
      <c r="BG42" s="140"/>
      <c r="BH42" s="140"/>
      <c r="BI42" s="58"/>
      <c r="BJ42" s="58"/>
    </row>
    <row r="43" spans="17:62" ht="15" customHeight="1">
      <c r="AQ43" s="140"/>
      <c r="AR43" s="140"/>
      <c r="AS43" s="140"/>
      <c r="AT43" s="140"/>
      <c r="AU43" s="140"/>
      <c r="AV43" s="140"/>
      <c r="AW43" s="140"/>
      <c r="AX43" s="140"/>
      <c r="AY43" s="140"/>
      <c r="AZ43" s="140"/>
      <c r="BA43" s="140"/>
      <c r="BB43" s="140"/>
      <c r="BC43" s="140"/>
      <c r="BD43" s="140"/>
      <c r="BE43" s="140"/>
      <c r="BF43" s="140"/>
      <c r="BG43" s="140"/>
      <c r="BH43" s="140"/>
      <c r="BI43" s="58"/>
      <c r="BJ43" s="58"/>
    </row>
    <row r="44" spans="17:62" ht="15" customHeight="1">
      <c r="AQ44" s="140" t="s">
        <v>2855</v>
      </c>
      <c r="AR44" s="140"/>
      <c r="AS44" s="140"/>
      <c r="AT44" s="140"/>
      <c r="AU44" s="140"/>
      <c r="AV44" s="140"/>
      <c r="AW44" s="140"/>
      <c r="AX44" s="140"/>
      <c r="AY44" s="140"/>
      <c r="AZ44" s="140"/>
      <c r="BA44" s="140"/>
      <c r="BB44" s="140"/>
      <c r="BC44" s="140"/>
      <c r="BD44" s="140"/>
      <c r="BE44" s="140"/>
      <c r="BF44" s="140"/>
      <c r="BG44" s="140"/>
      <c r="BH44" s="140"/>
    </row>
    <row r="45" spans="17:62" ht="15" customHeight="1">
      <c r="AQ45" s="140"/>
      <c r="AR45" s="140"/>
      <c r="AS45" s="140"/>
      <c r="AT45" s="140"/>
      <c r="AU45" s="140"/>
      <c r="AV45" s="140"/>
      <c r="AW45" s="140"/>
      <c r="AX45" s="140"/>
      <c r="AY45" s="140"/>
      <c r="AZ45" s="140"/>
      <c r="BA45" s="140"/>
      <c r="BB45" s="140"/>
      <c r="BC45" s="140"/>
      <c r="BD45" s="140"/>
      <c r="BE45" s="140"/>
      <c r="BF45" s="140"/>
      <c r="BG45" s="140"/>
      <c r="BH45" s="140"/>
    </row>
    <row r="46" spans="17:62" ht="15" customHeight="1">
      <c r="AP46" s="81" t="s">
        <v>2962</v>
      </c>
      <c r="AQ46" s="59"/>
      <c r="AR46" s="59"/>
      <c r="AS46" s="59"/>
      <c r="AT46" s="59"/>
      <c r="AU46" s="59"/>
      <c r="AV46" s="59"/>
      <c r="AW46" s="59"/>
      <c r="AX46" s="59"/>
      <c r="AY46" s="59"/>
      <c r="AZ46" s="59"/>
      <c r="BA46" s="59"/>
      <c r="BB46" s="59"/>
      <c r="BC46" s="59"/>
      <c r="BD46" s="59"/>
      <c r="BE46" s="59"/>
      <c r="BF46" s="59"/>
      <c r="BG46" s="59"/>
    </row>
    <row r="47" spans="17:62" ht="15" customHeight="1">
      <c r="AO47" s="80" t="s">
        <v>2996</v>
      </c>
      <c r="AQ47" s="58"/>
      <c r="AR47" s="58"/>
      <c r="AS47" s="58"/>
      <c r="AT47" s="58"/>
      <c r="AU47" s="58"/>
      <c r="AV47" s="58"/>
      <c r="AW47" s="58"/>
      <c r="AX47" s="58"/>
      <c r="AY47" s="58"/>
      <c r="AZ47" s="58"/>
      <c r="BA47" s="58"/>
      <c r="BB47" s="58"/>
      <c r="BC47" s="58"/>
      <c r="BD47" s="58"/>
      <c r="BE47" s="58"/>
      <c r="BF47" s="58"/>
      <c r="BG47" s="58"/>
    </row>
    <row r="48" spans="17:62" ht="15" customHeight="1">
      <c r="AP48" s="81" t="s">
        <v>2980</v>
      </c>
    </row>
    <row r="49" spans="18:44" ht="15" customHeight="1">
      <c r="AQ49" s="81" t="s">
        <v>2964</v>
      </c>
    </row>
    <row r="50" spans="18:44" ht="15" customHeight="1">
      <c r="AR50" s="81" t="s">
        <v>2982</v>
      </c>
    </row>
    <row r="51" spans="18:44" ht="15" customHeight="1">
      <c r="AQ51" s="81" t="s">
        <v>2965</v>
      </c>
    </row>
    <row r="52" spans="18:44" ht="15" customHeight="1">
      <c r="AP52" s="81" t="s">
        <v>2966</v>
      </c>
    </row>
    <row r="53" spans="18:44" ht="15" customHeight="1">
      <c r="AQ53" s="81" t="s">
        <v>2967</v>
      </c>
    </row>
    <row r="54" spans="18:44" ht="15" customHeight="1">
      <c r="AP54" s="81" t="s">
        <v>2969</v>
      </c>
    </row>
    <row r="55" spans="18:44" ht="15" customHeight="1">
      <c r="AQ55" s="81" t="s">
        <v>2983</v>
      </c>
    </row>
    <row r="57" spans="18:44" ht="15" customHeight="1">
      <c r="AQ57" s="81" t="s">
        <v>2970</v>
      </c>
    </row>
    <row r="58" spans="18:44" ht="15" customHeight="1">
      <c r="AQ58" s="81" t="s">
        <v>2971</v>
      </c>
    </row>
    <row r="59" spans="18:44" ht="15" customHeight="1">
      <c r="AR59" s="81" t="s">
        <v>2972</v>
      </c>
    </row>
    <row r="60" spans="18:44" ht="15" customHeight="1">
      <c r="AR60" s="81" t="s">
        <v>2973</v>
      </c>
    </row>
    <row r="61" spans="18:44" ht="15" customHeight="1">
      <c r="AP61" s="81" t="s">
        <v>2977</v>
      </c>
    </row>
    <row r="62" spans="18:44" ht="15" customHeight="1">
      <c r="AQ62" s="81" t="s">
        <v>2974</v>
      </c>
    </row>
    <row r="63" spans="18:44" ht="15" customHeight="1">
      <c r="AQ63" s="81" t="s">
        <v>2975</v>
      </c>
    </row>
    <row r="64" spans="18:44" ht="15" customHeight="1">
      <c r="R64" s="81" t="s">
        <v>13</v>
      </c>
      <c r="S64" s="81" t="s">
        <v>14</v>
      </c>
      <c r="AR64" s="81" t="s">
        <v>2981</v>
      </c>
    </row>
    <row r="65" spans="17:44" ht="15" customHeight="1">
      <c r="S65" s="81" t="s">
        <v>15</v>
      </c>
      <c r="AQ65" s="81" t="s">
        <v>2976</v>
      </c>
    </row>
    <row r="66" spans="17:44" ht="15" customHeight="1">
      <c r="S66" s="81" t="s">
        <v>16</v>
      </c>
      <c r="AP66" s="81" t="s">
        <v>3000</v>
      </c>
    </row>
    <row r="67" spans="17:44" ht="15" customHeight="1">
      <c r="AP67" s="81" t="s">
        <v>3001</v>
      </c>
    </row>
    <row r="68" spans="17:44" ht="15" customHeight="1">
      <c r="Q68" s="80" t="s">
        <v>1965</v>
      </c>
      <c r="AQ68" s="81" t="s">
        <v>3008</v>
      </c>
    </row>
    <row r="69" spans="17:44" ht="15" customHeight="1">
      <c r="AQ69" s="81" t="s">
        <v>3009</v>
      </c>
    </row>
    <row r="70" spans="17:44" ht="15" customHeight="1">
      <c r="AO70" s="80" t="s">
        <v>3107</v>
      </c>
    </row>
    <row r="71" spans="17:44" ht="15" customHeight="1">
      <c r="AP71" s="81" t="s">
        <v>3109</v>
      </c>
    </row>
    <row r="72" spans="17:44" ht="15" customHeight="1">
      <c r="AQ72" s="81" t="s">
        <v>3110</v>
      </c>
    </row>
    <row r="73" spans="17:44" ht="15" customHeight="1">
      <c r="AQ73" s="81" t="s">
        <v>3111</v>
      </c>
    </row>
    <row r="74" spans="17:44" ht="15" customHeight="1">
      <c r="AP74" s="81" t="s">
        <v>3112</v>
      </c>
    </row>
    <row r="75" spans="17:44" ht="15" customHeight="1">
      <c r="AQ75" s="81" t="s">
        <v>3113</v>
      </c>
    </row>
    <row r="76" spans="17:44" ht="15" customHeight="1">
      <c r="AQ76" s="81" t="s">
        <v>3114</v>
      </c>
    </row>
    <row r="77" spans="17:44" ht="15" customHeight="1">
      <c r="AQ77" s="81" t="s">
        <v>3115</v>
      </c>
    </row>
    <row r="78" spans="17:44" ht="15" customHeight="1">
      <c r="AR78" s="81" t="s">
        <v>3116</v>
      </c>
    </row>
    <row r="79" spans="17:44" ht="15" customHeight="1">
      <c r="AR79" s="81" t="s">
        <v>3117</v>
      </c>
    </row>
    <row r="80" spans="17:44" ht="15" customHeight="1">
      <c r="AQ80" s="81" t="s">
        <v>3118</v>
      </c>
    </row>
    <row r="81" spans="41:44" ht="15" customHeight="1">
      <c r="AR81" s="81" t="s">
        <v>3119</v>
      </c>
    </row>
    <row r="82" spans="41:44" ht="15" customHeight="1">
      <c r="AO82" s="80" t="s">
        <v>3124</v>
      </c>
    </row>
    <row r="83" spans="41:44" ht="15" customHeight="1">
      <c r="AP83" s="81" t="s">
        <v>3123</v>
      </c>
    </row>
    <row r="84" spans="41:44" ht="15" customHeight="1">
      <c r="AQ84" s="81" t="s">
        <v>3125</v>
      </c>
    </row>
    <row r="85" spans="41:44" ht="15" customHeight="1">
      <c r="AQ85" s="81" t="s">
        <v>3126</v>
      </c>
    </row>
    <row r="86" spans="41:44" ht="15" customHeight="1">
      <c r="AQ86" s="81" t="s">
        <v>3127</v>
      </c>
    </row>
    <row r="87" spans="41:44" ht="15" customHeight="1">
      <c r="AP87" s="81" t="s">
        <v>3128</v>
      </c>
    </row>
    <row r="88" spans="41:44" ht="15" customHeight="1">
      <c r="AQ88" s="81" t="s">
        <v>3130</v>
      </c>
    </row>
    <row r="89" spans="41:44" ht="15" customHeight="1">
      <c r="AQ89" s="81" t="s">
        <v>3129</v>
      </c>
    </row>
    <row r="90" spans="41:44" ht="15" customHeight="1">
      <c r="AR90" s="81" t="s">
        <v>3131</v>
      </c>
    </row>
    <row r="91" spans="41:44" ht="15" customHeight="1">
      <c r="AR91" s="81" t="s">
        <v>3132</v>
      </c>
    </row>
    <row r="92" spans="41:44" ht="15" customHeight="1">
      <c r="AR92" s="81" t="s">
        <v>3134</v>
      </c>
    </row>
    <row r="93" spans="41:44" ht="15" customHeight="1">
      <c r="AP93" s="80" t="s">
        <v>3133</v>
      </c>
    </row>
    <row r="94" spans="41:44" ht="15" customHeight="1">
      <c r="AP94" s="81" t="s">
        <v>2986</v>
      </c>
    </row>
    <row r="95" spans="41:44" ht="15" customHeight="1">
      <c r="AQ95" s="81" t="s">
        <v>3120</v>
      </c>
    </row>
    <row r="96" spans="41:44" ht="15" customHeight="1">
      <c r="AQ96" s="81" t="s">
        <v>3121</v>
      </c>
    </row>
    <row r="97" spans="17:73" ht="15" customHeight="1">
      <c r="AR97" s="81" t="s">
        <v>3122</v>
      </c>
    </row>
    <row r="98" spans="17:73" ht="15" customHeight="1">
      <c r="AQ98" s="81" t="s">
        <v>2990</v>
      </c>
    </row>
    <row r="99" spans="17:73" ht="15" customHeight="1">
      <c r="AR99" s="81" t="s">
        <v>2991</v>
      </c>
      <c r="BS99" s="58"/>
      <c r="BT99" s="58"/>
    </row>
    <row r="100" spans="17:73" ht="15" customHeight="1">
      <c r="AQ100" s="81" t="s">
        <v>2992</v>
      </c>
      <c r="AU100" s="59"/>
      <c r="AV100" s="59"/>
      <c r="AW100" s="59"/>
      <c r="AX100" s="59"/>
      <c r="AY100" s="59"/>
      <c r="AZ100" s="59"/>
      <c r="BA100" s="59"/>
      <c r="BB100" s="59"/>
      <c r="BC100" s="59"/>
      <c r="BD100" s="59"/>
      <c r="BE100" s="59"/>
      <c r="BF100" s="59"/>
      <c r="BG100" s="59"/>
      <c r="BH100" s="59"/>
      <c r="BI100" s="59"/>
      <c r="BJ100" s="59"/>
      <c r="BK100" s="59"/>
      <c r="BL100" s="59"/>
      <c r="BM100" s="59"/>
      <c r="BN100" s="59"/>
      <c r="BO100" s="59"/>
      <c r="BP100" s="59"/>
      <c r="BQ100" s="59"/>
      <c r="BR100" s="59"/>
      <c r="BS100" s="59"/>
      <c r="BT100" s="59"/>
    </row>
    <row r="101" spans="17:73" ht="15" customHeight="1">
      <c r="R101" s="81" t="s">
        <v>13</v>
      </c>
      <c r="S101" s="81" t="s">
        <v>2937</v>
      </c>
      <c r="AO101" s="80" t="s">
        <v>3108</v>
      </c>
      <c r="AQ101" s="59"/>
      <c r="AR101" s="59"/>
      <c r="AS101" s="59"/>
      <c r="AT101" s="59"/>
      <c r="AU101" s="59"/>
      <c r="AV101" s="59"/>
      <c r="AW101" s="59"/>
      <c r="AX101" s="59"/>
      <c r="AY101" s="59"/>
      <c r="AZ101" s="59"/>
      <c r="BA101" s="59"/>
      <c r="BB101" s="59"/>
      <c r="BC101" s="59"/>
      <c r="BD101" s="59"/>
      <c r="BE101" s="59"/>
      <c r="BF101" s="59"/>
      <c r="BG101" s="59"/>
      <c r="BH101" s="59"/>
      <c r="BI101" s="59"/>
      <c r="BJ101" s="59"/>
      <c r="BK101" s="59"/>
      <c r="BL101" s="59"/>
      <c r="BM101" s="59"/>
      <c r="BN101" s="59"/>
      <c r="BO101" s="59"/>
      <c r="BP101" s="59"/>
      <c r="BQ101" s="59"/>
      <c r="BR101" s="59"/>
      <c r="BS101" s="59"/>
      <c r="BT101" s="59"/>
    </row>
    <row r="102" spans="17:73" ht="15" customHeight="1">
      <c r="S102" s="81" t="s">
        <v>2938</v>
      </c>
      <c r="AP102" s="140" t="s">
        <v>3006</v>
      </c>
      <c r="AQ102" s="140"/>
      <c r="AR102" s="140"/>
      <c r="AS102" s="140"/>
      <c r="AT102" s="140"/>
      <c r="AU102" s="140"/>
      <c r="AV102" s="140"/>
      <c r="AW102" s="140"/>
      <c r="AX102" s="140"/>
      <c r="AY102" s="140"/>
      <c r="AZ102" s="140"/>
      <c r="BA102" s="140"/>
      <c r="BB102" s="140"/>
      <c r="BC102" s="140"/>
      <c r="BD102" s="140"/>
      <c r="BE102" s="140"/>
      <c r="BF102" s="140"/>
      <c r="BG102" s="140"/>
      <c r="BH102" s="140"/>
      <c r="BI102" s="140"/>
      <c r="BJ102" s="140"/>
      <c r="BK102" s="140"/>
      <c r="BL102" s="140"/>
      <c r="BM102" s="140"/>
      <c r="BN102" s="140"/>
      <c r="BO102" s="140"/>
      <c r="BP102" s="140"/>
      <c r="BQ102" s="140"/>
      <c r="BR102" s="140"/>
      <c r="BS102" s="140"/>
      <c r="BT102" s="140"/>
      <c r="BU102" s="59"/>
    </row>
    <row r="103" spans="17:73" ht="15" customHeight="1">
      <c r="S103" s="81" t="s">
        <v>2939</v>
      </c>
      <c r="AO103" s="59"/>
      <c r="AP103" s="140"/>
      <c r="AQ103" s="140"/>
      <c r="AR103" s="140"/>
      <c r="AS103" s="140"/>
      <c r="AT103" s="140"/>
      <c r="AU103" s="140"/>
      <c r="AV103" s="140"/>
      <c r="AW103" s="140"/>
      <c r="AX103" s="140"/>
      <c r="AY103" s="140"/>
      <c r="AZ103" s="140"/>
      <c r="BA103" s="140"/>
      <c r="BB103" s="140"/>
      <c r="BC103" s="140"/>
      <c r="BD103" s="140"/>
      <c r="BE103" s="140"/>
      <c r="BF103" s="140"/>
      <c r="BG103" s="140"/>
      <c r="BH103" s="140"/>
      <c r="BI103" s="140"/>
      <c r="BJ103" s="140"/>
      <c r="BK103" s="140"/>
      <c r="BL103" s="140"/>
      <c r="BM103" s="140"/>
      <c r="BN103" s="140"/>
      <c r="BO103" s="140"/>
      <c r="BP103" s="140"/>
      <c r="BQ103" s="140"/>
      <c r="BR103" s="140"/>
      <c r="BS103" s="140"/>
      <c r="BT103" s="140"/>
      <c r="BU103" s="59"/>
    </row>
    <row r="104" spans="17:73" ht="15" customHeight="1">
      <c r="T104" s="81" t="s">
        <v>2940</v>
      </c>
      <c r="AP104" s="140"/>
      <c r="AQ104" s="140"/>
      <c r="AR104" s="140"/>
      <c r="AS104" s="140"/>
      <c r="AT104" s="140"/>
      <c r="AU104" s="140"/>
      <c r="AV104" s="140"/>
      <c r="AW104" s="140"/>
      <c r="AX104" s="140"/>
      <c r="AY104" s="140"/>
      <c r="AZ104" s="140"/>
      <c r="BA104" s="140"/>
      <c r="BB104" s="140"/>
      <c r="BC104" s="140"/>
      <c r="BD104" s="140"/>
      <c r="BE104" s="140"/>
      <c r="BF104" s="140"/>
      <c r="BG104" s="140"/>
      <c r="BH104" s="140"/>
      <c r="BI104" s="140"/>
      <c r="BJ104" s="140"/>
      <c r="BK104" s="140"/>
      <c r="BL104" s="140"/>
      <c r="BM104" s="140"/>
      <c r="BN104" s="140"/>
      <c r="BO104" s="140"/>
      <c r="BP104" s="140"/>
      <c r="BQ104" s="140"/>
      <c r="BR104" s="140"/>
      <c r="BS104" s="140"/>
      <c r="BT104" s="140"/>
      <c r="BU104" s="59"/>
    </row>
    <row r="105" spans="17:73" ht="15" customHeight="1">
      <c r="AP105" s="140"/>
      <c r="AQ105" s="140"/>
      <c r="AR105" s="140"/>
      <c r="AS105" s="140"/>
      <c r="AT105" s="140"/>
      <c r="AU105" s="140"/>
      <c r="AV105" s="140"/>
      <c r="AW105" s="140"/>
      <c r="AX105" s="140"/>
      <c r="AY105" s="140"/>
      <c r="AZ105" s="140"/>
      <c r="BA105" s="140"/>
      <c r="BB105" s="140"/>
      <c r="BC105" s="140"/>
      <c r="BD105" s="140"/>
      <c r="BE105" s="140"/>
      <c r="BF105" s="140"/>
      <c r="BG105" s="140"/>
      <c r="BH105" s="140"/>
      <c r="BI105" s="140"/>
      <c r="BJ105" s="140"/>
      <c r="BK105" s="140"/>
      <c r="BL105" s="140"/>
      <c r="BM105" s="140"/>
      <c r="BN105" s="140"/>
      <c r="BO105" s="140"/>
      <c r="BP105" s="140"/>
      <c r="BQ105" s="140"/>
      <c r="BR105" s="140"/>
      <c r="BS105" s="140"/>
      <c r="BT105" s="140"/>
      <c r="BU105" s="59"/>
    </row>
    <row r="106" spans="17:73" ht="15" customHeight="1">
      <c r="Q106" s="80" t="s">
        <v>2934</v>
      </c>
      <c r="AP106" s="140"/>
      <c r="AQ106" s="140"/>
      <c r="AR106" s="140"/>
      <c r="AS106" s="140"/>
      <c r="AT106" s="140"/>
      <c r="AU106" s="140"/>
      <c r="AV106" s="140"/>
      <c r="AW106" s="140"/>
      <c r="AX106" s="140"/>
      <c r="AY106" s="140"/>
      <c r="AZ106" s="140"/>
      <c r="BA106" s="140"/>
      <c r="BB106" s="140"/>
      <c r="BC106" s="140"/>
      <c r="BD106" s="140"/>
      <c r="BE106" s="140"/>
      <c r="BF106" s="140"/>
      <c r="BG106" s="140"/>
      <c r="BH106" s="140"/>
      <c r="BI106" s="140"/>
      <c r="BJ106" s="140"/>
      <c r="BK106" s="140"/>
      <c r="BL106" s="140"/>
      <c r="BM106" s="140"/>
      <c r="BN106" s="140"/>
      <c r="BO106" s="140"/>
      <c r="BP106" s="140"/>
      <c r="BQ106" s="140"/>
      <c r="BR106" s="140"/>
      <c r="BS106" s="140"/>
      <c r="BT106" s="140"/>
      <c r="BU106" s="59"/>
    </row>
    <row r="107" spans="17:73" ht="15" customHeight="1">
      <c r="AP107" s="58"/>
      <c r="AQ107" s="58"/>
      <c r="AR107" s="58"/>
      <c r="AS107" s="58"/>
      <c r="AT107" s="58"/>
      <c r="AU107" s="58"/>
      <c r="AV107" s="58"/>
      <c r="AW107" s="58"/>
      <c r="AX107" s="58"/>
      <c r="AY107" s="58"/>
      <c r="AZ107" s="58"/>
      <c r="BA107" s="58"/>
      <c r="BB107" s="58"/>
      <c r="BC107" s="58"/>
      <c r="BD107" s="58"/>
      <c r="BE107" s="58"/>
      <c r="BF107" s="58"/>
      <c r="BG107" s="58"/>
      <c r="BH107" s="58"/>
      <c r="BI107" s="58"/>
      <c r="BJ107" s="58"/>
      <c r="BK107" s="58"/>
      <c r="BL107" s="58"/>
      <c r="BM107" s="58"/>
      <c r="BN107" s="58"/>
      <c r="BO107" s="58"/>
      <c r="BP107" s="58"/>
      <c r="BQ107" s="58"/>
      <c r="BR107" s="58"/>
      <c r="BS107" s="58"/>
      <c r="BT107" s="58"/>
      <c r="BU107" s="59"/>
    </row>
    <row r="109" spans="17:73" ht="15" customHeight="1">
      <c r="AO109" s="80" t="s">
        <v>2963</v>
      </c>
    </row>
    <row r="110" spans="17:73" ht="15" customHeight="1">
      <c r="AN110" s="80" t="s">
        <v>77</v>
      </c>
    </row>
    <row r="135" spans="17:41" ht="15" customHeight="1">
      <c r="R135" s="81" t="s">
        <v>13</v>
      </c>
      <c r="S135" s="81" t="s">
        <v>2941</v>
      </c>
    </row>
    <row r="136" spans="17:41" ht="15" customHeight="1">
      <c r="T136" s="81" t="s">
        <v>298</v>
      </c>
    </row>
    <row r="137" spans="17:41" ht="15" customHeight="1">
      <c r="T137" s="80" t="s">
        <v>299</v>
      </c>
    </row>
    <row r="138" spans="17:41" ht="15" customHeight="1">
      <c r="S138" s="81" t="s">
        <v>2950</v>
      </c>
    </row>
    <row r="139" spans="17:41" ht="15" customHeight="1">
      <c r="S139" s="81" t="s">
        <v>16</v>
      </c>
    </row>
    <row r="141" spans="17:41" ht="15" customHeight="1">
      <c r="Q141" s="80" t="s">
        <v>2935</v>
      </c>
      <c r="AO141" s="81" t="s">
        <v>2984</v>
      </c>
    </row>
    <row r="163" spans="2:40" ht="15" customHeight="1">
      <c r="AN163" s="80" t="s">
        <v>2968</v>
      </c>
    </row>
    <row r="170" spans="2:40" ht="15" customHeight="1">
      <c r="R170" s="81" t="s">
        <v>13</v>
      </c>
      <c r="S170" s="81" t="s">
        <v>14</v>
      </c>
    </row>
    <row r="171" spans="2:40" ht="15" customHeight="1">
      <c r="S171" s="81" t="s">
        <v>15</v>
      </c>
    </row>
    <row r="172" spans="2:40" ht="15" customHeight="1">
      <c r="B172" s="81" t="s">
        <v>3106</v>
      </c>
      <c r="J172" s="81" t="s">
        <v>3010</v>
      </c>
      <c r="S172" s="81" t="s">
        <v>16</v>
      </c>
    </row>
    <row r="173" spans="2:40" ht="15" customHeight="1">
      <c r="B173" s="81" t="s">
        <v>3105</v>
      </c>
      <c r="J173" s="81" t="s">
        <v>3105</v>
      </c>
    </row>
    <row r="174" spans="2:40" ht="15" customHeight="1">
      <c r="B174" s="82" t="s">
        <v>17</v>
      </c>
      <c r="C174" s="82" t="s">
        <v>18</v>
      </c>
      <c r="D174" s="82" t="s">
        <v>19</v>
      </c>
      <c r="E174" s="82" t="s">
        <v>20</v>
      </c>
      <c r="F174" s="82" t="s">
        <v>21</v>
      </c>
      <c r="G174" s="82" t="s">
        <v>22</v>
      </c>
      <c r="H174" s="82" t="s">
        <v>23</v>
      </c>
      <c r="J174" s="82" t="s">
        <v>17</v>
      </c>
      <c r="K174" s="82" t="s">
        <v>18</v>
      </c>
      <c r="L174" s="82" t="s">
        <v>19</v>
      </c>
      <c r="M174" s="82" t="s">
        <v>20</v>
      </c>
      <c r="N174" s="82" t="s">
        <v>21</v>
      </c>
      <c r="O174" s="82" t="s">
        <v>22</v>
      </c>
      <c r="P174" s="82" t="s">
        <v>23</v>
      </c>
      <c r="Q174" s="80" t="s">
        <v>1963</v>
      </c>
    </row>
    <row r="175" spans="2:40" ht="15" customHeight="1">
      <c r="B175" s="83">
        <v>615.29999999999995</v>
      </c>
      <c r="C175" s="83">
        <v>618.41999999999996</v>
      </c>
      <c r="D175" s="83">
        <v>614.28800000000001</v>
      </c>
      <c r="E175" s="83">
        <v>615.95000000000005</v>
      </c>
      <c r="F175" s="83">
        <v>7187163</v>
      </c>
      <c r="G175" s="83" t="s">
        <v>3011</v>
      </c>
      <c r="H175" s="84">
        <f>B175/E175-1</f>
        <v>-1.0552804610765021E-3</v>
      </c>
      <c r="J175" s="83">
        <v>246.45</v>
      </c>
      <c r="K175" s="83">
        <v>247.11770000000001</v>
      </c>
      <c r="L175" s="83">
        <v>242.47</v>
      </c>
      <c r="M175" s="83">
        <v>245.23</v>
      </c>
      <c r="N175" s="83">
        <v>19922250</v>
      </c>
      <c r="O175" s="83" t="s">
        <v>3011</v>
      </c>
      <c r="P175" s="84">
        <f>J175/M175-1</f>
        <v>4.9749215022631965E-3</v>
      </c>
    </row>
    <row r="176" spans="2:40" ht="15" customHeight="1">
      <c r="B176" s="83">
        <v>615.25</v>
      </c>
      <c r="C176" s="83">
        <v>616.48</v>
      </c>
      <c r="D176" s="83">
        <v>613.02</v>
      </c>
      <c r="E176" s="83">
        <v>616.41</v>
      </c>
      <c r="F176" s="83">
        <v>7036646</v>
      </c>
      <c r="G176" s="83" t="s">
        <v>3012</v>
      </c>
      <c r="H176" s="84">
        <f t="shared" ref="H176:H239" si="0">B176/E176-1</f>
        <v>-1.8818643435375426E-3</v>
      </c>
      <c r="J176" s="83">
        <v>246.43</v>
      </c>
      <c r="K176" s="83">
        <v>247.63499999999999</v>
      </c>
      <c r="L176" s="83">
        <v>243.10499999999999</v>
      </c>
      <c r="M176" s="83">
        <v>245.64</v>
      </c>
      <c r="N176" s="83">
        <v>20585518</v>
      </c>
      <c r="O176" s="83" t="s">
        <v>3012</v>
      </c>
      <c r="P176" s="84">
        <f t="shared" ref="P176:P239" si="1">J176/M176-1</f>
        <v>3.2160885849210619E-3</v>
      </c>
    </row>
    <row r="177" spans="2:16" ht="15" customHeight="1">
      <c r="B177" s="83">
        <v>614.57000000000005</v>
      </c>
      <c r="C177" s="83">
        <v>615.39</v>
      </c>
      <c r="D177" s="83">
        <v>609.57000000000005</v>
      </c>
      <c r="E177" s="83">
        <v>609.70000000000005</v>
      </c>
      <c r="F177" s="83">
        <v>9753029</v>
      </c>
      <c r="G177" s="83" t="s">
        <v>3013</v>
      </c>
      <c r="H177" s="84">
        <f t="shared" si="0"/>
        <v>7.9875348532065793E-3</v>
      </c>
      <c r="J177" s="83">
        <v>245.54</v>
      </c>
      <c r="K177" s="83">
        <v>247.15</v>
      </c>
      <c r="L177" s="83">
        <v>239.2</v>
      </c>
      <c r="M177" s="83">
        <v>241.18</v>
      </c>
      <c r="N177" s="83">
        <v>23943537</v>
      </c>
      <c r="O177" s="83" t="s">
        <v>3013</v>
      </c>
      <c r="P177" s="84">
        <f t="shared" si="1"/>
        <v>1.8077784227547911E-2</v>
      </c>
    </row>
    <row r="178" spans="2:16" ht="15" customHeight="1">
      <c r="B178" s="83">
        <v>612.38</v>
      </c>
      <c r="C178" s="83">
        <v>612.86</v>
      </c>
      <c r="D178" s="83">
        <v>608.27</v>
      </c>
      <c r="E178" s="83">
        <v>609.42999999999995</v>
      </c>
      <c r="F178" s="83">
        <v>6481423</v>
      </c>
      <c r="G178" s="83" t="s">
        <v>3014</v>
      </c>
      <c r="H178" s="84">
        <f t="shared" si="0"/>
        <v>4.8405887468618847E-3</v>
      </c>
      <c r="J178" s="83">
        <v>243.55</v>
      </c>
      <c r="K178" s="83">
        <v>243.67500000000001</v>
      </c>
      <c r="L178" s="83">
        <v>239.57069999999999</v>
      </c>
      <c r="M178" s="83">
        <v>243.06</v>
      </c>
      <c r="N178" s="83">
        <v>22401250</v>
      </c>
      <c r="O178" s="83" t="s">
        <v>3014</v>
      </c>
      <c r="P178" s="84">
        <f t="shared" si="1"/>
        <v>2.0159631366740705E-3</v>
      </c>
    </row>
    <row r="179" spans="2:16" ht="15" customHeight="1">
      <c r="B179" s="83">
        <v>610.13</v>
      </c>
      <c r="C179" s="83">
        <v>611.67999999999995</v>
      </c>
      <c r="D179" s="83">
        <v>608.48</v>
      </c>
      <c r="E179" s="83">
        <v>610.79</v>
      </c>
      <c r="F179" s="83">
        <v>5658835</v>
      </c>
      <c r="G179" s="83" t="s">
        <v>3015</v>
      </c>
      <c r="H179" s="84">
        <f t="shared" si="0"/>
        <v>-1.0805677892564702E-3</v>
      </c>
      <c r="J179" s="83">
        <v>244.36</v>
      </c>
      <c r="K179" s="83">
        <v>251.64830000000001</v>
      </c>
      <c r="L179" s="83">
        <v>243.2</v>
      </c>
      <c r="M179" s="83">
        <v>248.27500000000001</v>
      </c>
      <c r="N179" s="83">
        <v>23157245</v>
      </c>
      <c r="O179" s="83" t="s">
        <v>3015</v>
      </c>
      <c r="P179" s="84">
        <f t="shared" si="1"/>
        <v>-1.5768804752794296E-2</v>
      </c>
    </row>
    <row r="180" spans="2:16" ht="15" customHeight="1">
      <c r="B180" s="83">
        <v>610.16</v>
      </c>
      <c r="C180" s="83">
        <v>610.70000000000005</v>
      </c>
      <c r="D180" s="83">
        <v>606.56500000000005</v>
      </c>
      <c r="E180" s="83">
        <v>608.03</v>
      </c>
      <c r="F180" s="83">
        <v>6438634</v>
      </c>
      <c r="G180" s="83" t="s">
        <v>3016</v>
      </c>
      <c r="H180" s="84">
        <f t="shared" si="0"/>
        <v>3.5031166225349963E-3</v>
      </c>
      <c r="J180" s="83">
        <v>247.18</v>
      </c>
      <c r="K180" s="83">
        <v>250.12</v>
      </c>
      <c r="L180" s="83">
        <v>246.64</v>
      </c>
      <c r="M180" s="83">
        <v>247.785</v>
      </c>
      <c r="N180" s="83">
        <v>16594608</v>
      </c>
      <c r="O180" s="83" t="s">
        <v>3016</v>
      </c>
      <c r="P180" s="84">
        <f t="shared" si="1"/>
        <v>-2.4416328672033361E-3</v>
      </c>
    </row>
    <row r="181" spans="2:16" ht="15" customHeight="1">
      <c r="B181" s="83">
        <v>606.59</v>
      </c>
      <c r="C181" s="83">
        <v>607.92999999999995</v>
      </c>
      <c r="D181" s="83">
        <v>603.35</v>
      </c>
      <c r="E181" s="83">
        <v>606.62</v>
      </c>
      <c r="F181" s="83">
        <v>6927746</v>
      </c>
      <c r="G181" s="83" t="s">
        <v>3017</v>
      </c>
      <c r="H181" s="84">
        <f t="shared" si="0"/>
        <v>-4.9454353631572801E-5</v>
      </c>
      <c r="J181" s="83">
        <v>246.57</v>
      </c>
      <c r="K181" s="83">
        <v>247.315</v>
      </c>
      <c r="L181" s="83">
        <v>241.65</v>
      </c>
      <c r="M181" s="83">
        <v>244.84</v>
      </c>
      <c r="N181" s="83">
        <v>16938127</v>
      </c>
      <c r="O181" s="83" t="s">
        <v>3017</v>
      </c>
      <c r="P181" s="84">
        <f t="shared" si="1"/>
        <v>7.0658389152098433E-3</v>
      </c>
    </row>
    <row r="182" spans="2:16" ht="15" customHeight="1">
      <c r="B182" s="83">
        <v>609.5</v>
      </c>
      <c r="C182" s="83">
        <v>612.74</v>
      </c>
      <c r="D182" s="83">
        <v>608.19000000000005</v>
      </c>
      <c r="E182" s="83">
        <v>612.63</v>
      </c>
      <c r="F182" s="83">
        <v>23764079</v>
      </c>
      <c r="G182" s="83" t="s">
        <v>3018</v>
      </c>
      <c r="H182" s="84">
        <f t="shared" si="0"/>
        <v>-5.1091196970438624E-3</v>
      </c>
      <c r="J182" s="83">
        <v>247.83</v>
      </c>
      <c r="K182" s="83">
        <v>252.96</v>
      </c>
      <c r="L182" s="83">
        <v>247.22</v>
      </c>
      <c r="M182" s="83">
        <v>252.15</v>
      </c>
      <c r="N182" s="83">
        <v>16880734</v>
      </c>
      <c r="O182" s="83" t="s">
        <v>3018</v>
      </c>
      <c r="P182" s="84">
        <f t="shared" si="1"/>
        <v>-1.713265913146933E-2</v>
      </c>
    </row>
    <row r="183" spans="2:16" ht="15" customHeight="1">
      <c r="B183" s="83">
        <v>611.54</v>
      </c>
      <c r="C183" s="83">
        <v>615.26</v>
      </c>
      <c r="D183" s="83">
        <v>610.34100000000001</v>
      </c>
      <c r="E183" s="83">
        <v>614.70500000000004</v>
      </c>
      <c r="F183" s="83">
        <v>10728553</v>
      </c>
      <c r="G183" s="83" t="s">
        <v>3019</v>
      </c>
      <c r="H183" s="84">
        <f t="shared" si="0"/>
        <v>-5.148811218389393E-3</v>
      </c>
      <c r="J183" s="83">
        <v>252.34</v>
      </c>
      <c r="K183" s="83">
        <v>254.77</v>
      </c>
      <c r="L183" s="83">
        <v>251.09</v>
      </c>
      <c r="M183" s="83">
        <v>253.655</v>
      </c>
      <c r="N183" s="83">
        <v>17293845</v>
      </c>
      <c r="O183" s="83" t="s">
        <v>3019</v>
      </c>
      <c r="P183" s="84">
        <f t="shared" si="1"/>
        <v>-5.1842068951922782E-3</v>
      </c>
    </row>
    <row r="184" spans="2:16" ht="15" customHeight="1">
      <c r="B184" s="83">
        <v>614.76</v>
      </c>
      <c r="C184" s="83">
        <v>615.22</v>
      </c>
      <c r="D184" s="83">
        <v>610.51</v>
      </c>
      <c r="E184" s="83">
        <v>610.52</v>
      </c>
      <c r="F184" s="83">
        <v>11551587</v>
      </c>
      <c r="G184" s="83" t="s">
        <v>3020</v>
      </c>
      <c r="H184" s="84">
        <f t="shared" si="0"/>
        <v>6.9448994299941003E-3</v>
      </c>
      <c r="J184" s="83">
        <v>252.88</v>
      </c>
      <c r="K184" s="83">
        <v>256.31</v>
      </c>
      <c r="L184" s="83">
        <v>250.81</v>
      </c>
      <c r="M184" s="83">
        <v>254.78</v>
      </c>
      <c r="N184" s="83">
        <v>19800536</v>
      </c>
      <c r="O184" s="83" t="s">
        <v>3020</v>
      </c>
      <c r="P184" s="84">
        <f t="shared" si="1"/>
        <v>-7.4574142397362264E-3</v>
      </c>
    </row>
    <row r="185" spans="2:16" ht="15" customHeight="1">
      <c r="B185" s="83">
        <v>611.78</v>
      </c>
      <c r="C185" s="83">
        <v>612.66999999999996</v>
      </c>
      <c r="D185" s="83">
        <v>608.85</v>
      </c>
      <c r="E185" s="83">
        <v>610.62</v>
      </c>
      <c r="F185" s="83">
        <v>6065655</v>
      </c>
      <c r="G185" s="83" t="s">
        <v>3021</v>
      </c>
      <c r="H185" s="84">
        <f t="shared" si="0"/>
        <v>1.899708493007024E-3</v>
      </c>
      <c r="J185" s="83">
        <v>255.24</v>
      </c>
      <c r="K185" s="83">
        <v>256.7</v>
      </c>
      <c r="L185" s="83">
        <v>252.0675</v>
      </c>
      <c r="M185" s="83">
        <v>253.4</v>
      </c>
      <c r="N185" s="83">
        <v>41616844</v>
      </c>
      <c r="O185" s="83" t="s">
        <v>3021</v>
      </c>
      <c r="P185" s="84">
        <f t="shared" si="1"/>
        <v>7.2612470402526608E-3</v>
      </c>
    </row>
    <row r="186" spans="2:16" ht="15" customHeight="1">
      <c r="B186" s="83">
        <v>608.94000000000005</v>
      </c>
      <c r="C186" s="83">
        <v>611.30999999999995</v>
      </c>
      <c r="D186" s="83">
        <v>607.07000000000005</v>
      </c>
      <c r="E186" s="83">
        <v>608.54999999999995</v>
      </c>
      <c r="F186" s="83">
        <v>11029230</v>
      </c>
      <c r="G186" s="83" t="s">
        <v>3022</v>
      </c>
      <c r="H186" s="84">
        <f t="shared" si="0"/>
        <v>6.4086763618442788E-4</v>
      </c>
      <c r="J186" s="83">
        <v>252.33</v>
      </c>
      <c r="K186" s="83">
        <v>254.14</v>
      </c>
      <c r="L186" s="83">
        <v>250.11</v>
      </c>
      <c r="M186" s="83">
        <v>251.86</v>
      </c>
      <c r="N186" s="83">
        <v>20952403</v>
      </c>
      <c r="O186" s="83" t="s">
        <v>3022</v>
      </c>
      <c r="P186" s="84">
        <f t="shared" si="1"/>
        <v>1.866116096243875E-3</v>
      </c>
    </row>
    <row r="187" spans="2:16" ht="15" customHeight="1">
      <c r="B187" s="83">
        <v>606.09</v>
      </c>
      <c r="C187" s="83">
        <v>608.33000000000004</v>
      </c>
      <c r="D187" s="83">
        <v>601.54999999999995</v>
      </c>
      <c r="E187" s="83">
        <v>606.84</v>
      </c>
      <c r="F187" s="83">
        <v>11613628</v>
      </c>
      <c r="G187" s="83" t="s">
        <v>3023</v>
      </c>
      <c r="H187" s="84">
        <f t="shared" si="0"/>
        <v>-1.2359106189440139E-3</v>
      </c>
      <c r="J187" s="83">
        <v>249.85</v>
      </c>
      <c r="K187" s="83">
        <v>251.95</v>
      </c>
      <c r="L187" s="83">
        <v>246.58</v>
      </c>
      <c r="M187" s="83">
        <v>251.46</v>
      </c>
      <c r="N187" s="83">
        <v>20491324</v>
      </c>
      <c r="O187" s="83" t="s">
        <v>3023</v>
      </c>
      <c r="P187" s="84">
        <f t="shared" si="1"/>
        <v>-6.4026087648135777E-3</v>
      </c>
    </row>
    <row r="188" spans="2:16" ht="15" customHeight="1">
      <c r="B188" s="83">
        <v>606.79</v>
      </c>
      <c r="C188" s="83">
        <v>608.41999999999996</v>
      </c>
      <c r="D188" s="83">
        <v>606.06089999999995</v>
      </c>
      <c r="E188" s="83">
        <v>608.16</v>
      </c>
      <c r="F188" s="83">
        <v>6367152</v>
      </c>
      <c r="G188" s="83" t="s">
        <v>3024</v>
      </c>
      <c r="H188" s="84">
        <f t="shared" si="0"/>
        <v>-2.2526966587740338E-3</v>
      </c>
      <c r="J188" s="83">
        <v>251.42</v>
      </c>
      <c r="K188" s="83">
        <v>253.23</v>
      </c>
      <c r="L188" s="83">
        <v>249.715</v>
      </c>
      <c r="M188" s="83">
        <v>252.33</v>
      </c>
      <c r="N188" s="83">
        <v>24461860</v>
      </c>
      <c r="O188" s="83" t="s">
        <v>3024</v>
      </c>
      <c r="P188" s="84">
        <f t="shared" si="1"/>
        <v>-3.606388459557075E-3</v>
      </c>
    </row>
    <row r="189" spans="2:16" ht="15" customHeight="1">
      <c r="B189" s="83">
        <v>607.59</v>
      </c>
      <c r="C189" s="83">
        <v>607.77</v>
      </c>
      <c r="D189" s="83">
        <v>606.20000000000005</v>
      </c>
      <c r="E189" s="83">
        <v>606.47</v>
      </c>
      <c r="F189" s="83">
        <v>7447134</v>
      </c>
      <c r="G189" s="83" t="s">
        <v>3025</v>
      </c>
      <c r="H189" s="84">
        <f t="shared" si="0"/>
        <v>1.8467525186736111E-3</v>
      </c>
      <c r="J189" s="83">
        <v>251.76</v>
      </c>
      <c r="K189" s="83">
        <v>252.7499</v>
      </c>
      <c r="L189" s="83">
        <v>244.98</v>
      </c>
      <c r="M189" s="83">
        <v>245.14</v>
      </c>
      <c r="N189" s="83">
        <v>29838578</v>
      </c>
      <c r="O189" s="83" t="s">
        <v>3025</v>
      </c>
      <c r="P189" s="84">
        <f t="shared" si="1"/>
        <v>2.7004976747980747E-2</v>
      </c>
    </row>
    <row r="190" spans="2:16" ht="15" customHeight="1">
      <c r="B190" s="83">
        <v>604.44000000000005</v>
      </c>
      <c r="C190" s="83">
        <v>605.98</v>
      </c>
      <c r="D190" s="83">
        <v>603.95000000000005</v>
      </c>
      <c r="E190" s="83">
        <v>604.59</v>
      </c>
      <c r="F190" s="83">
        <v>8108692</v>
      </c>
      <c r="G190" s="83" t="s">
        <v>3026</v>
      </c>
      <c r="H190" s="84">
        <f t="shared" si="0"/>
        <v>-2.4810201955038913E-4</v>
      </c>
      <c r="J190" s="83">
        <v>241.38</v>
      </c>
      <c r="K190" s="83">
        <v>242.42269999999999</v>
      </c>
      <c r="L190" s="83">
        <v>238.5</v>
      </c>
      <c r="M190" s="83">
        <v>240.8</v>
      </c>
      <c r="N190" s="83">
        <v>14089213</v>
      </c>
      <c r="O190" s="83" t="s">
        <v>3026</v>
      </c>
      <c r="P190" s="84">
        <f t="shared" si="1"/>
        <v>2.4086378737540048E-3</v>
      </c>
    </row>
    <row r="191" spans="2:16" ht="15" customHeight="1">
      <c r="B191" s="83">
        <v>604.57000000000005</v>
      </c>
      <c r="C191" s="83">
        <v>605.23</v>
      </c>
      <c r="D191" s="83">
        <v>600.89</v>
      </c>
      <c r="E191" s="83">
        <v>601.42999999999995</v>
      </c>
      <c r="F191" s="83">
        <v>9086806</v>
      </c>
      <c r="G191" s="83" t="s">
        <v>3027</v>
      </c>
      <c r="H191" s="84">
        <f t="shared" si="0"/>
        <v>5.2208902116623879E-3</v>
      </c>
      <c r="J191" s="83">
        <v>240.78</v>
      </c>
      <c r="K191" s="83">
        <v>242.57</v>
      </c>
      <c r="L191" s="83">
        <v>236.58</v>
      </c>
      <c r="M191" s="83">
        <v>240.14</v>
      </c>
      <c r="N191" s="83">
        <v>21241542</v>
      </c>
      <c r="O191" s="83" t="s">
        <v>3027</v>
      </c>
      <c r="P191" s="84">
        <f t="shared" si="1"/>
        <v>2.6651120179894683E-3</v>
      </c>
    </row>
    <row r="192" spans="2:16" ht="15" customHeight="1">
      <c r="B192" s="83">
        <v>599.67999999999995</v>
      </c>
      <c r="C192" s="83">
        <v>601.75</v>
      </c>
      <c r="D192" s="83">
        <v>598.16</v>
      </c>
      <c r="E192" s="83">
        <v>600.91999999999996</v>
      </c>
      <c r="F192" s="83">
        <v>21542357</v>
      </c>
      <c r="G192" s="83" t="s">
        <v>3028</v>
      </c>
      <c r="H192" s="84">
        <f t="shared" si="0"/>
        <v>-2.0635026293017722E-3</v>
      </c>
      <c r="J192" s="83">
        <v>239.56</v>
      </c>
      <c r="K192" s="83">
        <v>242.08</v>
      </c>
      <c r="L192" s="83">
        <v>238.11</v>
      </c>
      <c r="M192" s="83">
        <v>239.25</v>
      </c>
      <c r="N192" s="83">
        <v>19709450</v>
      </c>
      <c r="O192" s="83" t="s">
        <v>3028</v>
      </c>
      <c r="P192" s="84">
        <f t="shared" si="1"/>
        <v>1.2957157784743156E-3</v>
      </c>
    </row>
    <row r="193" spans="2:16" ht="15" customHeight="1">
      <c r="B193" s="83">
        <v>597.95000000000005</v>
      </c>
      <c r="C193" s="83">
        <v>598.37</v>
      </c>
      <c r="D193" s="83">
        <v>595.01</v>
      </c>
      <c r="E193" s="83">
        <v>596.61</v>
      </c>
      <c r="F193" s="83">
        <v>7780114</v>
      </c>
      <c r="G193" s="83" t="s">
        <v>3029</v>
      </c>
      <c r="H193" s="84">
        <f t="shared" si="0"/>
        <v>2.2460233653476269E-3</v>
      </c>
      <c r="J193" s="83">
        <v>239.94</v>
      </c>
      <c r="K193" s="83">
        <v>240.59</v>
      </c>
      <c r="L193" s="83">
        <v>233.38</v>
      </c>
      <c r="M193" s="83">
        <v>234.19</v>
      </c>
      <c r="N193" s="83">
        <v>22372359</v>
      </c>
      <c r="O193" s="83" t="s">
        <v>3029</v>
      </c>
      <c r="P193" s="84">
        <f t="shared" si="1"/>
        <v>2.4552713608608334E-2</v>
      </c>
    </row>
    <row r="194" spans="2:16" ht="15" customHeight="1">
      <c r="B194" s="83">
        <v>596.5</v>
      </c>
      <c r="C194" s="83">
        <v>597.41</v>
      </c>
      <c r="D194" s="83">
        <v>595.03</v>
      </c>
      <c r="E194" s="83">
        <v>596.30999999999995</v>
      </c>
      <c r="F194" s="83">
        <v>9448293</v>
      </c>
      <c r="G194" s="83" t="s">
        <v>3030</v>
      </c>
      <c r="H194" s="84">
        <f t="shared" si="0"/>
        <v>3.1862621790690326E-4</v>
      </c>
      <c r="J194" s="83">
        <v>234.16</v>
      </c>
      <c r="K194" s="83">
        <v>238.4</v>
      </c>
      <c r="L194" s="83">
        <v>233.73</v>
      </c>
      <c r="M194" s="83">
        <v>235.79</v>
      </c>
      <c r="N194" s="83">
        <v>22691897</v>
      </c>
      <c r="O194" s="83" t="s">
        <v>3030</v>
      </c>
      <c r="P194" s="84">
        <f t="shared" si="1"/>
        <v>-6.9129309979218956E-3</v>
      </c>
    </row>
    <row r="195" spans="2:16" ht="15" customHeight="1">
      <c r="B195" s="83">
        <v>594.96</v>
      </c>
      <c r="C195" s="83">
        <v>599.6</v>
      </c>
      <c r="D195" s="83">
        <v>591.45000000000005</v>
      </c>
      <c r="E195" s="83">
        <v>598.91</v>
      </c>
      <c r="F195" s="83">
        <v>6622130</v>
      </c>
      <c r="G195" s="83" t="s">
        <v>3031</v>
      </c>
      <c r="H195" s="84">
        <f t="shared" si="0"/>
        <v>-6.5953148219264346E-3</v>
      </c>
      <c r="J195" s="83">
        <v>235.17</v>
      </c>
      <c r="K195" s="83">
        <v>236.12989999999999</v>
      </c>
      <c r="L195" s="83">
        <v>232.38</v>
      </c>
      <c r="M195" s="83">
        <v>232.66</v>
      </c>
      <c r="N195" s="83">
        <v>25350253</v>
      </c>
      <c r="O195" s="83" t="s">
        <v>3031</v>
      </c>
      <c r="P195" s="84">
        <f t="shared" si="1"/>
        <v>1.0788274735665793E-2</v>
      </c>
    </row>
    <row r="196" spans="2:16" ht="15" customHeight="1">
      <c r="B196" s="83">
        <v>596.59</v>
      </c>
      <c r="C196" s="83">
        <v>596.77</v>
      </c>
      <c r="D196" s="83">
        <v>591.6</v>
      </c>
      <c r="E196" s="83">
        <v>592.47</v>
      </c>
      <c r="F196" s="83">
        <v>8012477</v>
      </c>
      <c r="G196" s="83" t="s">
        <v>3032</v>
      </c>
      <c r="H196" s="84">
        <f t="shared" si="0"/>
        <v>6.9539385960470934E-3</v>
      </c>
      <c r="J196" s="83">
        <v>232.66</v>
      </c>
      <c r="K196" s="83">
        <v>232.77</v>
      </c>
      <c r="L196" s="83">
        <v>226.76</v>
      </c>
      <c r="M196" s="83">
        <v>230.155</v>
      </c>
      <c r="N196" s="83">
        <v>30231012</v>
      </c>
      <c r="O196" s="83" t="s">
        <v>3032</v>
      </c>
      <c r="P196" s="84">
        <f t="shared" si="1"/>
        <v>1.0883969498816093E-2</v>
      </c>
    </row>
    <row r="197" spans="2:16" ht="15" customHeight="1">
      <c r="B197" s="83">
        <v>591.72</v>
      </c>
      <c r="C197" s="83">
        <v>592.23</v>
      </c>
      <c r="D197" s="83">
        <v>588.78</v>
      </c>
      <c r="E197" s="83">
        <v>590.80999999999995</v>
      </c>
      <c r="F197" s="83">
        <v>6669875</v>
      </c>
      <c r="G197" s="83" t="s">
        <v>3033</v>
      </c>
      <c r="H197" s="84">
        <f t="shared" si="0"/>
        <v>1.5402582894672445E-3</v>
      </c>
      <c r="J197" s="83">
        <v>231.1</v>
      </c>
      <c r="K197" s="83">
        <v>231.8</v>
      </c>
      <c r="L197" s="83">
        <v>225.12</v>
      </c>
      <c r="M197" s="83">
        <v>226.48</v>
      </c>
      <c r="N197" s="83">
        <v>70537434</v>
      </c>
      <c r="O197" s="83" t="s">
        <v>3033</v>
      </c>
      <c r="P197" s="84">
        <f t="shared" si="1"/>
        <v>2.0399152243023577E-2</v>
      </c>
    </row>
    <row r="198" spans="2:16" ht="15" customHeight="1">
      <c r="B198" s="83">
        <v>588.71</v>
      </c>
      <c r="C198" s="83">
        <v>588.79999999999995</v>
      </c>
      <c r="D198" s="83">
        <v>583.66999999999996</v>
      </c>
      <c r="E198" s="83">
        <v>586.05999999999995</v>
      </c>
      <c r="F198" s="83">
        <v>11063662</v>
      </c>
      <c r="G198" s="83" t="s">
        <v>3034</v>
      </c>
      <c r="H198" s="84">
        <f t="shared" si="0"/>
        <v>4.5217213254618027E-3</v>
      </c>
      <c r="J198" s="83">
        <v>211.99</v>
      </c>
      <c r="K198" s="83">
        <v>212.369</v>
      </c>
      <c r="L198" s="83">
        <v>206.96</v>
      </c>
      <c r="M198" s="83">
        <v>208.99</v>
      </c>
      <c r="N198" s="83">
        <v>25551611</v>
      </c>
      <c r="O198" s="83" t="s">
        <v>3034</v>
      </c>
      <c r="P198" s="84">
        <f t="shared" si="1"/>
        <v>1.4354753815972066E-2</v>
      </c>
    </row>
    <row r="199" spans="2:16" ht="15" customHeight="1">
      <c r="B199" s="83">
        <v>593.08000000000004</v>
      </c>
      <c r="C199" s="83">
        <v>595.54999999999995</v>
      </c>
      <c r="D199" s="83">
        <v>591.245</v>
      </c>
      <c r="E199" s="83">
        <v>595.24</v>
      </c>
      <c r="F199" s="83">
        <v>7480746</v>
      </c>
      <c r="G199" s="83" t="s">
        <v>3035</v>
      </c>
      <c r="H199" s="84">
        <f t="shared" si="0"/>
        <v>-3.6287883878770577E-3</v>
      </c>
      <c r="J199" s="83">
        <v>213.53</v>
      </c>
      <c r="K199" s="83">
        <v>215.34</v>
      </c>
      <c r="L199" s="83">
        <v>210.97</v>
      </c>
      <c r="M199" s="83">
        <v>211.27</v>
      </c>
      <c r="N199" s="83">
        <v>24634874</v>
      </c>
      <c r="O199" s="83" t="s">
        <v>3035</v>
      </c>
      <c r="P199" s="84">
        <f t="shared" si="1"/>
        <v>1.0697212098262909E-2</v>
      </c>
    </row>
    <row r="200" spans="2:16" ht="15" customHeight="1">
      <c r="B200" s="83">
        <v>596.52</v>
      </c>
      <c r="C200" s="83">
        <v>597.07000000000005</v>
      </c>
      <c r="D200" s="83">
        <v>593.27</v>
      </c>
      <c r="E200" s="83">
        <v>595.07000000000005</v>
      </c>
      <c r="F200" s="83">
        <v>5037983</v>
      </c>
      <c r="G200" s="83" t="s">
        <v>3036</v>
      </c>
      <c r="H200" s="84">
        <f t="shared" si="0"/>
        <v>2.4366881207251723E-3</v>
      </c>
      <c r="J200" s="83">
        <v>212.37</v>
      </c>
      <c r="K200" s="83">
        <v>212.9</v>
      </c>
      <c r="L200" s="83">
        <v>207.6</v>
      </c>
      <c r="M200" s="83">
        <v>207.84</v>
      </c>
      <c r="N200" s="83">
        <v>20852947</v>
      </c>
      <c r="O200" s="83" t="s">
        <v>3036</v>
      </c>
      <c r="P200" s="84">
        <f t="shared" si="1"/>
        <v>2.1795612009237963E-2</v>
      </c>
    </row>
    <row r="201" spans="2:16" ht="15" customHeight="1">
      <c r="B201" s="83">
        <v>594.41999999999996</v>
      </c>
      <c r="C201" s="83">
        <v>595.14</v>
      </c>
      <c r="D201" s="83">
        <v>592.44000000000005</v>
      </c>
      <c r="E201" s="83">
        <v>592.52</v>
      </c>
      <c r="F201" s="83">
        <v>6089564</v>
      </c>
      <c r="G201" s="83" t="s">
        <v>3037</v>
      </c>
      <c r="H201" s="84">
        <f t="shared" si="0"/>
        <v>3.20664281374472E-3</v>
      </c>
      <c r="J201" s="83">
        <v>208.21</v>
      </c>
      <c r="K201" s="83">
        <v>209.57</v>
      </c>
      <c r="L201" s="83">
        <v>206.39</v>
      </c>
      <c r="M201" s="83">
        <v>206.46</v>
      </c>
      <c r="N201" s="83">
        <v>15167154</v>
      </c>
      <c r="O201" s="83" t="s">
        <v>3037</v>
      </c>
      <c r="P201" s="84">
        <f t="shared" si="1"/>
        <v>8.476218153637527E-3</v>
      </c>
    </row>
    <row r="202" spans="2:16" ht="15" customHeight="1">
      <c r="B202" s="83">
        <v>593.05999999999995</v>
      </c>
      <c r="C202" s="83">
        <v>593.42999999999995</v>
      </c>
      <c r="D202" s="83">
        <v>589.79499999999996</v>
      </c>
      <c r="E202" s="83">
        <v>590.38</v>
      </c>
      <c r="F202" s="83">
        <v>4746851</v>
      </c>
      <c r="G202" s="83" t="s">
        <v>3038</v>
      </c>
      <c r="H202" s="84">
        <f t="shared" si="0"/>
        <v>4.5394491683321547E-3</v>
      </c>
      <c r="J202" s="83">
        <v>207.95</v>
      </c>
      <c r="K202" s="83">
        <v>208.46</v>
      </c>
      <c r="L202" s="83">
        <v>206.45009999999999</v>
      </c>
      <c r="M202" s="83">
        <v>208.37</v>
      </c>
      <c r="N202" s="83">
        <v>22772920</v>
      </c>
      <c r="O202" s="83" t="s">
        <v>3038</v>
      </c>
      <c r="P202" s="84">
        <f t="shared" si="1"/>
        <v>-2.0156452464367147E-3</v>
      </c>
    </row>
    <row r="203" spans="2:16" ht="15" customHeight="1">
      <c r="B203" s="83">
        <v>590.70000000000005</v>
      </c>
      <c r="C203" s="83">
        <v>593.22990000000004</v>
      </c>
      <c r="D203" s="83">
        <v>590.54999999999995</v>
      </c>
      <c r="E203" s="83">
        <v>592.04999999999995</v>
      </c>
      <c r="F203" s="83">
        <v>6483035</v>
      </c>
      <c r="G203" s="83" t="s">
        <v>3039</v>
      </c>
      <c r="H203" s="84">
        <f t="shared" si="0"/>
        <v>-2.2802128198630145E-3</v>
      </c>
      <c r="J203" s="83">
        <v>209.16</v>
      </c>
      <c r="K203" s="83">
        <v>211.09</v>
      </c>
      <c r="L203" s="83">
        <v>205.95</v>
      </c>
      <c r="M203" s="83">
        <v>207</v>
      </c>
      <c r="N203" s="83">
        <v>22788806</v>
      </c>
      <c r="O203" s="83" t="s">
        <v>3039</v>
      </c>
      <c r="P203" s="84">
        <f t="shared" si="1"/>
        <v>1.0434782608695681E-2</v>
      </c>
    </row>
    <row r="204" spans="2:16" ht="15" customHeight="1">
      <c r="B204" s="83">
        <v>593.21</v>
      </c>
      <c r="C204" s="83">
        <v>594.32000000000005</v>
      </c>
      <c r="D204" s="83">
        <v>585.84</v>
      </c>
      <c r="E204" s="83">
        <v>586.27</v>
      </c>
      <c r="F204" s="83">
        <v>6368542</v>
      </c>
      <c r="G204" s="83" t="s">
        <v>3040</v>
      </c>
      <c r="H204" s="84">
        <f t="shared" si="0"/>
        <v>1.1837549252051272E-2</v>
      </c>
      <c r="J204" s="83">
        <v>206.72</v>
      </c>
      <c r="K204" s="83">
        <v>209.23</v>
      </c>
      <c r="L204" s="83">
        <v>202.13</v>
      </c>
      <c r="M204" s="83">
        <v>203.96</v>
      </c>
      <c r="N204" s="83">
        <v>25622184</v>
      </c>
      <c r="O204" s="83" t="s">
        <v>3040</v>
      </c>
      <c r="P204" s="84">
        <f t="shared" si="1"/>
        <v>1.3532065110805958E-2</v>
      </c>
    </row>
    <row r="205" spans="2:16" ht="15" customHeight="1">
      <c r="B205" s="83">
        <v>584.27</v>
      </c>
      <c r="C205" s="83">
        <v>586.46</v>
      </c>
      <c r="D205" s="83">
        <v>582.65</v>
      </c>
      <c r="E205" s="83">
        <v>584.92999999999995</v>
      </c>
      <c r="F205" s="83">
        <v>4807277</v>
      </c>
      <c r="G205" s="83" t="s">
        <v>3041</v>
      </c>
      <c r="H205" s="84">
        <f t="shared" si="0"/>
        <v>-1.1283401432649054E-3</v>
      </c>
      <c r="J205" s="83">
        <v>200.62</v>
      </c>
      <c r="K205" s="83">
        <v>203.36</v>
      </c>
      <c r="L205" s="83">
        <v>200.4</v>
      </c>
      <c r="M205" s="83">
        <v>200.72</v>
      </c>
      <c r="N205" s="83">
        <v>11768910</v>
      </c>
      <c r="O205" s="83" t="s">
        <v>3041</v>
      </c>
      <c r="P205" s="84">
        <f t="shared" si="1"/>
        <v>-4.9820645675568986E-4</v>
      </c>
    </row>
    <row r="206" spans="2:16" ht="15" customHeight="1">
      <c r="B206" s="83">
        <v>586.58000000000004</v>
      </c>
      <c r="C206" s="83">
        <v>588</v>
      </c>
      <c r="D206" s="83">
        <v>581.85</v>
      </c>
      <c r="E206" s="83">
        <v>587.80999999999995</v>
      </c>
      <c r="F206" s="83">
        <v>7054266</v>
      </c>
      <c r="G206" s="83" t="s">
        <v>3042</v>
      </c>
      <c r="H206" s="84">
        <f t="shared" si="0"/>
        <v>-2.0925128868169995E-3</v>
      </c>
      <c r="J206" s="83">
        <v>200.19</v>
      </c>
      <c r="K206" s="83">
        <v>202.17</v>
      </c>
      <c r="L206" s="83">
        <v>197.46</v>
      </c>
      <c r="M206" s="83">
        <v>201.68</v>
      </c>
      <c r="N206" s="83">
        <v>13818477</v>
      </c>
      <c r="O206" s="83" t="s">
        <v>3042</v>
      </c>
      <c r="P206" s="84">
        <f t="shared" si="1"/>
        <v>-7.3879412931376898E-3</v>
      </c>
    </row>
    <row r="207" spans="2:16" ht="15" customHeight="1">
      <c r="B207" s="83">
        <v>588.13</v>
      </c>
      <c r="C207" s="83">
        <v>592.12</v>
      </c>
      <c r="D207" s="83">
        <v>586.94000000000005</v>
      </c>
      <c r="E207" s="83">
        <v>591.25</v>
      </c>
      <c r="F207" s="83">
        <v>6689596</v>
      </c>
      <c r="G207" s="83" t="s">
        <v>3043</v>
      </c>
      <c r="H207" s="84">
        <f t="shared" si="0"/>
        <v>-5.2769556025370479E-3</v>
      </c>
      <c r="J207" s="83">
        <v>202.49</v>
      </c>
      <c r="K207" s="83">
        <v>204.29</v>
      </c>
      <c r="L207" s="83">
        <v>200.93</v>
      </c>
      <c r="M207" s="83">
        <v>203.905</v>
      </c>
      <c r="N207" s="83">
        <v>13336493</v>
      </c>
      <c r="O207" s="83" t="s">
        <v>3043</v>
      </c>
      <c r="P207" s="84">
        <f t="shared" si="1"/>
        <v>-6.9395061425663318E-3</v>
      </c>
    </row>
    <row r="208" spans="2:16" ht="15" customHeight="1">
      <c r="B208" s="83">
        <v>591.36</v>
      </c>
      <c r="C208" s="83">
        <v>592.02</v>
      </c>
      <c r="D208" s="83">
        <v>590.35</v>
      </c>
      <c r="E208" s="83">
        <v>590.98</v>
      </c>
      <c r="F208" s="83">
        <v>5311743</v>
      </c>
      <c r="G208" s="83" t="s">
        <v>3044</v>
      </c>
      <c r="H208" s="84">
        <f t="shared" si="0"/>
        <v>6.4299976310544515E-4</v>
      </c>
      <c r="J208" s="83">
        <v>204.29</v>
      </c>
      <c r="K208" s="83">
        <v>206.14</v>
      </c>
      <c r="L208" s="83">
        <v>203.41</v>
      </c>
      <c r="M208" s="83">
        <v>205.07</v>
      </c>
      <c r="N208" s="83">
        <v>13000162</v>
      </c>
      <c r="O208" s="83" t="s">
        <v>3044</v>
      </c>
      <c r="P208" s="84">
        <f t="shared" si="1"/>
        <v>-3.8035792656165857E-3</v>
      </c>
    </row>
    <row r="209" spans="2:40" ht="15" customHeight="1">
      <c r="B209" s="83">
        <v>591.57000000000005</v>
      </c>
      <c r="C209" s="83">
        <v>593.95000000000005</v>
      </c>
      <c r="D209" s="83">
        <v>590.66</v>
      </c>
      <c r="E209" s="83">
        <v>593.86</v>
      </c>
      <c r="F209" s="83">
        <v>7196315</v>
      </c>
      <c r="G209" s="83" t="s">
        <v>3045</v>
      </c>
      <c r="H209" s="84">
        <f t="shared" si="0"/>
        <v>-3.8561277068668298E-3</v>
      </c>
      <c r="J209" s="83">
        <v>204.91</v>
      </c>
      <c r="K209" s="83">
        <v>207.33</v>
      </c>
      <c r="L209" s="83">
        <v>202.08500000000001</v>
      </c>
      <c r="M209" s="83">
        <v>204.72</v>
      </c>
      <c r="N209" s="83">
        <v>21111380</v>
      </c>
      <c r="O209" s="83" t="s">
        <v>3045</v>
      </c>
      <c r="P209" s="84">
        <f t="shared" si="1"/>
        <v>9.2809691285666851E-4</v>
      </c>
    </row>
    <row r="210" spans="2:40" ht="15" customHeight="1">
      <c r="B210" s="83">
        <v>592.85</v>
      </c>
      <c r="C210" s="83">
        <v>593.51</v>
      </c>
      <c r="D210" s="83">
        <v>590.5</v>
      </c>
      <c r="E210" s="83">
        <v>590.91999999999996</v>
      </c>
      <c r="F210" s="83">
        <v>6236666</v>
      </c>
      <c r="G210" s="83" t="s">
        <v>3046</v>
      </c>
      <c r="H210" s="84">
        <f t="shared" si="0"/>
        <v>3.2660935490422816E-3</v>
      </c>
      <c r="J210" s="83">
        <v>203.82</v>
      </c>
      <c r="K210" s="83">
        <v>205.42</v>
      </c>
      <c r="L210" s="83">
        <v>202.3245</v>
      </c>
      <c r="M210" s="83">
        <v>202.56</v>
      </c>
      <c r="N210" s="83">
        <v>17777145</v>
      </c>
      <c r="O210" s="83" t="s">
        <v>3046</v>
      </c>
      <c r="P210" s="84">
        <f t="shared" si="1"/>
        <v>6.2203791469193082E-3</v>
      </c>
    </row>
    <row r="211" spans="2:40" ht="15" customHeight="1">
      <c r="B211" s="83">
        <v>592.84</v>
      </c>
      <c r="C211" s="83">
        <v>594.03</v>
      </c>
      <c r="D211" s="83">
        <v>590.80999999999995</v>
      </c>
      <c r="E211" s="83">
        <v>592.86</v>
      </c>
      <c r="F211" s="83">
        <v>5392973</v>
      </c>
      <c r="G211" s="83" t="s">
        <v>3047</v>
      </c>
      <c r="H211" s="84">
        <f t="shared" si="0"/>
        <v>-3.3734777181715359E-5</v>
      </c>
      <c r="J211" s="83">
        <v>203.03</v>
      </c>
      <c r="K211" s="83">
        <v>205.43</v>
      </c>
      <c r="L211" s="83">
        <v>198.64</v>
      </c>
      <c r="M211" s="83">
        <v>204.98</v>
      </c>
      <c r="N211" s="83">
        <v>19573041</v>
      </c>
      <c r="O211" s="83" t="s">
        <v>3047</v>
      </c>
      <c r="P211" s="84">
        <f t="shared" si="1"/>
        <v>-9.513123231534748E-3</v>
      </c>
      <c r="R211" s="81" t="s">
        <v>13</v>
      </c>
      <c r="S211" s="81" t="s">
        <v>14</v>
      </c>
    </row>
    <row r="212" spans="2:40" ht="15" customHeight="1">
      <c r="B212" s="83">
        <v>590.78</v>
      </c>
      <c r="C212" s="83">
        <v>590.96</v>
      </c>
      <c r="D212" s="83">
        <v>585.43499999999995</v>
      </c>
      <c r="E212" s="83">
        <v>586.75</v>
      </c>
      <c r="F212" s="83">
        <v>5874245</v>
      </c>
      <c r="G212" s="83" t="s">
        <v>3048</v>
      </c>
      <c r="H212" s="84">
        <f t="shared" si="0"/>
        <v>6.8683425649764818E-3</v>
      </c>
      <c r="J212" s="83">
        <v>204.16</v>
      </c>
      <c r="K212" s="83">
        <v>205.13</v>
      </c>
      <c r="L212" s="83">
        <v>201.4</v>
      </c>
      <c r="M212" s="83">
        <v>202.095</v>
      </c>
      <c r="N212" s="83">
        <v>19871996</v>
      </c>
      <c r="O212" s="83" t="s">
        <v>3048</v>
      </c>
      <c r="P212" s="84">
        <f t="shared" si="1"/>
        <v>1.0217966797793077E-2</v>
      </c>
      <c r="S212" s="81" t="s">
        <v>15</v>
      </c>
    </row>
    <row r="213" spans="2:40" ht="15" customHeight="1">
      <c r="B213" s="83">
        <v>584.54</v>
      </c>
      <c r="C213" s="83">
        <v>587.36</v>
      </c>
      <c r="D213" s="83">
        <v>583.44000000000005</v>
      </c>
      <c r="E213" s="83">
        <v>586.03</v>
      </c>
      <c r="F213" s="83">
        <v>5373949</v>
      </c>
      <c r="G213" s="83" t="s">
        <v>3049</v>
      </c>
      <c r="H213" s="84">
        <f t="shared" si="0"/>
        <v>-2.542531952289151E-3</v>
      </c>
      <c r="J213" s="83">
        <v>201.63</v>
      </c>
      <c r="K213" s="83">
        <v>202.16</v>
      </c>
      <c r="L213" s="83">
        <v>199.8</v>
      </c>
      <c r="M213" s="83">
        <v>201.55500000000001</v>
      </c>
      <c r="N213" s="83">
        <v>16690235</v>
      </c>
      <c r="O213" s="83" t="s">
        <v>3049</v>
      </c>
      <c r="P213" s="84">
        <f t="shared" si="1"/>
        <v>3.7210686909272539E-4</v>
      </c>
      <c r="S213" s="81" t="s">
        <v>16</v>
      </c>
    </row>
    <row r="214" spans="2:40" ht="15" customHeight="1">
      <c r="B214" s="83">
        <v>585.74</v>
      </c>
      <c r="C214" s="83">
        <v>586.16999999999996</v>
      </c>
      <c r="D214" s="83">
        <v>582.6</v>
      </c>
      <c r="E214" s="83">
        <v>582.92999999999995</v>
      </c>
      <c r="F214" s="83">
        <v>4342341</v>
      </c>
      <c r="G214" s="83" t="s">
        <v>3050</v>
      </c>
      <c r="H214" s="84">
        <f t="shared" si="0"/>
        <v>4.8204758718886076E-3</v>
      </c>
      <c r="J214" s="83">
        <v>202.09</v>
      </c>
      <c r="K214" s="83">
        <v>203.43</v>
      </c>
      <c r="L214" s="83">
        <v>197.9</v>
      </c>
      <c r="M214" s="83">
        <v>197.98</v>
      </c>
      <c r="N214" s="83">
        <v>24379909</v>
      </c>
      <c r="O214" s="83" t="s">
        <v>3050</v>
      </c>
      <c r="P214" s="84">
        <f t="shared" si="1"/>
        <v>2.0759672694211639E-2</v>
      </c>
    </row>
    <row r="215" spans="2:40" ht="15" customHeight="1">
      <c r="B215" s="83">
        <v>581.29</v>
      </c>
      <c r="C215" s="83">
        <v>585.52</v>
      </c>
      <c r="D215" s="83">
        <v>578.31269999999995</v>
      </c>
      <c r="E215" s="83">
        <v>584.87</v>
      </c>
      <c r="F215" s="83">
        <v>4594260</v>
      </c>
      <c r="G215" s="83" t="s">
        <v>3051</v>
      </c>
      <c r="H215" s="84">
        <f t="shared" si="0"/>
        <v>-6.1210183459572409E-3</v>
      </c>
      <c r="J215" s="83">
        <v>197.28</v>
      </c>
      <c r="K215" s="83">
        <v>198.37</v>
      </c>
      <c r="L215" s="83">
        <v>195.22</v>
      </c>
      <c r="M215" s="83">
        <v>197.71</v>
      </c>
      <c r="N215" s="83">
        <v>14660550</v>
      </c>
      <c r="O215" s="83" t="s">
        <v>3051</v>
      </c>
      <c r="P215" s="84">
        <f t="shared" si="1"/>
        <v>-2.1749026351727263E-3</v>
      </c>
      <c r="R215" s="85"/>
      <c r="S215" s="85" t="s">
        <v>24</v>
      </c>
      <c r="T215" s="86">
        <f>MIN(P175:P1931)</f>
        <v>-7.9906063708074848E-2</v>
      </c>
    </row>
    <row r="216" spans="2:40" ht="15" customHeight="1">
      <c r="B216" s="83">
        <v>581.64</v>
      </c>
      <c r="C216" s="83">
        <v>582.27</v>
      </c>
      <c r="D216" s="83">
        <v>577.41</v>
      </c>
      <c r="E216" s="83">
        <v>578.25</v>
      </c>
      <c r="F216" s="83">
        <v>4545015</v>
      </c>
      <c r="G216" s="83" t="s">
        <v>3052</v>
      </c>
      <c r="H216" s="84">
        <f t="shared" si="0"/>
        <v>5.8625162127108332E-3</v>
      </c>
      <c r="J216" s="83">
        <v>196.92</v>
      </c>
      <c r="K216" s="83">
        <v>197.38</v>
      </c>
      <c r="L216" s="83">
        <v>194.46729999999999</v>
      </c>
      <c r="M216" s="83">
        <v>195.25</v>
      </c>
      <c r="N216" s="83">
        <v>15383679</v>
      </c>
      <c r="O216" s="83" t="s">
        <v>3052</v>
      </c>
      <c r="P216" s="84">
        <f t="shared" si="1"/>
        <v>8.5531370038411936E-3</v>
      </c>
      <c r="R216" s="85"/>
      <c r="S216" s="85" t="s">
        <v>25</v>
      </c>
      <c r="T216" s="86">
        <f>MAX(P175:P1931)</f>
        <v>0.10066288525934519</v>
      </c>
      <c r="AN216" s="80" t="s">
        <v>78</v>
      </c>
    </row>
    <row r="217" spans="2:40" ht="15" customHeight="1">
      <c r="B217" s="83">
        <v>577.35</v>
      </c>
      <c r="C217" s="83">
        <v>581.5</v>
      </c>
      <c r="D217" s="83">
        <v>576.4</v>
      </c>
      <c r="E217" s="83">
        <v>580.79</v>
      </c>
      <c r="F217" s="83">
        <v>4647381</v>
      </c>
      <c r="G217" s="83" t="s">
        <v>3053</v>
      </c>
      <c r="H217" s="84">
        <f t="shared" si="0"/>
        <v>-5.9229669932332474E-3</v>
      </c>
      <c r="J217" s="83">
        <v>195.32</v>
      </c>
      <c r="K217" s="83">
        <v>198.7</v>
      </c>
      <c r="L217" s="83">
        <v>194.67500000000001</v>
      </c>
      <c r="M217" s="83">
        <v>195.54499999999999</v>
      </c>
      <c r="N217" s="83">
        <v>19010151</v>
      </c>
      <c r="O217" s="83" t="s">
        <v>3053</v>
      </c>
      <c r="P217" s="84">
        <f t="shared" si="1"/>
        <v>-1.1506302897030807E-3</v>
      </c>
      <c r="R217" s="85"/>
      <c r="S217" s="85" t="s">
        <v>26</v>
      </c>
      <c r="T217" s="86">
        <f>AVERAGE(P175:P1931)</f>
        <v>9.4080282808320706E-4</v>
      </c>
    </row>
    <row r="218" spans="2:40" ht="15" customHeight="1">
      <c r="B218" s="83">
        <v>580.14</v>
      </c>
      <c r="C218" s="83">
        <v>580.21</v>
      </c>
      <c r="D218" s="83">
        <v>575.08000000000004</v>
      </c>
      <c r="E218" s="83">
        <v>575.16999999999996</v>
      </c>
      <c r="F218" s="83">
        <v>6640089</v>
      </c>
      <c r="G218" s="83" t="s">
        <v>3054</v>
      </c>
      <c r="H218" s="84">
        <f t="shared" si="0"/>
        <v>8.6409235530364725E-3</v>
      </c>
      <c r="J218" s="83">
        <v>195.75</v>
      </c>
      <c r="K218" s="83">
        <v>196.08</v>
      </c>
      <c r="L218" s="83">
        <v>190.92</v>
      </c>
      <c r="M218" s="83">
        <v>191.17500000000001</v>
      </c>
      <c r="N218" s="83">
        <v>23385950</v>
      </c>
      <c r="O218" s="83" t="s">
        <v>3054</v>
      </c>
      <c r="P218" s="84">
        <f t="shared" si="1"/>
        <v>2.3930953315025372E-2</v>
      </c>
      <c r="R218" s="85"/>
      <c r="S218" s="85" t="s">
        <v>27</v>
      </c>
      <c r="T218" s="86">
        <f>MEDIAN(P175:P1931)</f>
        <v>1.2645697315791793E-3</v>
      </c>
    </row>
    <row r="219" spans="2:40" ht="15" customHeight="1">
      <c r="B219" s="83">
        <v>571.45000000000005</v>
      </c>
      <c r="C219" s="83">
        <v>575.74</v>
      </c>
      <c r="D219" s="83">
        <v>569.29</v>
      </c>
      <c r="E219" s="83">
        <v>575.73</v>
      </c>
      <c r="F219" s="83">
        <v>8781254</v>
      </c>
      <c r="G219" s="83" t="s">
        <v>3055</v>
      </c>
      <c r="H219" s="84">
        <f t="shared" si="0"/>
        <v>-7.4340402619282875E-3</v>
      </c>
      <c r="J219" s="83">
        <v>189.95</v>
      </c>
      <c r="K219" s="83">
        <v>191.61750000000001</v>
      </c>
      <c r="L219" s="83">
        <v>188.7</v>
      </c>
      <c r="M219" s="83">
        <v>189.78</v>
      </c>
      <c r="N219" s="83">
        <v>21089695</v>
      </c>
      <c r="O219" s="83" t="s">
        <v>3055</v>
      </c>
      <c r="P219" s="84">
        <f t="shared" si="1"/>
        <v>8.9577405416796374E-4</v>
      </c>
      <c r="R219" s="85"/>
      <c r="S219" s="85" t="s">
        <v>28</v>
      </c>
      <c r="T219" s="86">
        <f>_xlfn.STDEV.P(P175:P1931)</f>
        <v>1.5025466186463799E-2</v>
      </c>
      <c r="V219" s="80"/>
    </row>
    <row r="220" spans="2:40" ht="15" customHeight="1">
      <c r="B220" s="83">
        <v>581.02</v>
      </c>
      <c r="C220" s="83">
        <v>588.16139999999996</v>
      </c>
      <c r="D220" s="83">
        <v>579.84</v>
      </c>
      <c r="E220" s="83">
        <v>587.83000000000004</v>
      </c>
      <c r="F220" s="83">
        <v>7046843</v>
      </c>
      <c r="G220" s="83" t="s">
        <v>3056</v>
      </c>
      <c r="H220" s="84">
        <f t="shared" si="0"/>
        <v>-1.1584982052634363E-2</v>
      </c>
      <c r="J220" s="83">
        <v>192.86</v>
      </c>
      <c r="K220" s="83">
        <v>196.83</v>
      </c>
      <c r="L220" s="83">
        <v>192.08</v>
      </c>
      <c r="M220" s="83">
        <v>196.6</v>
      </c>
      <c r="N220" s="83">
        <v>27484077</v>
      </c>
      <c r="O220" s="83" t="s">
        <v>3056</v>
      </c>
      <c r="P220" s="84">
        <f t="shared" si="1"/>
        <v>-1.9023397761953054E-2</v>
      </c>
      <c r="R220" s="85"/>
      <c r="S220" s="87" t="s">
        <v>29</v>
      </c>
      <c r="T220" s="86">
        <f>3*T219</f>
        <v>4.5076398559391398E-2</v>
      </c>
      <c r="U220" s="85"/>
      <c r="V220" s="80" t="s">
        <v>87</v>
      </c>
    </row>
    <row r="221" spans="2:40" ht="15" customHeight="1">
      <c r="B221" s="83">
        <v>583.21</v>
      </c>
      <c r="C221" s="83">
        <v>586.15</v>
      </c>
      <c r="D221" s="83">
        <v>580.54999999999995</v>
      </c>
      <c r="E221" s="83">
        <v>584.66</v>
      </c>
      <c r="F221" s="83">
        <v>6974729</v>
      </c>
      <c r="G221" s="83" t="s">
        <v>3057</v>
      </c>
      <c r="H221" s="84">
        <f t="shared" si="0"/>
        <v>-2.4800738890977669E-3</v>
      </c>
      <c r="J221" s="83">
        <v>197.44</v>
      </c>
      <c r="K221" s="83">
        <v>198.47989999999999</v>
      </c>
      <c r="L221" s="83">
        <v>195.56</v>
      </c>
      <c r="M221" s="83">
        <v>196.3</v>
      </c>
      <c r="N221" s="83">
        <v>20859869</v>
      </c>
      <c r="O221" s="83" t="s">
        <v>3057</v>
      </c>
      <c r="P221" s="84">
        <f t="shared" si="1"/>
        <v>5.807437595517051E-3</v>
      </c>
      <c r="R221" s="85"/>
      <c r="S221" s="87" t="s">
        <v>30</v>
      </c>
      <c r="T221" s="88">
        <f>_xlfn.COVARIANCE.P(P175:P423,H175:H423)/_xlfn.VAR.P(H175:H423)</f>
        <v>1.0183618501231253</v>
      </c>
      <c r="U221" s="85"/>
      <c r="V221" s="80" t="s">
        <v>31</v>
      </c>
    </row>
    <row r="222" spans="2:40" ht="15" customHeight="1">
      <c r="B222" s="83">
        <v>583.91999999999996</v>
      </c>
      <c r="C222" s="83">
        <v>587.08000000000004</v>
      </c>
      <c r="D222" s="83">
        <v>583.12</v>
      </c>
      <c r="E222" s="83">
        <v>586.82000000000005</v>
      </c>
      <c r="F222" s="83">
        <v>5033308</v>
      </c>
      <c r="G222" s="83" t="s">
        <v>3058</v>
      </c>
      <c r="H222" s="84">
        <f t="shared" si="0"/>
        <v>-4.9418901877920085E-3</v>
      </c>
      <c r="J222" s="83">
        <v>196.43</v>
      </c>
      <c r="K222" s="83">
        <v>196.66</v>
      </c>
      <c r="L222" s="83">
        <v>192.99</v>
      </c>
      <c r="M222" s="83">
        <v>193.3</v>
      </c>
      <c r="N222" s="83">
        <v>31157591</v>
      </c>
      <c r="O222" s="83" t="s">
        <v>3058</v>
      </c>
      <c r="P222" s="84">
        <f t="shared" si="1"/>
        <v>1.6192446973616104E-2</v>
      </c>
    </row>
    <row r="223" spans="2:40" ht="15" customHeight="1">
      <c r="B223" s="83">
        <v>585.44000000000005</v>
      </c>
      <c r="C223" s="83">
        <v>586.5</v>
      </c>
      <c r="D223" s="83">
        <v>584.24</v>
      </c>
      <c r="E223" s="83">
        <v>586.04</v>
      </c>
      <c r="F223" s="83">
        <v>4169858</v>
      </c>
      <c r="G223" s="83" t="s">
        <v>3059</v>
      </c>
      <c r="H223" s="84">
        <f t="shared" si="0"/>
        <v>-1.0238208995971831E-3</v>
      </c>
      <c r="J223" s="83">
        <v>193.42</v>
      </c>
      <c r="K223" s="83">
        <v>194.82</v>
      </c>
      <c r="L223" s="83">
        <v>191.85499999999999</v>
      </c>
      <c r="M223" s="83">
        <v>194.41</v>
      </c>
      <c r="N223" s="83">
        <v>25486448</v>
      </c>
      <c r="O223" s="83" t="s">
        <v>3059</v>
      </c>
      <c r="P223" s="84">
        <f t="shared" si="1"/>
        <v>-5.0923306414280001E-3</v>
      </c>
      <c r="R223" s="89" t="s">
        <v>32</v>
      </c>
      <c r="S223" s="90">
        <v>1760</v>
      </c>
    </row>
    <row r="224" spans="2:40" ht="15" customHeight="1" thickBot="1">
      <c r="B224" s="83">
        <v>585.58000000000004</v>
      </c>
      <c r="C224" s="83">
        <v>586.04</v>
      </c>
      <c r="D224" s="83">
        <v>583.59</v>
      </c>
      <c r="E224" s="83">
        <v>583.80999999999995</v>
      </c>
      <c r="F224" s="83">
        <v>3189061</v>
      </c>
      <c r="G224" s="83" t="s">
        <v>3060</v>
      </c>
      <c r="H224" s="84">
        <f t="shared" si="0"/>
        <v>3.0318082937943469E-3</v>
      </c>
      <c r="J224" s="83">
        <v>194.08</v>
      </c>
      <c r="K224" s="83">
        <v>195.27500000000001</v>
      </c>
      <c r="L224" s="83">
        <v>192.13</v>
      </c>
      <c r="M224" s="83">
        <v>192.93</v>
      </c>
      <c r="N224" s="83">
        <v>30980374</v>
      </c>
      <c r="O224" s="83" t="s">
        <v>3060</v>
      </c>
      <c r="P224" s="84">
        <f t="shared" si="1"/>
        <v>5.9607111387549594E-3</v>
      </c>
      <c r="R224" s="81" t="s">
        <v>33</v>
      </c>
      <c r="U224" s="81" t="s">
        <v>34</v>
      </c>
      <c r="Y224" s="81" t="s">
        <v>35</v>
      </c>
    </row>
    <row r="225" spans="2:26" ht="15" customHeight="1">
      <c r="B225" s="83">
        <v>583.26</v>
      </c>
      <c r="C225" s="83">
        <v>584.75</v>
      </c>
      <c r="D225" s="83">
        <v>582.72</v>
      </c>
      <c r="E225" s="83">
        <v>583.34</v>
      </c>
      <c r="F225" s="83">
        <v>3840901</v>
      </c>
      <c r="G225" s="83" t="s">
        <v>3061</v>
      </c>
      <c r="H225" s="84">
        <f t="shared" si="0"/>
        <v>-1.3714128981390239E-4</v>
      </c>
      <c r="J225" s="83">
        <v>193.2</v>
      </c>
      <c r="K225" s="83">
        <v>198.97</v>
      </c>
      <c r="L225" s="83">
        <v>191.95</v>
      </c>
      <c r="M225" s="83">
        <v>198.11</v>
      </c>
      <c r="N225" s="83">
        <v>45252060</v>
      </c>
      <c r="O225" s="83" t="s">
        <v>3061</v>
      </c>
      <c r="P225" s="84">
        <f t="shared" si="1"/>
        <v>-2.478421079198434E-2</v>
      </c>
      <c r="R225" s="91" t="s">
        <v>36</v>
      </c>
      <c r="S225" s="91" t="s">
        <v>37</v>
      </c>
      <c r="U225" s="92" t="s">
        <v>38</v>
      </c>
      <c r="V225" s="93" t="s">
        <v>39</v>
      </c>
      <c r="Y225" s="92" t="s">
        <v>40</v>
      </c>
      <c r="Z225" s="93" t="s">
        <v>41</v>
      </c>
    </row>
    <row r="226" spans="2:26" ht="15" customHeight="1">
      <c r="B226" s="83">
        <v>582.86</v>
      </c>
      <c r="C226" s="83">
        <v>582.96</v>
      </c>
      <c r="D226" s="83">
        <v>578.87</v>
      </c>
      <c r="E226" s="83">
        <v>580.57000000000005</v>
      </c>
      <c r="F226" s="83">
        <v>4257345</v>
      </c>
      <c r="G226" s="83" t="s">
        <v>3062</v>
      </c>
      <c r="H226" s="84">
        <f t="shared" si="0"/>
        <v>3.9443994694867701E-3</v>
      </c>
      <c r="J226" s="83">
        <v>191.51</v>
      </c>
      <c r="K226" s="83">
        <v>193.36</v>
      </c>
      <c r="L226" s="83">
        <v>190.18</v>
      </c>
      <c r="M226" s="83">
        <v>192.36</v>
      </c>
      <c r="N226" s="83">
        <v>34068129</v>
      </c>
      <c r="O226" s="83" t="s">
        <v>3062</v>
      </c>
      <c r="P226" s="84">
        <f t="shared" si="1"/>
        <v>-4.4187980869204724E-3</v>
      </c>
      <c r="R226" s="94">
        <v>-0.05</v>
      </c>
      <c r="S226" s="95">
        <v>5</v>
      </c>
      <c r="U226" s="94">
        <v>-5.0999999999999997E-2</v>
      </c>
      <c r="V226" s="81">
        <f t="shared" ref="V226:V268" si="2">_xlfn.NORM.DIST(U226,$T$217,$T$219,FALSE)</f>
        <v>6.7485647479484268E-2</v>
      </c>
      <c r="X226" s="81" t="s">
        <v>79</v>
      </c>
      <c r="Y226" s="84">
        <f>T217</f>
        <v>9.4080282808320706E-4</v>
      </c>
      <c r="Z226" s="81">
        <v>0</v>
      </c>
    </row>
    <row r="227" spans="2:26" ht="15" customHeight="1">
      <c r="B227" s="83">
        <v>577.95000000000005</v>
      </c>
      <c r="C227" s="83">
        <v>578.84</v>
      </c>
      <c r="D227" s="83">
        <v>575.64</v>
      </c>
      <c r="E227" s="83">
        <v>578.28</v>
      </c>
      <c r="F227" s="83">
        <v>4743679</v>
      </c>
      <c r="G227" s="83" t="s">
        <v>3063</v>
      </c>
      <c r="H227" s="84">
        <f t="shared" si="0"/>
        <v>-5.7065781282406025E-4</v>
      </c>
      <c r="J227" s="83">
        <v>192.11</v>
      </c>
      <c r="K227" s="83">
        <v>193.36</v>
      </c>
      <c r="L227" s="83">
        <v>188.495</v>
      </c>
      <c r="M227" s="83">
        <v>192.42</v>
      </c>
      <c r="N227" s="83">
        <v>24797123</v>
      </c>
      <c r="O227" s="83" t="s">
        <v>3063</v>
      </c>
      <c r="P227" s="84">
        <f t="shared" si="1"/>
        <v>-1.6110591414612019E-3</v>
      </c>
      <c r="R227" s="94">
        <v>-4.7500000000000001E-2</v>
      </c>
      <c r="S227" s="95">
        <v>2</v>
      </c>
      <c r="U227" s="94">
        <v>-0.05</v>
      </c>
      <c r="V227" s="81">
        <f t="shared" si="2"/>
        <v>8.4755141510867826E-2</v>
      </c>
      <c r="Y227" s="84">
        <f>T217</f>
        <v>9.4080282808320706E-4</v>
      </c>
      <c r="Z227" s="81">
        <v>27</v>
      </c>
    </row>
    <row r="228" spans="2:26" ht="15" customHeight="1">
      <c r="B228" s="83">
        <v>577.95000000000005</v>
      </c>
      <c r="C228" s="83">
        <v>580.53</v>
      </c>
      <c r="D228" s="83">
        <v>577.59</v>
      </c>
      <c r="E228" s="83">
        <v>577.98</v>
      </c>
      <c r="F228" s="83">
        <v>5892207</v>
      </c>
      <c r="G228" s="83" t="s">
        <v>3064</v>
      </c>
      <c r="H228" s="84">
        <f t="shared" si="0"/>
        <v>-5.1904910204458865E-5</v>
      </c>
      <c r="J228" s="83">
        <v>191.15</v>
      </c>
      <c r="K228" s="83">
        <v>191.26</v>
      </c>
      <c r="L228" s="83">
        <v>187.05</v>
      </c>
      <c r="M228" s="83">
        <v>187.1</v>
      </c>
      <c r="N228" s="83">
        <v>24244023</v>
      </c>
      <c r="O228" s="83" t="s">
        <v>3064</v>
      </c>
      <c r="P228" s="84">
        <f t="shared" si="1"/>
        <v>2.1646178514163505E-2</v>
      </c>
      <c r="R228" s="94">
        <v>-4.4999999999999998E-2</v>
      </c>
      <c r="S228" s="95">
        <v>3</v>
      </c>
      <c r="U228" s="94">
        <v>-4.7500000000000001E-2</v>
      </c>
      <c r="V228" s="81">
        <f t="shared" si="2"/>
        <v>0.14693884607982008</v>
      </c>
      <c r="X228" s="96" t="s">
        <v>80</v>
      </c>
      <c r="Y228" s="84">
        <f>($T$219*-3)+$T$217</f>
        <v>-4.4135595731308194E-2</v>
      </c>
      <c r="Z228" s="81">
        <v>0</v>
      </c>
    </row>
    <row r="229" spans="2:26" ht="15" customHeight="1">
      <c r="B229" s="83">
        <v>576.91999999999996</v>
      </c>
      <c r="C229" s="83">
        <v>578.5</v>
      </c>
      <c r="D229" s="83">
        <v>575.84</v>
      </c>
      <c r="E229" s="83">
        <v>578.47</v>
      </c>
      <c r="F229" s="83">
        <v>4244147</v>
      </c>
      <c r="G229" s="83" t="s">
        <v>3065</v>
      </c>
      <c r="H229" s="84">
        <f t="shared" si="0"/>
        <v>-2.6794820820441601E-3</v>
      </c>
      <c r="J229" s="83">
        <v>185.94</v>
      </c>
      <c r="K229" s="83">
        <v>187.36</v>
      </c>
      <c r="L229" s="83">
        <v>184.73</v>
      </c>
      <c r="M229" s="83">
        <v>186.62</v>
      </c>
      <c r="N229" s="83">
        <v>20752339</v>
      </c>
      <c r="O229" s="83" t="s">
        <v>3065</v>
      </c>
      <c r="P229" s="84">
        <f t="shared" si="1"/>
        <v>-3.6437680848784293E-3</v>
      </c>
      <c r="R229" s="94">
        <v>-4.2500000000000003E-2</v>
      </c>
      <c r="S229" s="95">
        <v>2</v>
      </c>
      <c r="U229" s="94">
        <v>-4.4999999999999998E-2</v>
      </c>
      <c r="V229" s="81">
        <f t="shared" si="2"/>
        <v>0.24779031014050099</v>
      </c>
      <c r="X229" s="97"/>
      <c r="Y229" s="84">
        <f>($T$219*-3)+$T$217</f>
        <v>-4.4135595731308194E-2</v>
      </c>
      <c r="Z229" s="81">
        <v>3</v>
      </c>
    </row>
    <row r="230" spans="2:26" ht="15" customHeight="1">
      <c r="B230" s="83">
        <v>577.17999999999995</v>
      </c>
      <c r="C230" s="83">
        <v>577.65</v>
      </c>
      <c r="D230" s="83">
        <v>573.79999999999995</v>
      </c>
      <c r="E230" s="83">
        <v>574.02</v>
      </c>
      <c r="F230" s="83">
        <v>5391575</v>
      </c>
      <c r="G230" s="83" t="s">
        <v>3066</v>
      </c>
      <c r="H230" s="84">
        <f t="shared" si="0"/>
        <v>5.5050346677816275E-3</v>
      </c>
      <c r="J230" s="83">
        <v>184.7</v>
      </c>
      <c r="K230" s="83">
        <v>185.18729999999999</v>
      </c>
      <c r="L230" s="83">
        <v>181.5</v>
      </c>
      <c r="M230" s="83">
        <v>183.11500000000001</v>
      </c>
      <c r="N230" s="83">
        <v>21581962</v>
      </c>
      <c r="O230" s="83" t="s">
        <v>3066</v>
      </c>
      <c r="P230" s="84">
        <f t="shared" si="1"/>
        <v>8.6557627720282859E-3</v>
      </c>
      <c r="R230" s="94">
        <v>-0.04</v>
      </c>
      <c r="S230" s="95">
        <v>6</v>
      </c>
      <c r="U230" s="94">
        <v>-4.2500000000000003E-2</v>
      </c>
      <c r="V230" s="81">
        <f t="shared" si="2"/>
        <v>0.40645187950634176</v>
      </c>
      <c r="X230" s="96" t="s">
        <v>81</v>
      </c>
      <c r="Y230" s="84">
        <f>($T$219*-2)+$T$217</f>
        <v>-2.911012954484439E-2</v>
      </c>
      <c r="Z230" s="81">
        <v>0</v>
      </c>
    </row>
    <row r="231" spans="2:26" ht="15" customHeight="1">
      <c r="B231" s="83">
        <v>573.74</v>
      </c>
      <c r="C231" s="83">
        <v>574.26</v>
      </c>
      <c r="D231" s="83">
        <v>568.16999999999996</v>
      </c>
      <c r="E231" s="83">
        <v>573.4</v>
      </c>
      <c r="F231" s="83">
        <v>6119852</v>
      </c>
      <c r="G231" s="83" t="s">
        <v>3067</v>
      </c>
      <c r="H231" s="84">
        <f t="shared" si="0"/>
        <v>5.9295430763861567E-4</v>
      </c>
      <c r="J231" s="83">
        <v>183.77</v>
      </c>
      <c r="K231" s="83">
        <v>185.33519999999999</v>
      </c>
      <c r="L231" s="83">
        <v>183.08</v>
      </c>
      <c r="M231" s="83">
        <v>184.32</v>
      </c>
      <c r="N231" s="83">
        <v>21026092</v>
      </c>
      <c r="O231" s="83" t="s">
        <v>3067</v>
      </c>
      <c r="P231" s="84">
        <f t="shared" si="1"/>
        <v>-2.9839409722220989E-3</v>
      </c>
      <c r="R231" s="94">
        <v>-3.7499999999999999E-2</v>
      </c>
      <c r="S231" s="95">
        <v>3</v>
      </c>
      <c r="U231" s="94">
        <v>-0.04</v>
      </c>
      <c r="V231" s="81">
        <f t="shared" si="2"/>
        <v>0.64850163545818795</v>
      </c>
      <c r="X231" s="97"/>
      <c r="Y231" s="84">
        <f>($T$219*-2)+$T$217</f>
        <v>-2.911012954484439E-2</v>
      </c>
      <c r="Z231" s="81">
        <v>5</v>
      </c>
    </row>
    <row r="232" spans="2:26" ht="15" customHeight="1">
      <c r="B232" s="83">
        <v>571.86</v>
      </c>
      <c r="C232" s="83">
        <v>577.16</v>
      </c>
      <c r="D232" s="83">
        <v>571.85</v>
      </c>
      <c r="E232" s="83">
        <v>576.85</v>
      </c>
      <c r="F232" s="83">
        <v>5338268</v>
      </c>
      <c r="G232" s="83" t="s">
        <v>3068</v>
      </c>
      <c r="H232" s="84">
        <f t="shared" si="0"/>
        <v>-8.6504290543468754E-3</v>
      </c>
      <c r="J232" s="83">
        <v>183.1</v>
      </c>
      <c r="K232" s="83">
        <v>185.41</v>
      </c>
      <c r="L232" s="83">
        <v>182.39</v>
      </c>
      <c r="M232" s="83">
        <v>183.94</v>
      </c>
      <c r="N232" s="83">
        <v>23722396</v>
      </c>
      <c r="O232" s="83" t="s">
        <v>3068</v>
      </c>
      <c r="P232" s="84">
        <f t="shared" si="1"/>
        <v>-4.5667065347395619E-3</v>
      </c>
      <c r="R232" s="94">
        <v>-3.5000000000000003E-2</v>
      </c>
      <c r="S232" s="95">
        <v>5</v>
      </c>
      <c r="U232" s="94">
        <v>-3.7499999999999999E-2</v>
      </c>
      <c r="V232" s="81">
        <f t="shared" si="2"/>
        <v>1.0064452112966975</v>
      </c>
      <c r="X232" s="98" t="s">
        <v>82</v>
      </c>
      <c r="Y232" s="84">
        <f>($T$219*-1)+$T$217</f>
        <v>-1.4084663358380592E-2</v>
      </c>
      <c r="Z232" s="81">
        <v>0</v>
      </c>
    </row>
    <row r="233" spans="2:26" ht="15" customHeight="1">
      <c r="B233" s="83">
        <v>574.35</v>
      </c>
      <c r="C233" s="83">
        <v>574.67899999999997</v>
      </c>
      <c r="D233" s="83">
        <v>571.58000000000004</v>
      </c>
      <c r="E233" s="83">
        <v>572.85</v>
      </c>
      <c r="F233" s="83">
        <v>4719971</v>
      </c>
      <c r="G233" s="83" t="s">
        <v>3069</v>
      </c>
      <c r="H233" s="84">
        <f t="shared" si="0"/>
        <v>2.6184865147944603E-3</v>
      </c>
      <c r="J233" s="83">
        <v>182.81</v>
      </c>
      <c r="K233" s="83">
        <v>184.73</v>
      </c>
      <c r="L233" s="83">
        <v>180.71090000000001</v>
      </c>
      <c r="M233" s="83">
        <v>182.07</v>
      </c>
      <c r="N233" s="83">
        <v>20907271</v>
      </c>
      <c r="O233" s="83" t="s">
        <v>3069</v>
      </c>
      <c r="P233" s="84">
        <f t="shared" si="1"/>
        <v>4.064370846377896E-3</v>
      </c>
      <c r="R233" s="94">
        <v>-3.2500000000000001E-2</v>
      </c>
      <c r="S233" s="95">
        <v>11</v>
      </c>
      <c r="U233" s="94">
        <v>-3.5000000000000003E-2</v>
      </c>
      <c r="V233" s="81">
        <f t="shared" si="2"/>
        <v>1.519309741949542</v>
      </c>
      <c r="Y233" s="84">
        <f>($T$219*-1)+$T$217</f>
        <v>-1.4084663358380592E-2</v>
      </c>
      <c r="Z233" s="81">
        <v>16</v>
      </c>
    </row>
    <row r="234" spans="2:26" ht="15" customHeight="1">
      <c r="B234" s="83">
        <v>573.22</v>
      </c>
      <c r="C234" s="83">
        <v>574.37570000000005</v>
      </c>
      <c r="D234" s="83">
        <v>571.37</v>
      </c>
      <c r="E234" s="83">
        <v>572.45000000000005</v>
      </c>
      <c r="F234" s="83">
        <v>4414258</v>
      </c>
      <c r="G234" s="83" t="s">
        <v>3070</v>
      </c>
      <c r="H234" s="84">
        <f t="shared" si="0"/>
        <v>1.3450956415406168E-3</v>
      </c>
      <c r="J234" s="83">
        <v>181.31</v>
      </c>
      <c r="K234" s="83">
        <v>182.61</v>
      </c>
      <c r="L234" s="83">
        <v>177.54050000000001</v>
      </c>
      <c r="M234" s="83">
        <v>177.91</v>
      </c>
      <c r="N234" s="83">
        <v>23872169</v>
      </c>
      <c r="O234" s="83" t="s">
        <v>3070</v>
      </c>
      <c r="P234" s="84">
        <f t="shared" si="1"/>
        <v>1.9110786352650289E-2</v>
      </c>
      <c r="R234" s="94">
        <v>-0.03</v>
      </c>
      <c r="S234" s="95">
        <v>11</v>
      </c>
      <c r="U234" s="94">
        <v>-3.2500000000000001E-2</v>
      </c>
      <c r="V234" s="81">
        <f t="shared" si="2"/>
        <v>2.230897567645576</v>
      </c>
      <c r="X234" s="81" t="s">
        <v>83</v>
      </c>
      <c r="Y234" s="84">
        <f>($T$219*1)+$T$217</f>
        <v>1.5966269014547004E-2</v>
      </c>
      <c r="Z234" s="81">
        <v>0</v>
      </c>
    </row>
    <row r="235" spans="2:26" ht="15" customHeight="1">
      <c r="B235" s="83">
        <v>575.29</v>
      </c>
      <c r="C235" s="83">
        <v>576.26</v>
      </c>
      <c r="D235" s="83">
        <v>572.70000000000005</v>
      </c>
      <c r="E235" s="83">
        <v>573.78</v>
      </c>
      <c r="F235" s="83">
        <v>4920279</v>
      </c>
      <c r="G235" s="83" t="s">
        <v>3071</v>
      </c>
      <c r="H235" s="84">
        <f t="shared" si="0"/>
        <v>2.6316706751716712E-3</v>
      </c>
      <c r="J235" s="83">
        <v>178.7</v>
      </c>
      <c r="K235" s="83">
        <v>179.59</v>
      </c>
      <c r="L235" s="83">
        <v>175.74</v>
      </c>
      <c r="M235" s="83">
        <v>176.67</v>
      </c>
      <c r="N235" s="83">
        <v>24636469</v>
      </c>
      <c r="O235" s="83" t="s">
        <v>3071</v>
      </c>
      <c r="P235" s="84">
        <f t="shared" si="1"/>
        <v>1.149034923869352E-2</v>
      </c>
      <c r="R235" s="94">
        <v>-2.75E-2</v>
      </c>
      <c r="S235" s="95">
        <v>13</v>
      </c>
      <c r="U235" s="94">
        <v>-0.03</v>
      </c>
      <c r="V235" s="81">
        <f t="shared" si="2"/>
        <v>3.1863249187990732</v>
      </c>
      <c r="Y235" s="84">
        <f>($T$219*1)+$T$217</f>
        <v>1.5966269014547004E-2</v>
      </c>
      <c r="Z235" s="81">
        <v>16</v>
      </c>
    </row>
    <row r="236" spans="2:26" ht="15" customHeight="1">
      <c r="B236" s="83">
        <v>573.61</v>
      </c>
      <c r="C236" s="83">
        <v>574.26</v>
      </c>
      <c r="D236" s="83">
        <v>570.76</v>
      </c>
      <c r="E236" s="83">
        <v>572.46</v>
      </c>
      <c r="F236" s="83">
        <v>6833139</v>
      </c>
      <c r="G236" s="83" t="s">
        <v>3072</v>
      </c>
      <c r="H236" s="84">
        <f t="shared" si="0"/>
        <v>2.0088739824615232E-3</v>
      </c>
      <c r="J236" s="83">
        <v>177.66</v>
      </c>
      <c r="K236" s="83">
        <v>180.28</v>
      </c>
      <c r="L236" s="83">
        <v>173.88</v>
      </c>
      <c r="M236" s="83">
        <v>176.11</v>
      </c>
      <c r="N236" s="83">
        <v>31185686</v>
      </c>
      <c r="O236" s="83" t="s">
        <v>3072</v>
      </c>
      <c r="P236" s="84">
        <f t="shared" si="1"/>
        <v>8.8013173584691184E-3</v>
      </c>
      <c r="R236" s="94">
        <v>-2.5000000000000001E-2</v>
      </c>
      <c r="S236" s="95">
        <v>15</v>
      </c>
      <c r="U236" s="94">
        <v>-2.75E-2</v>
      </c>
      <c r="V236" s="81">
        <f t="shared" si="2"/>
        <v>4.4266747426130211</v>
      </c>
      <c r="X236" s="99" t="s">
        <v>84</v>
      </c>
      <c r="Y236" s="84">
        <f>($T$219*2)+$T$217</f>
        <v>3.0991735201010805E-2</v>
      </c>
      <c r="Z236" s="81">
        <v>0</v>
      </c>
    </row>
    <row r="237" spans="2:26" ht="15" customHeight="1">
      <c r="B237" s="83">
        <v>570.23</v>
      </c>
      <c r="C237" s="83">
        <v>571.83000000000004</v>
      </c>
      <c r="D237" s="83">
        <v>569.48</v>
      </c>
      <c r="E237" s="83">
        <v>571.15</v>
      </c>
      <c r="F237" s="83">
        <v>6916815</v>
      </c>
      <c r="G237" s="83" t="s">
        <v>3073</v>
      </c>
      <c r="H237" s="84">
        <f t="shared" si="0"/>
        <v>-1.6107852578131077E-3</v>
      </c>
      <c r="J237" s="83">
        <v>175.16</v>
      </c>
      <c r="K237" s="83">
        <v>178.79</v>
      </c>
      <c r="L237" s="83">
        <v>173.92</v>
      </c>
      <c r="M237" s="83">
        <v>178.78</v>
      </c>
      <c r="N237" s="83">
        <v>23074929</v>
      </c>
      <c r="O237" s="83" t="s">
        <v>3073</v>
      </c>
      <c r="P237" s="84">
        <f t="shared" si="1"/>
        <v>-2.024834992728497E-2</v>
      </c>
      <c r="R237" s="94">
        <v>-2.2499999999999999E-2</v>
      </c>
      <c r="S237" s="95">
        <v>22</v>
      </c>
      <c r="U237" s="94">
        <v>-2.5000000000000001E-2</v>
      </c>
      <c r="V237" s="81">
        <f t="shared" si="2"/>
        <v>5.981943240119147</v>
      </c>
      <c r="Y237" s="84">
        <f>($T$219*2)+$T$217</f>
        <v>3.0991735201010805E-2</v>
      </c>
      <c r="Z237" s="81">
        <v>5</v>
      </c>
    </row>
    <row r="238" spans="2:26" ht="15" customHeight="1">
      <c r="B238" s="83">
        <v>570.61</v>
      </c>
      <c r="C238" s="83">
        <v>573.59</v>
      </c>
      <c r="D238" s="83">
        <v>567.98</v>
      </c>
      <c r="E238" s="83">
        <v>573</v>
      </c>
      <c r="F238" s="83">
        <v>6347907</v>
      </c>
      <c r="G238" s="83" t="s">
        <v>3074</v>
      </c>
      <c r="H238" s="84">
        <f t="shared" si="0"/>
        <v>-4.1710296684118742E-3</v>
      </c>
      <c r="J238" s="83">
        <v>177.56</v>
      </c>
      <c r="K238" s="83">
        <v>180.34</v>
      </c>
      <c r="L238" s="83">
        <v>176.64</v>
      </c>
      <c r="M238" s="83">
        <v>180.13499999999999</v>
      </c>
      <c r="N238" s="83">
        <v>20865344</v>
      </c>
      <c r="O238" s="83" t="s">
        <v>3074</v>
      </c>
      <c r="P238" s="84">
        <f t="shared" si="1"/>
        <v>-1.4294834429733227E-2</v>
      </c>
      <c r="R238" s="94">
        <v>-0.02</v>
      </c>
      <c r="S238" s="95">
        <v>33</v>
      </c>
      <c r="U238" s="94">
        <v>-2.2499999999999999E-2</v>
      </c>
      <c r="V238" s="81">
        <f t="shared" si="2"/>
        <v>7.8629241416018001</v>
      </c>
      <c r="X238" s="99" t="s">
        <v>85</v>
      </c>
      <c r="Y238" s="84">
        <f>($T$219*3)+$T$217</f>
        <v>4.6017201387474602E-2</v>
      </c>
      <c r="Z238" s="81">
        <v>0</v>
      </c>
    </row>
    <row r="239" spans="2:26" ht="15" customHeight="1">
      <c r="B239" s="83">
        <v>575.22</v>
      </c>
      <c r="C239" s="83">
        <v>575.66999999999996</v>
      </c>
      <c r="D239" s="83">
        <v>572.13</v>
      </c>
      <c r="E239" s="83">
        <v>572.17999999999995</v>
      </c>
      <c r="F239" s="83">
        <v>4833973</v>
      </c>
      <c r="G239" s="83" t="s">
        <v>3075</v>
      </c>
      <c r="H239" s="84">
        <f t="shared" si="0"/>
        <v>5.3130133873957597E-3</v>
      </c>
      <c r="J239" s="83">
        <v>180.55</v>
      </c>
      <c r="K239" s="83">
        <v>180.77</v>
      </c>
      <c r="L239" s="83">
        <v>178.19</v>
      </c>
      <c r="M239" s="83">
        <v>179.82</v>
      </c>
      <c r="N239" s="83">
        <v>13273030</v>
      </c>
      <c r="O239" s="83" t="s">
        <v>3075</v>
      </c>
      <c r="P239" s="84">
        <f t="shared" si="1"/>
        <v>4.0596151707263939E-3</v>
      </c>
      <c r="R239" s="94">
        <v>-1.7500000000000002E-2</v>
      </c>
      <c r="S239" s="95">
        <v>37</v>
      </c>
      <c r="U239" s="94">
        <v>-0.02</v>
      </c>
      <c r="V239" s="81">
        <f t="shared" si="2"/>
        <v>10.053169530568015</v>
      </c>
      <c r="Y239" s="84">
        <f>($T$219*3)+$T$217</f>
        <v>4.6017201387474602E-2</v>
      </c>
      <c r="Z239" s="81">
        <v>3</v>
      </c>
    </row>
    <row r="240" spans="2:26" ht="15" customHeight="1">
      <c r="B240" s="83">
        <v>570.29</v>
      </c>
      <c r="C240" s="83">
        <v>570.34</v>
      </c>
      <c r="D240" s="83">
        <v>566.80999999999995</v>
      </c>
      <c r="E240" s="83">
        <v>567.37</v>
      </c>
      <c r="F240" s="83">
        <v>6134026</v>
      </c>
      <c r="G240" s="83" t="s">
        <v>3076</v>
      </c>
      <c r="H240" s="84">
        <f t="shared" ref="H240:H303" si="3">B240/E240-1</f>
        <v>5.1465533954913045E-3</v>
      </c>
      <c r="J240" s="83">
        <v>179.76</v>
      </c>
      <c r="K240" s="83">
        <v>179.935</v>
      </c>
      <c r="L240" s="83">
        <v>176.09</v>
      </c>
      <c r="M240" s="83">
        <v>176.54499999999999</v>
      </c>
      <c r="N240" s="83">
        <v>19221111</v>
      </c>
      <c r="O240" s="83" t="s">
        <v>3076</v>
      </c>
      <c r="P240" s="84">
        <f t="shared" ref="P240:P303" si="4">J240/M240-1</f>
        <v>1.8210654507349489E-2</v>
      </c>
      <c r="R240" s="94">
        <v>-1.4999999999999999E-2</v>
      </c>
      <c r="S240" s="95">
        <v>46</v>
      </c>
      <c r="U240" s="94">
        <v>-1.7500000000000002E-2</v>
      </c>
      <c r="V240" s="81">
        <f t="shared" si="2"/>
        <v>12.50256293698485</v>
      </c>
    </row>
    <row r="241" spans="2:41" ht="15" customHeight="1">
      <c r="B241" s="83">
        <v>567.77</v>
      </c>
      <c r="C241" s="83">
        <v>568.79999999999995</v>
      </c>
      <c r="D241" s="83">
        <v>565.79999999999995</v>
      </c>
      <c r="E241" s="83">
        <v>566.55999999999995</v>
      </c>
      <c r="F241" s="83">
        <v>7369350</v>
      </c>
      <c r="G241" s="83" t="s">
        <v>3077</v>
      </c>
      <c r="H241" s="84">
        <f t="shared" si="3"/>
        <v>2.1356961310365907E-3</v>
      </c>
      <c r="J241" s="83">
        <v>176.91</v>
      </c>
      <c r="K241" s="83">
        <v>177.22</v>
      </c>
      <c r="L241" s="83">
        <v>174.66</v>
      </c>
      <c r="M241" s="83">
        <v>176.80500000000001</v>
      </c>
      <c r="N241" s="83">
        <v>24356400</v>
      </c>
      <c r="O241" s="83" t="s">
        <v>3077</v>
      </c>
      <c r="P241" s="84">
        <f t="shared" si="4"/>
        <v>5.9387460761839428E-4</v>
      </c>
      <c r="R241" s="94">
        <v>-1.2500000000000001E-2</v>
      </c>
      <c r="S241" s="95">
        <v>62</v>
      </c>
      <c r="U241" s="94">
        <v>-1.4999999999999999E-2</v>
      </c>
      <c r="V241" s="81">
        <f t="shared" si="2"/>
        <v>15.124193154227564</v>
      </c>
    </row>
    <row r="242" spans="2:41" ht="15" customHeight="1">
      <c r="B242" s="83">
        <v>568.03</v>
      </c>
      <c r="C242" s="83">
        <v>569.15</v>
      </c>
      <c r="D242" s="83">
        <v>565.375</v>
      </c>
      <c r="E242" s="83">
        <v>567.5</v>
      </c>
      <c r="F242" s="83">
        <v>5719188</v>
      </c>
      <c r="G242" s="83" t="s">
        <v>3078</v>
      </c>
      <c r="H242" s="84">
        <f t="shared" si="3"/>
        <v>9.3392070484576983E-4</v>
      </c>
      <c r="J242" s="83">
        <v>177.39</v>
      </c>
      <c r="K242" s="83">
        <v>181.58</v>
      </c>
      <c r="L242" s="83">
        <v>175.5</v>
      </c>
      <c r="M242" s="83">
        <v>180.785</v>
      </c>
      <c r="N242" s="83">
        <v>43750538</v>
      </c>
      <c r="O242" s="83" t="s">
        <v>3078</v>
      </c>
      <c r="P242" s="84">
        <f t="shared" si="4"/>
        <v>-1.8779212877174656E-2</v>
      </c>
      <c r="R242" s="94">
        <v>-0.01</v>
      </c>
      <c r="S242" s="95">
        <v>79</v>
      </c>
      <c r="U242" s="94">
        <v>-1.2500000000000001E-2</v>
      </c>
      <c r="V242" s="81">
        <f t="shared" si="2"/>
        <v>17.796004363984451</v>
      </c>
    </row>
    <row r="243" spans="2:41" ht="15" customHeight="1">
      <c r="B243" s="83">
        <v>566.95000000000005</v>
      </c>
      <c r="C243" s="83">
        <v>568.33000000000004</v>
      </c>
      <c r="D243" s="83">
        <v>563.21</v>
      </c>
      <c r="E243" s="83">
        <v>565.11</v>
      </c>
      <c r="F243" s="83">
        <v>6056524</v>
      </c>
      <c r="G243" s="83" t="s">
        <v>3079</v>
      </c>
      <c r="H243" s="84">
        <f t="shared" si="3"/>
        <v>3.2560032560033925E-3</v>
      </c>
      <c r="J243" s="83">
        <v>178.27</v>
      </c>
      <c r="K243" s="83">
        <v>178.84</v>
      </c>
      <c r="L243" s="83">
        <v>172.71</v>
      </c>
      <c r="M243" s="83">
        <v>174.63</v>
      </c>
      <c r="N243" s="83">
        <v>74053110</v>
      </c>
      <c r="O243" s="83" t="s">
        <v>3079</v>
      </c>
      <c r="P243" s="84">
        <f t="shared" si="4"/>
        <v>2.0844070320105379E-2</v>
      </c>
      <c r="R243" s="94">
        <v>-7.4999999999999997E-3</v>
      </c>
      <c r="S243" s="95">
        <v>90</v>
      </c>
      <c r="U243" s="94">
        <v>-0.01</v>
      </c>
      <c r="V243" s="81">
        <f t="shared" si="2"/>
        <v>20.368071674668386</v>
      </c>
    </row>
    <row r="244" spans="2:41" ht="15" customHeight="1">
      <c r="B244" s="83">
        <v>564.15</v>
      </c>
      <c r="C244" s="83">
        <v>564.54999999999995</v>
      </c>
      <c r="D244" s="83">
        <v>560.96</v>
      </c>
      <c r="E244" s="83">
        <v>561.52</v>
      </c>
      <c r="F244" s="83">
        <v>6081444</v>
      </c>
      <c r="G244" s="83" t="s">
        <v>3080</v>
      </c>
      <c r="H244" s="84">
        <f t="shared" si="3"/>
        <v>4.6837156290069348E-3</v>
      </c>
      <c r="J244" s="83">
        <v>174.43</v>
      </c>
      <c r="K244" s="83">
        <v>174.65</v>
      </c>
      <c r="L244" s="83">
        <v>170.86</v>
      </c>
      <c r="M244" s="83">
        <v>173.38499999999999</v>
      </c>
      <c r="N244" s="83">
        <v>25909119</v>
      </c>
      <c r="O244" s="83" t="s">
        <v>3080</v>
      </c>
      <c r="P244" s="84">
        <f t="shared" si="4"/>
        <v>6.0270496294374531E-3</v>
      </c>
      <c r="R244" s="94">
        <v>-5.0000000000000001E-3</v>
      </c>
      <c r="S244" s="95">
        <v>104</v>
      </c>
      <c r="U244" s="94">
        <v>-7.4999999999999997E-3</v>
      </c>
      <c r="V244" s="81">
        <f t="shared" si="2"/>
        <v>22.675373442118538</v>
      </c>
    </row>
    <row r="245" spans="2:41" ht="15" customHeight="1">
      <c r="B245" s="83">
        <v>559.72</v>
      </c>
      <c r="C245" s="83">
        <v>561.02</v>
      </c>
      <c r="D245" s="83">
        <v>558.34</v>
      </c>
      <c r="E245" s="83">
        <v>560.52</v>
      </c>
      <c r="F245" s="83">
        <v>16472305</v>
      </c>
      <c r="G245" s="83" t="s">
        <v>3081</v>
      </c>
      <c r="H245" s="84">
        <f t="shared" si="3"/>
        <v>-1.4272461285947946E-3</v>
      </c>
      <c r="J245" s="83">
        <v>171.49</v>
      </c>
      <c r="K245" s="83">
        <v>173.36</v>
      </c>
      <c r="L245" s="83">
        <v>168.56049999999999</v>
      </c>
      <c r="M245" s="83">
        <v>168.65</v>
      </c>
      <c r="N245" s="83">
        <v>23627355</v>
      </c>
      <c r="O245" s="83" t="s">
        <v>3081</v>
      </c>
      <c r="P245" s="84">
        <f t="shared" si="4"/>
        <v>1.6839608656981975E-2</v>
      </c>
      <c r="R245" s="94">
        <v>-2.5000000000000001E-3</v>
      </c>
      <c r="S245" s="95">
        <v>116</v>
      </c>
      <c r="U245" s="94">
        <v>-5.0000000000000001E-3</v>
      </c>
      <c r="V245" s="81">
        <f t="shared" si="2"/>
        <v>24.554783226745446</v>
      </c>
    </row>
    <row r="246" spans="2:41" ht="15" customHeight="1">
      <c r="B246" s="83">
        <v>559.44000000000005</v>
      </c>
      <c r="C246" s="83">
        <v>560.42999999999995</v>
      </c>
      <c r="D246" s="83">
        <v>556.37</v>
      </c>
      <c r="E246" s="83">
        <v>557.17999999999995</v>
      </c>
      <c r="F246" s="83">
        <v>6770036</v>
      </c>
      <c r="G246" s="83" t="s">
        <v>3082</v>
      </c>
      <c r="H246" s="84">
        <f t="shared" si="3"/>
        <v>4.0561398470873034E-3</v>
      </c>
      <c r="J246" s="83">
        <v>167.74</v>
      </c>
      <c r="K246" s="83">
        <v>169.25</v>
      </c>
      <c r="L246" s="83">
        <v>166.91</v>
      </c>
      <c r="M246" s="83">
        <v>167.685</v>
      </c>
      <c r="N246" s="83">
        <v>27310266</v>
      </c>
      <c r="O246" s="83" t="s">
        <v>3082</v>
      </c>
      <c r="P246" s="84">
        <f t="shared" si="4"/>
        <v>3.2799594477750382E-4</v>
      </c>
      <c r="R246" s="94">
        <v>0</v>
      </c>
      <c r="S246" s="95">
        <v>136</v>
      </c>
      <c r="U246" s="94">
        <v>-2.5000000000000001E-3</v>
      </c>
      <c r="V246" s="81">
        <f t="shared" si="2"/>
        <v>25.863951865131018</v>
      </c>
    </row>
    <row r="247" spans="2:41" ht="15" customHeight="1">
      <c r="B247" s="83">
        <v>553.36</v>
      </c>
      <c r="C247" s="83">
        <v>553.70000000000005</v>
      </c>
      <c r="D247" s="83">
        <v>545.75</v>
      </c>
      <c r="E247" s="83">
        <v>548.66</v>
      </c>
      <c r="F247" s="83">
        <v>9691151</v>
      </c>
      <c r="G247" s="83" t="s">
        <v>3083</v>
      </c>
      <c r="H247" s="84">
        <f t="shared" si="3"/>
        <v>8.5663252287391245E-3</v>
      </c>
      <c r="J247" s="83">
        <v>166.01</v>
      </c>
      <c r="K247" s="83">
        <v>168.48</v>
      </c>
      <c r="L247" s="83">
        <v>163.33000000000001</v>
      </c>
      <c r="M247" s="83">
        <v>167.32</v>
      </c>
      <c r="N247" s="83">
        <v>35792219</v>
      </c>
      <c r="O247" s="83" t="s">
        <v>3083</v>
      </c>
      <c r="P247" s="84">
        <f t="shared" si="4"/>
        <v>-7.8293091082954902E-3</v>
      </c>
      <c r="R247" s="94">
        <v>2.5000000000000001E-3</v>
      </c>
      <c r="S247" s="95">
        <v>151</v>
      </c>
      <c r="U247" s="94">
        <v>0</v>
      </c>
      <c r="V247" s="81">
        <f t="shared" si="2"/>
        <v>26.499079302515103</v>
      </c>
      <c r="AO247" s="81" t="s">
        <v>3200</v>
      </c>
    </row>
    <row r="248" spans="2:41" ht="15" customHeight="1">
      <c r="B248" s="83">
        <v>547.72</v>
      </c>
      <c r="C248" s="83">
        <v>552.72</v>
      </c>
      <c r="D248" s="83">
        <v>546.62</v>
      </c>
      <c r="E248" s="83">
        <v>551.72</v>
      </c>
      <c r="F248" s="83">
        <v>9942858</v>
      </c>
      <c r="G248" s="83" t="s">
        <v>3084</v>
      </c>
      <c r="H248" s="84">
        <f t="shared" si="3"/>
        <v>-7.2500543754078217E-3</v>
      </c>
      <c r="J248" s="83">
        <v>167.73</v>
      </c>
      <c r="K248" s="83">
        <v>175.36500000000001</v>
      </c>
      <c r="L248" s="83">
        <v>166.27</v>
      </c>
      <c r="M248" s="83">
        <v>174.86500000000001</v>
      </c>
      <c r="N248" s="83">
        <v>54835985</v>
      </c>
      <c r="O248" s="83" t="s">
        <v>3084</v>
      </c>
      <c r="P248" s="84">
        <f t="shared" si="4"/>
        <v>-4.0802905098218711E-2</v>
      </c>
      <c r="R248" s="94">
        <v>5.0000000000000001E-3</v>
      </c>
      <c r="S248" s="95">
        <v>142</v>
      </c>
      <c r="U248" s="94">
        <v>2.5000000000000001E-3</v>
      </c>
      <c r="V248" s="81">
        <f t="shared" si="2"/>
        <v>26.408504557576869</v>
      </c>
      <c r="X248" s="99"/>
    </row>
    <row r="249" spans="2:41" ht="15" customHeight="1">
      <c r="B249" s="83">
        <v>549.24</v>
      </c>
      <c r="C249" s="83">
        <v>552.71</v>
      </c>
      <c r="D249" s="83">
        <v>548.39</v>
      </c>
      <c r="E249" s="83">
        <v>550.16</v>
      </c>
      <c r="F249" s="83">
        <v>4602329</v>
      </c>
      <c r="G249" s="83" t="s">
        <v>3085</v>
      </c>
      <c r="H249" s="84">
        <f t="shared" si="3"/>
        <v>-1.6722408026754731E-3</v>
      </c>
      <c r="J249" s="83">
        <v>173.98</v>
      </c>
      <c r="K249" s="83">
        <v>177.8235</v>
      </c>
      <c r="L249" s="83">
        <v>172.84</v>
      </c>
      <c r="M249" s="83">
        <v>177.28</v>
      </c>
      <c r="N249" s="83">
        <v>32531762</v>
      </c>
      <c r="O249" s="83" t="s">
        <v>3085</v>
      </c>
      <c r="P249" s="84">
        <f t="shared" si="4"/>
        <v>-1.8614620938628201E-2</v>
      </c>
      <c r="R249" s="94">
        <v>7.4999999999999997E-3</v>
      </c>
      <c r="S249" s="95">
        <v>121</v>
      </c>
      <c r="U249" s="94">
        <v>5.0000000000000001E-3</v>
      </c>
      <c r="V249" s="81">
        <f t="shared" si="2"/>
        <v>25.599645760456678</v>
      </c>
    </row>
    <row r="250" spans="2:41" ht="15" customHeight="1">
      <c r="B250" s="83">
        <v>549.35</v>
      </c>
      <c r="C250" s="83">
        <v>553.16</v>
      </c>
      <c r="D250" s="83">
        <v>548.63499999999999</v>
      </c>
      <c r="E250" s="83">
        <v>551.79</v>
      </c>
      <c r="F250" s="83">
        <v>4753344</v>
      </c>
      <c r="G250" s="83" t="s">
        <v>3086</v>
      </c>
      <c r="H250" s="84">
        <f t="shared" si="3"/>
        <v>-4.4219721270771783E-3</v>
      </c>
      <c r="J250" s="83">
        <v>177.23</v>
      </c>
      <c r="K250" s="83">
        <v>178.715</v>
      </c>
      <c r="L250" s="83">
        <v>175.94</v>
      </c>
      <c r="M250" s="83">
        <v>177</v>
      </c>
      <c r="N250" s="83">
        <v>17656119</v>
      </c>
      <c r="O250" s="83" t="s">
        <v>3086</v>
      </c>
      <c r="P250" s="84">
        <f t="shared" si="4"/>
        <v>1.2994350282484746E-3</v>
      </c>
      <c r="R250" s="94">
        <v>0.01</v>
      </c>
      <c r="S250" s="95">
        <v>107</v>
      </c>
      <c r="U250" s="94">
        <v>7.4999999999999997E-3</v>
      </c>
      <c r="V250" s="81">
        <f t="shared" si="2"/>
        <v>24.137996784585916</v>
      </c>
    </row>
    <row r="251" spans="2:41" ht="15" customHeight="1">
      <c r="B251" s="83">
        <v>554.07000000000005</v>
      </c>
      <c r="C251" s="83">
        <v>555.69000000000005</v>
      </c>
      <c r="D251" s="83">
        <v>551.87</v>
      </c>
      <c r="E251" s="83">
        <v>551.94000000000005</v>
      </c>
      <c r="F251" s="83">
        <v>7421327</v>
      </c>
      <c r="G251" s="83" t="s">
        <v>3087</v>
      </c>
      <c r="H251" s="84">
        <f t="shared" si="3"/>
        <v>3.8591151212088448E-3</v>
      </c>
      <c r="J251" s="83">
        <v>177.94</v>
      </c>
      <c r="K251" s="83">
        <v>178.245</v>
      </c>
      <c r="L251" s="83">
        <v>175.82</v>
      </c>
      <c r="M251" s="83">
        <v>175.905</v>
      </c>
      <c r="N251" s="83">
        <v>18132529</v>
      </c>
      <c r="O251" s="83" t="s">
        <v>3087</v>
      </c>
      <c r="P251" s="84">
        <f t="shared" si="4"/>
        <v>1.1568744492765903E-2</v>
      </c>
      <c r="R251" s="94">
        <v>1.2500000000000001E-2</v>
      </c>
      <c r="S251" s="95">
        <v>105</v>
      </c>
      <c r="U251" s="94">
        <v>0.01</v>
      </c>
      <c r="V251" s="81">
        <f t="shared" si="2"/>
        <v>22.138368753079288</v>
      </c>
    </row>
    <row r="252" spans="2:41" ht="15" customHeight="1">
      <c r="B252" s="83">
        <v>548.77</v>
      </c>
      <c r="C252" s="83">
        <v>553.245</v>
      </c>
      <c r="D252" s="83">
        <v>547.41</v>
      </c>
      <c r="E252" s="83">
        <v>550.24</v>
      </c>
      <c r="F252" s="83">
        <v>7062316</v>
      </c>
      <c r="G252" s="83" t="s">
        <v>3088</v>
      </c>
      <c r="H252" s="84">
        <f t="shared" si="3"/>
        <v>-2.671561500436237E-3</v>
      </c>
      <c r="J252" s="83">
        <v>175.88</v>
      </c>
      <c r="K252" s="83">
        <v>178.3432</v>
      </c>
      <c r="L252" s="83">
        <v>173.57</v>
      </c>
      <c r="M252" s="83">
        <v>173.58</v>
      </c>
      <c r="N252" s="83">
        <v>20254703</v>
      </c>
      <c r="O252" s="83" t="s">
        <v>3088</v>
      </c>
      <c r="P252" s="84">
        <f t="shared" si="4"/>
        <v>1.325037446710442E-2</v>
      </c>
      <c r="R252" s="94">
        <v>1.4999999999999999E-2</v>
      </c>
      <c r="S252" s="95">
        <v>84</v>
      </c>
      <c r="U252" s="94">
        <v>1.2500000000000001E-2</v>
      </c>
      <c r="V252" s="81">
        <f t="shared" si="2"/>
        <v>19.750001444365168</v>
      </c>
    </row>
    <row r="253" spans="2:41" ht="15" customHeight="1">
      <c r="B253" s="83">
        <v>554.95000000000005</v>
      </c>
      <c r="C253" s="83">
        <v>555</v>
      </c>
      <c r="D253" s="83">
        <v>551.13220000000001</v>
      </c>
      <c r="E253" s="83">
        <v>551.6</v>
      </c>
      <c r="F253" s="83">
        <v>8422943</v>
      </c>
      <c r="G253" s="83" t="s">
        <v>3089</v>
      </c>
      <c r="H253" s="84">
        <f t="shared" si="3"/>
        <v>6.0732414793329692E-3</v>
      </c>
      <c r="J253" s="83">
        <v>176.97</v>
      </c>
      <c r="K253" s="83">
        <v>178.13</v>
      </c>
      <c r="L253" s="83">
        <v>176.11</v>
      </c>
      <c r="M253" s="83">
        <v>177.48</v>
      </c>
      <c r="N253" s="83">
        <v>17345924</v>
      </c>
      <c r="O253" s="83" t="s">
        <v>3089</v>
      </c>
      <c r="P253" s="84">
        <f t="shared" si="4"/>
        <v>-2.8735632183907178E-3</v>
      </c>
      <c r="R253" s="94">
        <v>1.7500000000000002E-2</v>
      </c>
      <c r="S253" s="95">
        <v>58</v>
      </c>
      <c r="U253" s="94">
        <v>1.4999999999999999E-2</v>
      </c>
      <c r="V253" s="81">
        <f t="shared" si="2"/>
        <v>17.138222189571593</v>
      </c>
    </row>
    <row r="254" spans="2:41" ht="15" customHeight="1">
      <c r="B254" s="83">
        <v>552.86</v>
      </c>
      <c r="C254" s="83">
        <v>556.22500000000002</v>
      </c>
      <c r="D254" s="83">
        <v>550.91</v>
      </c>
      <c r="E254" s="83">
        <v>555.41</v>
      </c>
      <c r="F254" s="83">
        <v>20800557</v>
      </c>
      <c r="G254" s="83" t="s">
        <v>3090</v>
      </c>
      <c r="H254" s="84">
        <f t="shared" si="3"/>
        <v>-4.5912028951584638E-3</v>
      </c>
      <c r="J254" s="83">
        <v>178.79</v>
      </c>
      <c r="K254" s="83">
        <v>181.75</v>
      </c>
      <c r="L254" s="83">
        <v>178</v>
      </c>
      <c r="M254" s="83">
        <v>181.23</v>
      </c>
      <c r="N254" s="83">
        <v>18994398</v>
      </c>
      <c r="O254" s="83" t="s">
        <v>3090</v>
      </c>
      <c r="P254" s="84">
        <f t="shared" si="4"/>
        <v>-1.346355459912818E-2</v>
      </c>
      <c r="R254" s="94">
        <v>0.02</v>
      </c>
      <c r="S254" s="95">
        <v>50</v>
      </c>
      <c r="U254" s="94">
        <v>1.7500000000000002E-2</v>
      </c>
      <c r="V254" s="81">
        <f t="shared" si="2"/>
        <v>14.465769105118028</v>
      </c>
    </row>
    <row r="255" spans="2:41" ht="15" customHeight="1">
      <c r="B255" s="83">
        <v>554.39</v>
      </c>
      <c r="C255" s="83">
        <v>554.74</v>
      </c>
      <c r="D255" s="83">
        <v>550.74</v>
      </c>
      <c r="E255" s="83">
        <v>551.78</v>
      </c>
      <c r="F255" s="83">
        <v>5951290</v>
      </c>
      <c r="G255" s="83" t="s">
        <v>3091</v>
      </c>
      <c r="H255" s="84">
        <f t="shared" si="3"/>
        <v>4.7301460727102729E-3</v>
      </c>
      <c r="J255" s="83">
        <v>180.01</v>
      </c>
      <c r="K255" s="83">
        <v>182.44499999999999</v>
      </c>
      <c r="L255" s="83">
        <v>176.47499999999999</v>
      </c>
      <c r="M255" s="83">
        <v>177.76</v>
      </c>
      <c r="N255" s="83">
        <v>32829781</v>
      </c>
      <c r="O255" s="83" t="s">
        <v>3091</v>
      </c>
      <c r="P255" s="84">
        <f t="shared" si="4"/>
        <v>1.2657515751575144E-2</v>
      </c>
      <c r="R255" s="94">
        <v>2.2499999999999999E-2</v>
      </c>
      <c r="S255" s="95">
        <v>37</v>
      </c>
      <c r="U255" s="94">
        <v>0.02</v>
      </c>
      <c r="V255" s="81">
        <f t="shared" si="2"/>
        <v>11.876662392392474</v>
      </c>
    </row>
    <row r="256" spans="2:41" ht="15" customHeight="1">
      <c r="B256" s="83">
        <v>551.25</v>
      </c>
      <c r="C256" s="83">
        <v>552.70000000000005</v>
      </c>
      <c r="D256" s="83">
        <v>550.20000000000005</v>
      </c>
      <c r="E256" s="83">
        <v>551.29999999999995</v>
      </c>
      <c r="F256" s="83">
        <v>4482378</v>
      </c>
      <c r="G256" s="83" t="s">
        <v>3092</v>
      </c>
      <c r="H256" s="84">
        <f t="shared" si="3"/>
        <v>-9.0694721567086134E-5</v>
      </c>
      <c r="J256" s="83">
        <v>177.63</v>
      </c>
      <c r="K256" s="83">
        <v>177.91499999999999</v>
      </c>
      <c r="L256" s="83">
        <v>175.66</v>
      </c>
      <c r="M256" s="83">
        <v>175.87</v>
      </c>
      <c r="N256" s="83">
        <v>18704150</v>
      </c>
      <c r="O256" s="83" t="s">
        <v>3092</v>
      </c>
      <c r="P256" s="84">
        <f t="shared" si="4"/>
        <v>1.0007391823505962E-2</v>
      </c>
      <c r="R256" s="94">
        <v>2.5000000000000001E-2</v>
      </c>
      <c r="S256" s="95">
        <v>23</v>
      </c>
      <c r="U256" s="94">
        <v>2.2499999999999999E-2</v>
      </c>
      <c r="V256" s="81">
        <f t="shared" si="2"/>
        <v>9.4847178579403923</v>
      </c>
    </row>
    <row r="257" spans="2:40" ht="15" customHeight="1">
      <c r="B257" s="83">
        <v>550.66</v>
      </c>
      <c r="C257" s="83">
        <v>552.32000000000005</v>
      </c>
      <c r="D257" s="83">
        <v>548.69989999999996</v>
      </c>
      <c r="E257" s="83">
        <v>550.29999999999995</v>
      </c>
      <c r="F257" s="83">
        <v>4712599</v>
      </c>
      <c r="G257" s="83" t="s">
        <v>3093</v>
      </c>
      <c r="H257" s="84">
        <f t="shared" si="3"/>
        <v>6.5418862438670899E-4</v>
      </c>
      <c r="J257" s="83">
        <v>174.70999999999995</v>
      </c>
      <c r="K257" s="83">
        <v>175.61890750057165</v>
      </c>
      <c r="L257" s="83">
        <v>172.09314543791444</v>
      </c>
      <c r="M257" s="83">
        <v>172.09314543791444</v>
      </c>
      <c r="N257" s="83">
        <v>22187927.69045848</v>
      </c>
      <c r="O257" s="83" t="s">
        <v>3093</v>
      </c>
      <c r="P257" s="84">
        <f t="shared" si="4"/>
        <v>1.5206035983749144E-2</v>
      </c>
      <c r="R257" s="94">
        <v>2.75E-2</v>
      </c>
      <c r="S257" s="95">
        <v>19</v>
      </c>
      <c r="U257" s="94">
        <v>2.5000000000000001E-2</v>
      </c>
      <c r="V257" s="81">
        <f t="shared" si="2"/>
        <v>7.3676933899352504</v>
      </c>
    </row>
    <row r="258" spans="2:40" ht="15" customHeight="1">
      <c r="B258" s="83">
        <v>545.09</v>
      </c>
      <c r="C258" s="83">
        <v>550.63</v>
      </c>
      <c r="D258" s="83">
        <v>543.33749999999998</v>
      </c>
      <c r="E258" s="83">
        <v>549.48</v>
      </c>
      <c r="F258" s="83">
        <v>6334538</v>
      </c>
      <c r="G258" s="83" t="s">
        <v>3094</v>
      </c>
      <c r="H258" s="84">
        <f t="shared" si="3"/>
        <v>-7.9893717696730704E-3</v>
      </c>
      <c r="J258" s="83">
        <v>169.606134804482</v>
      </c>
      <c r="K258" s="83">
        <v>172.15307340498512</v>
      </c>
      <c r="L258" s="83">
        <v>169.14668705694027</v>
      </c>
      <c r="M258" s="83">
        <v>171.41396181111361</v>
      </c>
      <c r="N258" s="83">
        <v>24793027.239654291</v>
      </c>
      <c r="O258" s="83" t="s">
        <v>3094</v>
      </c>
      <c r="P258" s="84">
        <f t="shared" si="4"/>
        <v>-1.0546556345414348E-2</v>
      </c>
      <c r="R258" s="94">
        <v>0.03</v>
      </c>
      <c r="S258" s="95">
        <v>19</v>
      </c>
      <c r="U258" s="94">
        <v>2.75E-2</v>
      </c>
      <c r="V258" s="81">
        <f t="shared" si="2"/>
        <v>5.5669304377145785</v>
      </c>
    </row>
    <row r="259" spans="2:40" ht="15" customHeight="1">
      <c r="B259" s="83">
        <v>547.65</v>
      </c>
      <c r="C259" s="83">
        <v>549.65</v>
      </c>
      <c r="D259" s="83">
        <v>547.44259999999997</v>
      </c>
      <c r="E259" s="83">
        <v>548.75</v>
      </c>
      <c r="F259" s="83">
        <v>4510272</v>
      </c>
      <c r="G259" s="83" t="s">
        <v>3095</v>
      </c>
      <c r="H259" s="84">
        <f t="shared" si="3"/>
        <v>-2.0045558086561055E-3</v>
      </c>
      <c r="J259" s="83">
        <v>169.18663903498737</v>
      </c>
      <c r="K259" s="83">
        <v>169.37641093071116</v>
      </c>
      <c r="L259" s="83">
        <v>167.59355391035896</v>
      </c>
      <c r="M259" s="83">
        <v>168.07797164418017</v>
      </c>
      <c r="N259" s="83">
        <v>18449560.59824853</v>
      </c>
      <c r="O259" s="83" t="s">
        <v>3095</v>
      </c>
      <c r="P259" s="84">
        <f t="shared" si="4"/>
        <v>6.5961492750177264E-3</v>
      </c>
      <c r="R259" s="94">
        <v>3.2500000000000001E-2</v>
      </c>
      <c r="S259" s="95">
        <v>9</v>
      </c>
      <c r="U259" s="94">
        <v>0.03</v>
      </c>
      <c r="V259" s="81">
        <f t="shared" si="2"/>
        <v>4.0914492401654154</v>
      </c>
    </row>
    <row r="260" spans="2:40" ht="15" customHeight="1">
      <c r="B260" s="83">
        <v>548</v>
      </c>
      <c r="C260" s="83">
        <v>548.87</v>
      </c>
      <c r="D260" s="83">
        <v>544.09</v>
      </c>
      <c r="E260" s="83">
        <v>544.53</v>
      </c>
      <c r="F260" s="83">
        <v>4968649</v>
      </c>
      <c r="G260" s="83" t="s">
        <v>3096</v>
      </c>
      <c r="H260" s="84">
        <f t="shared" si="3"/>
        <v>6.3724679999266343E-3</v>
      </c>
      <c r="J260" s="83">
        <v>167.5086559570089</v>
      </c>
      <c r="K260" s="83">
        <v>169.59614680997024</v>
      </c>
      <c r="L260" s="83">
        <v>166.47989252229587</v>
      </c>
      <c r="M260" s="83">
        <v>168.66226932311912</v>
      </c>
      <c r="N260" s="83">
        <v>25312243.584225293</v>
      </c>
      <c r="O260" s="83" t="s">
        <v>3096</v>
      </c>
      <c r="P260" s="84">
        <f t="shared" si="4"/>
        <v>-6.8397832588161789E-3</v>
      </c>
      <c r="R260" s="94">
        <v>3.5000000000000003E-2</v>
      </c>
      <c r="S260" s="95">
        <v>11</v>
      </c>
      <c r="U260" s="94">
        <v>3.2500000000000001E-2</v>
      </c>
      <c r="V260" s="81">
        <f t="shared" si="2"/>
        <v>2.9249312543105761</v>
      </c>
    </row>
    <row r="261" spans="2:40" ht="15" customHeight="1">
      <c r="B261" s="83">
        <v>544.91</v>
      </c>
      <c r="C261" s="83">
        <v>544.91</v>
      </c>
      <c r="D261" s="83">
        <v>537.79999999999995</v>
      </c>
      <c r="E261" s="83">
        <v>540.25</v>
      </c>
      <c r="F261" s="83">
        <v>5900870</v>
      </c>
      <c r="G261" s="83" t="s">
        <v>3097</v>
      </c>
      <c r="H261" s="84">
        <f t="shared" si="3"/>
        <v>8.6256362795000818E-3</v>
      </c>
      <c r="J261" s="83">
        <v>170.1654624971415</v>
      </c>
      <c r="K261" s="83">
        <v>170.85703123713694</v>
      </c>
      <c r="L261" s="83">
        <v>168.44752744111591</v>
      </c>
      <c r="M261" s="83">
        <v>168.80709524353986</v>
      </c>
      <c r="N261" s="83">
        <v>24669674.14824567</v>
      </c>
      <c r="O261" s="83" t="s">
        <v>3097</v>
      </c>
      <c r="P261" s="84">
        <f t="shared" si="4"/>
        <v>8.0468611324773232E-3</v>
      </c>
      <c r="R261" s="94">
        <v>3.7499999999999999E-2</v>
      </c>
      <c r="S261" s="95">
        <v>3</v>
      </c>
      <c r="U261" s="94">
        <v>3.5000000000000003E-2</v>
      </c>
      <c r="V261" s="81">
        <f t="shared" si="2"/>
        <v>2.0339078916376363</v>
      </c>
    </row>
    <row r="262" spans="2:40" ht="15" customHeight="1">
      <c r="B262" s="83">
        <v>541.76</v>
      </c>
      <c r="C262" s="83">
        <v>543.39</v>
      </c>
      <c r="D262" s="83">
        <v>536.16</v>
      </c>
      <c r="E262" s="83">
        <v>541.35</v>
      </c>
      <c r="F262" s="83">
        <v>6160101</v>
      </c>
      <c r="G262" s="83" t="s">
        <v>3098</v>
      </c>
      <c r="H262" s="84">
        <f t="shared" si="3"/>
        <v>7.5736584464758394E-4</v>
      </c>
      <c r="J262" s="83">
        <v>172.64248513606216</v>
      </c>
      <c r="K262" s="83">
        <v>173.23177681225698</v>
      </c>
      <c r="L262" s="83">
        <v>168.32267750971869</v>
      </c>
      <c r="M262" s="83">
        <v>172.20301337754398</v>
      </c>
      <c r="N262" s="83">
        <v>35421148.818499237</v>
      </c>
      <c r="O262" s="83" t="s">
        <v>3098</v>
      </c>
      <c r="P262" s="84">
        <f t="shared" si="4"/>
        <v>2.5520561452352375E-3</v>
      </c>
      <c r="R262" s="94">
        <v>0.04</v>
      </c>
      <c r="S262" s="95">
        <v>4</v>
      </c>
      <c r="U262" s="94">
        <v>3.7499999999999999E-2</v>
      </c>
      <c r="V262" s="81">
        <f t="shared" si="2"/>
        <v>1.3757009027259319</v>
      </c>
    </row>
    <row r="263" spans="2:40" ht="15" customHeight="1">
      <c r="B263" s="83">
        <v>542.32000000000005</v>
      </c>
      <c r="C263" s="83">
        <v>545.28</v>
      </c>
      <c r="D263" s="83">
        <v>538.74</v>
      </c>
      <c r="E263" s="83">
        <v>545.15</v>
      </c>
      <c r="F263" s="83">
        <v>4668939</v>
      </c>
      <c r="G263" s="83" t="s">
        <v>3099</v>
      </c>
      <c r="H263" s="84">
        <f t="shared" si="3"/>
        <v>-5.1912317710720579E-3</v>
      </c>
      <c r="J263" s="83">
        <v>172.7523530756917</v>
      </c>
      <c r="K263" s="83">
        <v>175.18942373656526</v>
      </c>
      <c r="L263" s="83">
        <v>171.57376972330204</v>
      </c>
      <c r="M263" s="83">
        <v>174.78990395609418</v>
      </c>
      <c r="N263" s="83">
        <v>21259112.602598596</v>
      </c>
      <c r="O263" s="83" t="s">
        <v>3099</v>
      </c>
      <c r="P263" s="84">
        <f t="shared" si="4"/>
        <v>-1.1657142857142921E-2</v>
      </c>
      <c r="R263" s="94">
        <v>4.2500000000000003E-2</v>
      </c>
      <c r="S263" s="95">
        <v>2</v>
      </c>
      <c r="U263" s="94">
        <v>0.04</v>
      </c>
      <c r="V263" s="81">
        <f t="shared" si="2"/>
        <v>0.90509441648348676</v>
      </c>
    </row>
    <row r="264" spans="2:40" ht="15" customHeight="1">
      <c r="B264" s="83">
        <v>540.24</v>
      </c>
      <c r="C264" s="83">
        <v>544.9</v>
      </c>
      <c r="D264" s="83">
        <v>539.61</v>
      </c>
      <c r="E264" s="83">
        <v>543.79</v>
      </c>
      <c r="F264" s="83">
        <v>4806244</v>
      </c>
      <c r="G264" s="83" t="s">
        <v>3100</v>
      </c>
      <c r="H264" s="84">
        <f t="shared" si="3"/>
        <v>-6.5282553927066278E-3</v>
      </c>
      <c r="J264" s="83">
        <v>173.17184884518633</v>
      </c>
      <c r="K264" s="83">
        <v>176.26812714383712</v>
      </c>
      <c r="L264" s="83">
        <v>172.80688752572601</v>
      </c>
      <c r="M264" s="83">
        <v>173.77112851589294</v>
      </c>
      <c r="N264" s="83">
        <v>24046460.950374912</v>
      </c>
      <c r="O264" s="83" t="s">
        <v>3100</v>
      </c>
      <c r="P264" s="84">
        <f t="shared" si="4"/>
        <v>-3.4486722611793974E-3</v>
      </c>
      <c r="R264" s="94">
        <v>4.4999999999999998E-2</v>
      </c>
      <c r="S264" s="95">
        <v>5</v>
      </c>
      <c r="U264" s="94">
        <v>4.2500000000000003E-2</v>
      </c>
      <c r="V264" s="81">
        <f t="shared" si="2"/>
        <v>0.57921642911080828</v>
      </c>
    </row>
    <row r="265" spans="2:40" ht="15" customHeight="1">
      <c r="B265" s="83">
        <v>543.34</v>
      </c>
      <c r="C265" s="83">
        <v>543.52</v>
      </c>
      <c r="D265" s="83">
        <v>537.17999999999995</v>
      </c>
      <c r="E265" s="83">
        <v>538.72</v>
      </c>
      <c r="F265" s="83">
        <v>6086299</v>
      </c>
      <c r="G265" s="83" t="s">
        <v>3101</v>
      </c>
      <c r="H265" s="84">
        <f t="shared" si="3"/>
        <v>8.5758835758835694E-3</v>
      </c>
      <c r="J265" s="83">
        <v>173.77112851589294</v>
      </c>
      <c r="K265" s="83">
        <v>174.080756345758</v>
      </c>
      <c r="L265" s="83">
        <v>171.00445403613077</v>
      </c>
      <c r="M265" s="83">
        <v>171.09434598673676</v>
      </c>
      <c r="N265" s="83">
        <v>24260639.081678215</v>
      </c>
      <c r="O265" s="83" t="s">
        <v>3101</v>
      </c>
      <c r="P265" s="84">
        <f t="shared" si="4"/>
        <v>1.5645067133683632E-2</v>
      </c>
      <c r="R265" s="94">
        <v>4.7500000000000001E-2</v>
      </c>
      <c r="S265" s="95">
        <v>2</v>
      </c>
      <c r="U265" s="94">
        <v>4.4999999999999998E-2</v>
      </c>
      <c r="V265" s="81">
        <f t="shared" si="2"/>
        <v>0.36054956887089862</v>
      </c>
      <c r="AN265" s="80" t="s">
        <v>2821</v>
      </c>
    </row>
    <row r="266" spans="2:40" ht="15" customHeight="1">
      <c r="B266" s="83">
        <v>532.4</v>
      </c>
      <c r="C266" s="83">
        <v>534.80989999999997</v>
      </c>
      <c r="D266" s="83">
        <v>529.11</v>
      </c>
      <c r="E266" s="83">
        <v>529.42999999999995</v>
      </c>
      <c r="F266" s="83">
        <v>6455875</v>
      </c>
      <c r="G266" s="83" t="s">
        <v>3102</v>
      </c>
      <c r="H266" s="84">
        <f t="shared" si="3"/>
        <v>5.6098067733223456E-3</v>
      </c>
      <c r="J266" s="83">
        <v>169.38639892522292</v>
      </c>
      <c r="K266" s="83">
        <v>170.99946003887487</v>
      </c>
      <c r="L266" s="83">
        <v>169.05679510633428</v>
      </c>
      <c r="M266" s="83">
        <v>170.07557054653552</v>
      </c>
      <c r="N266" s="83">
        <v>24993654.101997603</v>
      </c>
      <c r="O266" s="83" t="s">
        <v>3102</v>
      </c>
      <c r="P266" s="84">
        <f t="shared" si="4"/>
        <v>-4.0521494009866377E-3</v>
      </c>
      <c r="R266" s="94">
        <v>0.05</v>
      </c>
      <c r="S266" s="95">
        <v>1</v>
      </c>
      <c r="U266" s="94">
        <v>4.7500000000000001E-2</v>
      </c>
      <c r="V266" s="81">
        <f t="shared" si="2"/>
        <v>0.21830627132349276</v>
      </c>
    </row>
    <row r="267" spans="2:40" ht="15" customHeight="1" thickBot="1">
      <c r="B267" s="83">
        <v>536.02</v>
      </c>
      <c r="C267" s="83">
        <v>539.22500000000002</v>
      </c>
      <c r="D267" s="83">
        <v>534.44000000000005</v>
      </c>
      <c r="E267" s="83">
        <v>535.6</v>
      </c>
      <c r="F267" s="83">
        <v>5816572</v>
      </c>
      <c r="G267" s="83" t="s">
        <v>3103</v>
      </c>
      <c r="H267" s="84">
        <f t="shared" si="3"/>
        <v>7.8416728902164223E-4</v>
      </c>
      <c r="J267" s="83">
        <v>171.77352961353756</v>
      </c>
      <c r="K267" s="83">
        <v>177.91614623828031</v>
      </c>
      <c r="L267" s="83">
        <v>171.67364966841981</v>
      </c>
      <c r="M267" s="83">
        <v>173.14188486165099</v>
      </c>
      <c r="N267" s="83">
        <v>45078199.579417333</v>
      </c>
      <c r="O267" s="83" t="s">
        <v>3103</v>
      </c>
      <c r="P267" s="84">
        <f t="shared" si="4"/>
        <v>-7.9030862417075465E-3</v>
      </c>
      <c r="R267" s="100" t="s">
        <v>1964</v>
      </c>
      <c r="S267" s="100">
        <v>6</v>
      </c>
      <c r="U267" s="94">
        <v>0.05</v>
      </c>
      <c r="V267" s="81">
        <f t="shared" si="2"/>
        <v>0.1285714571397876</v>
      </c>
    </row>
    <row r="268" spans="2:40" ht="15" customHeight="1">
      <c r="B268" s="83">
        <v>535.77</v>
      </c>
      <c r="C268" s="83">
        <v>544.69050000000004</v>
      </c>
      <c r="D268" s="83">
        <v>534.82000000000005</v>
      </c>
      <c r="E268" s="83">
        <v>540.91</v>
      </c>
      <c r="F268" s="83">
        <v>6339491</v>
      </c>
      <c r="G268" s="83" t="s">
        <v>3104</v>
      </c>
      <c r="H268" s="84">
        <f t="shared" si="3"/>
        <v>-9.5025050378065856E-3</v>
      </c>
      <c r="J268" s="83">
        <v>169.85583466727644</v>
      </c>
      <c r="K268" s="83">
        <v>174.32046821404066</v>
      </c>
      <c r="L268" s="83">
        <v>164.69204150468781</v>
      </c>
      <c r="M268" s="83">
        <v>164.75196947175846</v>
      </c>
      <c r="N268" s="83">
        <v>45622351.860797904</v>
      </c>
      <c r="O268" s="83" t="s">
        <v>3104</v>
      </c>
      <c r="P268" s="84">
        <f t="shared" si="4"/>
        <v>3.0979084571082449E-2</v>
      </c>
      <c r="R268" s="101"/>
      <c r="U268" s="94">
        <v>5.0999999999999997E-2</v>
      </c>
      <c r="V268" s="81">
        <f t="shared" si="2"/>
        <v>0.10323084964993744</v>
      </c>
    </row>
    <row r="269" spans="2:40" ht="15" customHeight="1">
      <c r="B269" s="83">
        <v>544.88</v>
      </c>
      <c r="C269" s="83">
        <v>546.05999999999995</v>
      </c>
      <c r="D269" s="83">
        <v>541.99</v>
      </c>
      <c r="E269" s="83">
        <v>545.22</v>
      </c>
      <c r="F269" s="83">
        <v>7158205</v>
      </c>
      <c r="G269" s="83" t="s">
        <v>1962</v>
      </c>
      <c r="H269" s="84">
        <f t="shared" si="3"/>
        <v>-6.2360148197060372E-4</v>
      </c>
      <c r="J269" s="83">
        <v>165.12152526869423</v>
      </c>
      <c r="K269" s="83">
        <v>169.47629087582891</v>
      </c>
      <c r="L269" s="83">
        <v>164.06279785044586</v>
      </c>
      <c r="M269" s="83">
        <v>167.55859592956776</v>
      </c>
      <c r="N269" s="83">
        <v>33603616.782553956</v>
      </c>
      <c r="O269" s="83" t="s">
        <v>1962</v>
      </c>
      <c r="P269" s="84">
        <f t="shared" si="4"/>
        <v>-1.4544587505960882E-2</v>
      </c>
      <c r="R269" s="101"/>
    </row>
    <row r="270" spans="2:40" ht="15" customHeight="1">
      <c r="B270" s="83">
        <v>546.82000000000005</v>
      </c>
      <c r="C270" s="83">
        <v>547.45000000000005</v>
      </c>
      <c r="D270" s="83">
        <v>540.58000000000004</v>
      </c>
      <c r="E270" s="83">
        <v>540.63</v>
      </c>
      <c r="F270" s="83">
        <v>7766058</v>
      </c>
      <c r="G270" s="83" t="s">
        <v>1961</v>
      </c>
      <c r="H270" s="84">
        <f t="shared" si="3"/>
        <v>1.144960509035764E-2</v>
      </c>
      <c r="J270" s="83">
        <v>167.66846386919732</v>
      </c>
      <c r="K270" s="83">
        <v>167.74836782529152</v>
      </c>
      <c r="L270" s="83">
        <v>165.21641121655608</v>
      </c>
      <c r="M270" s="83">
        <v>165.51605105190941</v>
      </c>
      <c r="N270" s="83">
        <v>21400380.201247789</v>
      </c>
      <c r="O270" s="83" t="s">
        <v>1961</v>
      </c>
      <c r="P270" s="84">
        <f t="shared" si="4"/>
        <v>1.3004254292007467E-2</v>
      </c>
      <c r="R270" s="101"/>
    </row>
    <row r="271" spans="2:40" ht="15" customHeight="1">
      <c r="B271" s="83">
        <v>546.26</v>
      </c>
      <c r="C271" s="83">
        <v>546.47</v>
      </c>
      <c r="D271" s="83">
        <v>541.70000000000005</v>
      </c>
      <c r="E271" s="83">
        <v>543.47</v>
      </c>
      <c r="F271" s="83">
        <v>7255342</v>
      </c>
      <c r="G271" s="83" t="s">
        <v>1960</v>
      </c>
      <c r="H271" s="84">
        <f t="shared" si="3"/>
        <v>5.1336780319060082E-3</v>
      </c>
      <c r="J271" s="83">
        <v>167.22899211067914</v>
      </c>
      <c r="K271" s="83">
        <v>170.44512634347126</v>
      </c>
      <c r="L271" s="83">
        <v>166.74956837411384</v>
      </c>
      <c r="M271" s="83">
        <v>168.72719128744566</v>
      </c>
      <c r="N271" s="83">
        <v>36314975.90155115</v>
      </c>
      <c r="O271" s="83" t="s">
        <v>1960</v>
      </c>
      <c r="P271" s="84">
        <f t="shared" si="4"/>
        <v>-8.8794175102112627E-3</v>
      </c>
      <c r="R271" s="101"/>
    </row>
    <row r="272" spans="2:40" ht="15" customHeight="1">
      <c r="B272" s="83">
        <v>542.76</v>
      </c>
      <c r="C272" s="83">
        <v>543.24890000000005</v>
      </c>
      <c r="D272" s="83">
        <v>537.84</v>
      </c>
      <c r="E272" s="83">
        <v>538.26</v>
      </c>
      <c r="F272" s="83">
        <v>7362193</v>
      </c>
      <c r="G272" s="83" t="s">
        <v>1959</v>
      </c>
      <c r="H272" s="84">
        <f t="shared" si="3"/>
        <v>8.360271987515322E-3</v>
      </c>
      <c r="J272" s="83">
        <v>165.20142922478843</v>
      </c>
      <c r="K272" s="83">
        <v>167.30889606677334</v>
      </c>
      <c r="L272" s="83">
        <v>163.64330208095126</v>
      </c>
      <c r="M272" s="83">
        <v>166.93934026983757</v>
      </c>
      <c r="N272" s="83">
        <v>22744860.315265302</v>
      </c>
      <c r="O272" s="83" t="s">
        <v>1959</v>
      </c>
      <c r="P272" s="84">
        <f t="shared" si="4"/>
        <v>-1.0410434366399324E-2</v>
      </c>
    </row>
    <row r="273" spans="2:18" ht="15" customHeight="1">
      <c r="B273" s="83">
        <v>540.11</v>
      </c>
      <c r="C273" s="83">
        <v>541.41999999999996</v>
      </c>
      <c r="D273" s="83">
        <v>538.24</v>
      </c>
      <c r="E273" s="83">
        <v>540.37</v>
      </c>
      <c r="F273" s="83">
        <v>5031301</v>
      </c>
      <c r="G273" s="83" t="s">
        <v>1958</v>
      </c>
      <c r="H273" s="84">
        <f t="shared" si="3"/>
        <v>-4.8115180339391994E-4</v>
      </c>
      <c r="J273" s="83">
        <v>166.60973645094896</v>
      </c>
      <c r="K273" s="83">
        <v>168.13789961125082</v>
      </c>
      <c r="L273" s="83">
        <v>160.73679567802421</v>
      </c>
      <c r="M273" s="83">
        <v>161.11633946947171</v>
      </c>
      <c r="N273" s="83">
        <v>31807395.331005674</v>
      </c>
      <c r="O273" s="83" t="s">
        <v>1958</v>
      </c>
      <c r="P273" s="84">
        <f t="shared" si="4"/>
        <v>3.4095840307482472E-2</v>
      </c>
    </row>
    <row r="274" spans="2:18" ht="15" customHeight="1">
      <c r="B274" s="83">
        <v>539.44000000000005</v>
      </c>
      <c r="C274" s="83">
        <v>541.48</v>
      </c>
      <c r="D274" s="83">
        <v>535.78</v>
      </c>
      <c r="E274" s="83">
        <v>536.33000000000004</v>
      </c>
      <c r="F274" s="83">
        <v>7356804</v>
      </c>
      <c r="G274" s="83" t="s">
        <v>1957</v>
      </c>
      <c r="H274" s="84">
        <f t="shared" si="3"/>
        <v>5.7986687300728423E-3</v>
      </c>
      <c r="J274" s="83">
        <v>160.69684369997708</v>
      </c>
      <c r="K274" s="83">
        <v>161.86543905785499</v>
      </c>
      <c r="L274" s="83">
        <v>157.39081751657898</v>
      </c>
      <c r="M274" s="83">
        <v>159.72800823233473</v>
      </c>
      <c r="N274" s="83">
        <v>24974252.809799101</v>
      </c>
      <c r="O274" s="83" t="s">
        <v>1957</v>
      </c>
      <c r="P274" s="84">
        <f t="shared" si="4"/>
        <v>6.0655327663832193E-3</v>
      </c>
      <c r="R274" s="101"/>
    </row>
    <row r="275" spans="2:18" ht="15" customHeight="1">
      <c r="B275" s="83">
        <v>535.91999999999996</v>
      </c>
      <c r="C275" s="83">
        <v>535.91999999999996</v>
      </c>
      <c r="D275" s="83">
        <v>530.39</v>
      </c>
      <c r="E275" s="83">
        <v>534.5</v>
      </c>
      <c r="F275" s="83">
        <v>7793576</v>
      </c>
      <c r="G275" s="83" t="s">
        <v>1956</v>
      </c>
      <c r="H275" s="84">
        <f t="shared" si="3"/>
        <v>2.6566884939194235E-3</v>
      </c>
      <c r="J275" s="83">
        <v>159.38841641893436</v>
      </c>
      <c r="K275" s="83">
        <v>160.24738394694714</v>
      </c>
      <c r="L275" s="83">
        <v>157.70024558655382</v>
      </c>
      <c r="M275" s="83">
        <v>158.90899268236905</v>
      </c>
      <c r="N275" s="83">
        <v>31923226.391849358</v>
      </c>
      <c r="O275" s="83" t="s">
        <v>1956</v>
      </c>
      <c r="P275" s="84">
        <f t="shared" si="4"/>
        <v>3.0169704588309809E-3</v>
      </c>
      <c r="R275" s="101"/>
    </row>
    <row r="276" spans="2:18" ht="15" customHeight="1">
      <c r="B276" s="83">
        <v>518.65</v>
      </c>
      <c r="C276" s="83">
        <v>521.63059999999996</v>
      </c>
      <c r="D276" s="83">
        <v>517.36</v>
      </c>
      <c r="E276" s="83">
        <v>520.69000000000005</v>
      </c>
      <c r="F276" s="83">
        <v>4739506</v>
      </c>
      <c r="G276" s="83" t="s">
        <v>1955</v>
      </c>
      <c r="H276" s="84">
        <f t="shared" si="3"/>
        <v>-3.9178782000808265E-3</v>
      </c>
      <c r="J276" s="83">
        <v>154.19465927281038</v>
      </c>
      <c r="K276" s="83">
        <v>156.24219814772465</v>
      </c>
      <c r="L276" s="83">
        <v>153.64531957466266</v>
      </c>
      <c r="M276" s="83">
        <v>155.36325463068829</v>
      </c>
      <c r="N276" s="83">
        <v>22898525.798179846</v>
      </c>
      <c r="O276" s="83" t="s">
        <v>1955</v>
      </c>
      <c r="P276" s="84">
        <f t="shared" si="4"/>
        <v>-7.5216972034716223E-3</v>
      </c>
      <c r="R276" s="101"/>
    </row>
    <row r="277" spans="2:18" ht="15" customHeight="1">
      <c r="B277" s="83">
        <v>519.34</v>
      </c>
      <c r="C277" s="83">
        <v>524.23</v>
      </c>
      <c r="D277" s="83">
        <v>516.34500000000003</v>
      </c>
      <c r="E277" s="83">
        <v>519.54</v>
      </c>
      <c r="F277" s="83">
        <v>5088200</v>
      </c>
      <c r="G277" s="83" t="s">
        <v>1954</v>
      </c>
      <c r="H277" s="84">
        <f t="shared" si="3"/>
        <v>-3.8495592254672584E-4</v>
      </c>
      <c r="J277" s="83">
        <v>155.56301452092382</v>
      </c>
      <c r="K277" s="83">
        <v>157.22102160987876</v>
      </c>
      <c r="L277" s="83">
        <v>153.91499542648063</v>
      </c>
      <c r="M277" s="83">
        <v>155.732810427624</v>
      </c>
      <c r="N277" s="83">
        <v>38433648.471409775</v>
      </c>
      <c r="O277" s="83" t="s">
        <v>1954</v>
      </c>
      <c r="P277" s="84">
        <f t="shared" si="4"/>
        <v>-1.0903027193431836E-3</v>
      </c>
      <c r="R277" s="101"/>
    </row>
    <row r="278" spans="2:18" ht="15" customHeight="1">
      <c r="B278" s="83">
        <v>515.9</v>
      </c>
      <c r="C278" s="83">
        <v>518.17999999999995</v>
      </c>
      <c r="D278" s="83">
        <v>511.1</v>
      </c>
      <c r="E278" s="83">
        <v>514.91999999999996</v>
      </c>
      <c r="F278" s="83">
        <v>5467344</v>
      </c>
      <c r="G278" s="83" t="s">
        <v>1953</v>
      </c>
      <c r="H278" s="84">
        <f t="shared" si="3"/>
        <v>1.9032082653616111E-3</v>
      </c>
      <c r="J278" s="83">
        <v>152.61655613994967</v>
      </c>
      <c r="K278" s="83">
        <v>166.78952035216096</v>
      </c>
      <c r="L278" s="83">
        <v>149.31062983649667</v>
      </c>
      <c r="M278" s="83">
        <v>165.87062485707747</v>
      </c>
      <c r="N278" s="83">
        <v>78995266.6743747</v>
      </c>
      <c r="O278" s="83" t="s">
        <v>1953</v>
      </c>
      <c r="P278" s="84">
        <f t="shared" si="4"/>
        <v>-7.9906063708074848E-2</v>
      </c>
      <c r="R278" s="101"/>
    </row>
    <row r="279" spans="2:18" ht="15" customHeight="1">
      <c r="B279" s="83">
        <v>513.58000000000004</v>
      </c>
      <c r="C279" s="83">
        <v>517.82500000000005</v>
      </c>
      <c r="D279" s="83">
        <v>511.94</v>
      </c>
      <c r="E279" s="83">
        <v>512.89</v>
      </c>
      <c r="F279" s="83">
        <v>4694270</v>
      </c>
      <c r="G279" s="83" t="s">
        <v>1952</v>
      </c>
      <c r="H279" s="84">
        <f t="shared" si="3"/>
        <v>1.3453177094504554E-3</v>
      </c>
      <c r="J279" s="83">
        <v>165.0016693345529</v>
      </c>
      <c r="K279" s="83">
        <v>166.53982048936655</v>
      </c>
      <c r="L279" s="83">
        <v>162.93415447061508</v>
      </c>
      <c r="M279" s="83">
        <v>163.76315801509259</v>
      </c>
      <c r="N279" s="83">
        <v>10704800.635796465</v>
      </c>
      <c r="O279" s="83" t="s">
        <v>1952</v>
      </c>
      <c r="P279" s="84">
        <f t="shared" si="4"/>
        <v>7.5628202000488365E-3</v>
      </c>
      <c r="R279" s="101"/>
    </row>
    <row r="280" spans="2:18" ht="15" customHeight="1">
      <c r="B280" s="83">
        <v>517.99</v>
      </c>
      <c r="C280" s="83">
        <v>520.85</v>
      </c>
      <c r="D280" s="83">
        <v>516.27</v>
      </c>
      <c r="E280" s="83">
        <v>517.08000000000004</v>
      </c>
      <c r="F280" s="83">
        <v>4793497</v>
      </c>
      <c r="G280" s="83" t="s">
        <v>1951</v>
      </c>
      <c r="H280" s="84">
        <f t="shared" si="3"/>
        <v>1.7598824166473737E-3</v>
      </c>
      <c r="J280" s="83">
        <v>165.85064886805395</v>
      </c>
      <c r="K280" s="83">
        <v>166.8993882917905</v>
      </c>
      <c r="L280" s="83">
        <v>164.27254573519318</v>
      </c>
      <c r="M280" s="83">
        <v>164.31749171049617</v>
      </c>
      <c r="N280" s="83">
        <v>15327744.705855422</v>
      </c>
      <c r="O280" s="83" t="s">
        <v>1951</v>
      </c>
      <c r="P280" s="84">
        <f t="shared" si="4"/>
        <v>9.3304561894054228E-3</v>
      </c>
      <c r="R280" s="101"/>
    </row>
    <row r="281" spans="2:18" ht="15" customHeight="1">
      <c r="B281" s="83">
        <v>520.71</v>
      </c>
      <c r="C281" s="83">
        <v>522.41</v>
      </c>
      <c r="D281" s="83">
        <v>516.89</v>
      </c>
      <c r="E281" s="83">
        <v>519.12</v>
      </c>
      <c r="F281" s="83">
        <v>6285390</v>
      </c>
      <c r="G281" s="83" t="s">
        <v>1950</v>
      </c>
      <c r="H281" s="84">
        <f t="shared" si="3"/>
        <v>3.0628756356911868E-3</v>
      </c>
      <c r="J281" s="83">
        <v>165.6109369997713</v>
      </c>
      <c r="K281" s="83">
        <v>166.49986851131942</v>
      </c>
      <c r="L281" s="83">
        <v>163.46351817973925</v>
      </c>
      <c r="M281" s="83">
        <v>164.75696346901438</v>
      </c>
      <c r="N281" s="83">
        <v>16865184.477362491</v>
      </c>
      <c r="O281" s="83" t="s">
        <v>1950</v>
      </c>
      <c r="P281" s="84">
        <f t="shared" si="4"/>
        <v>5.1832317904882963E-3</v>
      </c>
      <c r="R281" s="101"/>
    </row>
    <row r="282" spans="2:18" ht="15" customHeight="1">
      <c r="B282" s="83">
        <v>513.35</v>
      </c>
      <c r="C282" s="83">
        <v>518.44000000000005</v>
      </c>
      <c r="D282" s="83">
        <v>512.77</v>
      </c>
      <c r="E282" s="83">
        <v>515.13</v>
      </c>
      <c r="F282" s="83">
        <v>5784483</v>
      </c>
      <c r="G282" s="83" t="s">
        <v>1949</v>
      </c>
      <c r="H282" s="84">
        <f t="shared" si="3"/>
        <v>-3.4554384330168775E-3</v>
      </c>
      <c r="J282" s="83">
        <v>162.59456265721468</v>
      </c>
      <c r="K282" s="83">
        <v>163.74318202606901</v>
      </c>
      <c r="L282" s="83">
        <v>160.73679567802421</v>
      </c>
      <c r="M282" s="83">
        <v>162.32488680539672</v>
      </c>
      <c r="N282" s="83">
        <v>21930619.779749304</v>
      </c>
      <c r="O282" s="83" t="s">
        <v>1949</v>
      </c>
      <c r="P282" s="84">
        <f t="shared" si="4"/>
        <v>1.6613339896627277E-3</v>
      </c>
      <c r="R282" s="101"/>
    </row>
    <row r="283" spans="2:18" ht="15" customHeight="1">
      <c r="B283" s="83">
        <v>509.74</v>
      </c>
      <c r="C283" s="83">
        <v>511.5</v>
      </c>
      <c r="D283" s="83">
        <v>497.76</v>
      </c>
      <c r="E283" s="83">
        <v>503.26</v>
      </c>
      <c r="F283" s="83">
        <v>7873686</v>
      </c>
      <c r="G283" s="83" t="s">
        <v>1948</v>
      </c>
      <c r="H283" s="84">
        <f t="shared" si="3"/>
        <v>1.2876048165957998E-2</v>
      </c>
      <c r="J283" s="83">
        <v>160.69684369997708</v>
      </c>
      <c r="K283" s="83">
        <v>161.18026263434709</v>
      </c>
      <c r="L283" s="83">
        <v>156.96632774982845</v>
      </c>
      <c r="M283" s="83">
        <v>159.66808026526411</v>
      </c>
      <c r="N283" s="83">
        <v>20664328.535287052</v>
      </c>
      <c r="O283" s="83" t="s">
        <v>1948</v>
      </c>
      <c r="P283" s="84">
        <f t="shared" si="4"/>
        <v>6.4431377455271832E-3</v>
      </c>
    </row>
    <row r="284" spans="2:18" ht="15" customHeight="1">
      <c r="B284" s="83">
        <v>509.49</v>
      </c>
      <c r="C284" s="83">
        <v>510.54969999999997</v>
      </c>
      <c r="D284" s="83">
        <v>504.26</v>
      </c>
      <c r="E284" s="83">
        <v>504.54</v>
      </c>
      <c r="F284" s="83">
        <v>6525457</v>
      </c>
      <c r="G284" s="83" t="s">
        <v>1947</v>
      </c>
      <c r="H284" s="84">
        <f t="shared" si="3"/>
        <v>9.810916874777087E-3</v>
      </c>
      <c r="J284" s="83">
        <v>161.86543905785499</v>
      </c>
      <c r="K284" s="83">
        <v>162.48469471758514</v>
      </c>
      <c r="L284" s="83">
        <v>159.19864452321056</v>
      </c>
      <c r="M284" s="83">
        <v>161.8504570660873</v>
      </c>
      <c r="N284" s="83">
        <v>15974393.038749931</v>
      </c>
      <c r="O284" s="83" t="s">
        <v>1947</v>
      </c>
      <c r="P284" s="84">
        <f t="shared" si="4"/>
        <v>9.256687957059917E-5</v>
      </c>
      <c r="R284" s="101"/>
    </row>
    <row r="285" spans="2:18" ht="15" customHeight="1">
      <c r="B285" s="83">
        <v>506.42</v>
      </c>
      <c r="C285" s="83">
        <v>508.74</v>
      </c>
      <c r="D285" s="83">
        <v>500.96</v>
      </c>
      <c r="E285" s="83">
        <v>506.81</v>
      </c>
      <c r="F285" s="83">
        <v>4210016</v>
      </c>
      <c r="G285" s="83" t="s">
        <v>1946</v>
      </c>
      <c r="H285" s="84">
        <f t="shared" si="3"/>
        <v>-7.6951914918799158E-4</v>
      </c>
      <c r="J285" s="83">
        <v>162.22500686027894</v>
      </c>
      <c r="K285" s="83">
        <v>164.75196947175846</v>
      </c>
      <c r="L285" s="83">
        <v>160.1875558598216</v>
      </c>
      <c r="M285" s="83">
        <v>164.06279785044586</v>
      </c>
      <c r="N285" s="83">
        <v>20896239.956270397</v>
      </c>
      <c r="O285" s="83" t="s">
        <v>1946</v>
      </c>
      <c r="P285" s="84">
        <f t="shared" si="4"/>
        <v>-1.1201753317910623E-2</v>
      </c>
      <c r="R285" s="101"/>
    </row>
    <row r="286" spans="2:18" ht="15" customHeight="1">
      <c r="B286" s="83">
        <v>506.11</v>
      </c>
      <c r="C286" s="83">
        <v>506.52</v>
      </c>
      <c r="D286" s="83">
        <v>499.75</v>
      </c>
      <c r="E286" s="83">
        <v>502.44</v>
      </c>
      <c r="F286" s="83">
        <v>6933423</v>
      </c>
      <c r="G286" s="83" t="s">
        <v>1945</v>
      </c>
      <c r="H286" s="84">
        <f t="shared" si="3"/>
        <v>7.3043547488258476E-3</v>
      </c>
      <c r="J286" s="83">
        <v>163.65329007546302</v>
      </c>
      <c r="K286" s="83">
        <v>168.03801966613307</v>
      </c>
      <c r="L286" s="83">
        <v>162.804310541962</v>
      </c>
      <c r="M286" s="83">
        <v>166.8993882917905</v>
      </c>
      <c r="N286" s="83">
        <v>35190300.674031258</v>
      </c>
      <c r="O286" s="83" t="s">
        <v>1945</v>
      </c>
      <c r="P286" s="84">
        <f t="shared" si="4"/>
        <v>-1.944943147815692E-2</v>
      </c>
      <c r="R286" s="101"/>
    </row>
    <row r="287" spans="2:18" ht="15" customHeight="1">
      <c r="B287" s="83">
        <v>502.41</v>
      </c>
      <c r="C287" s="83">
        <v>503</v>
      </c>
      <c r="D287" s="83">
        <v>492.22309999999999</v>
      </c>
      <c r="E287" s="83">
        <v>493.26</v>
      </c>
      <c r="F287" s="83">
        <v>6184333</v>
      </c>
      <c r="G287" s="83" t="s">
        <v>1944</v>
      </c>
      <c r="H287" s="84">
        <f t="shared" si="3"/>
        <v>1.8550054737866528E-2</v>
      </c>
      <c r="J287" s="83">
        <v>161.27614738166014</v>
      </c>
      <c r="K287" s="83">
        <v>161.51585924994279</v>
      </c>
      <c r="L287" s="83">
        <v>157.9002052366796</v>
      </c>
      <c r="M287" s="83">
        <v>158.33468299794188</v>
      </c>
      <c r="N287" s="83">
        <v>30824487.301928919</v>
      </c>
      <c r="O287" s="83" t="s">
        <v>1944</v>
      </c>
      <c r="P287" s="84">
        <f t="shared" si="4"/>
        <v>1.8577511433527816E-2</v>
      </c>
      <c r="R287" s="101"/>
    </row>
    <row r="288" spans="2:18" ht="15" customHeight="1">
      <c r="B288" s="83">
        <v>492.07</v>
      </c>
      <c r="C288" s="83">
        <v>501.18</v>
      </c>
      <c r="D288" s="83">
        <v>490.7</v>
      </c>
      <c r="E288" s="83">
        <v>496.69</v>
      </c>
      <c r="F288" s="83">
        <v>8047601</v>
      </c>
      <c r="G288" s="83" t="s">
        <v>1943</v>
      </c>
      <c r="H288" s="84">
        <f t="shared" si="3"/>
        <v>-9.3015764360063757E-3</v>
      </c>
      <c r="J288" s="83">
        <v>157.53064943974385</v>
      </c>
      <c r="K288" s="83">
        <v>159.82788817745251</v>
      </c>
      <c r="L288" s="83">
        <v>156.16229419163042</v>
      </c>
      <c r="M288" s="83">
        <v>157.72042133546759</v>
      </c>
      <c r="N288" s="83">
        <v>18598062.882490989</v>
      </c>
      <c r="O288" s="83" t="s">
        <v>1943</v>
      </c>
      <c r="P288" s="84">
        <f t="shared" si="4"/>
        <v>-1.2032170223543748E-3</v>
      </c>
      <c r="R288" s="101"/>
    </row>
    <row r="289" spans="2:42" ht="15" customHeight="1">
      <c r="B289" s="83">
        <v>484.29</v>
      </c>
      <c r="C289" s="83">
        <v>486.48</v>
      </c>
      <c r="D289" s="83">
        <v>477.19</v>
      </c>
      <c r="E289" s="83">
        <v>478.07</v>
      </c>
      <c r="F289" s="83">
        <v>6236319</v>
      </c>
      <c r="G289" s="83" t="s">
        <v>1942</v>
      </c>
      <c r="H289" s="84">
        <f t="shared" si="3"/>
        <v>1.301064697638421E-2</v>
      </c>
      <c r="J289" s="83">
        <v>153.7152355362451</v>
      </c>
      <c r="K289" s="83">
        <v>154.42438314658128</v>
      </c>
      <c r="L289" s="83">
        <v>150.68887319917673</v>
      </c>
      <c r="M289" s="83">
        <v>150.88863308941225</v>
      </c>
      <c r="N289" s="83">
        <v>15929451.08373877</v>
      </c>
      <c r="O289" s="83" t="s">
        <v>1942</v>
      </c>
      <c r="P289" s="84">
        <f t="shared" si="4"/>
        <v>1.8733037664658836E-2</v>
      </c>
      <c r="R289" s="101"/>
    </row>
    <row r="290" spans="2:42" ht="15" customHeight="1">
      <c r="B290" s="83">
        <v>472.37</v>
      </c>
      <c r="C290" s="83">
        <v>479.49</v>
      </c>
      <c r="D290" s="83">
        <v>467.33</v>
      </c>
      <c r="E290" s="83">
        <v>479.02</v>
      </c>
      <c r="F290" s="83">
        <v>7762501</v>
      </c>
      <c r="G290" s="83" t="s">
        <v>1941</v>
      </c>
      <c r="H290" s="84">
        <f t="shared" si="3"/>
        <v>-1.388251012483821E-2</v>
      </c>
      <c r="J290" s="83">
        <v>149.68008575348728</v>
      </c>
      <c r="K290" s="83">
        <v>150.87864509490049</v>
      </c>
      <c r="L290" s="83">
        <v>148.22183855476786</v>
      </c>
      <c r="M290" s="83">
        <v>150.78375914703861</v>
      </c>
      <c r="N290" s="83">
        <v>16167189.500314811</v>
      </c>
      <c r="O290" s="83" t="s">
        <v>1941</v>
      </c>
      <c r="P290" s="84">
        <f t="shared" si="4"/>
        <v>-7.3195773854867197E-3</v>
      </c>
      <c r="R290" s="101"/>
    </row>
    <row r="291" spans="2:42" ht="15" customHeight="1">
      <c r="B291" s="83">
        <v>483.9</v>
      </c>
      <c r="C291" s="83">
        <v>488.16</v>
      </c>
      <c r="D291" s="83">
        <v>481.5</v>
      </c>
      <c r="E291" s="83">
        <v>484.79</v>
      </c>
      <c r="F291" s="83">
        <v>5638939</v>
      </c>
      <c r="G291" s="83" t="s">
        <v>1940</v>
      </c>
      <c r="H291" s="84">
        <f t="shared" si="3"/>
        <v>-1.8358464489780513E-3</v>
      </c>
      <c r="J291" s="83">
        <v>153.17588383260917</v>
      </c>
      <c r="K291" s="83">
        <v>156.88142979647836</v>
      </c>
      <c r="L291" s="83">
        <v>150.71883718271206</v>
      </c>
      <c r="M291" s="83">
        <v>156.42198204893663</v>
      </c>
      <c r="N291" s="83">
        <v>19536862.957815815</v>
      </c>
      <c r="O291" s="83" t="s">
        <v>1940</v>
      </c>
      <c r="P291" s="84">
        <f t="shared" si="4"/>
        <v>-2.0752186961241259E-2</v>
      </c>
      <c r="R291" s="101"/>
    </row>
    <row r="292" spans="2:42" ht="15" customHeight="1">
      <c r="B292" s="83">
        <v>483.23</v>
      </c>
      <c r="C292" s="83">
        <v>491.76499999999999</v>
      </c>
      <c r="D292" s="83">
        <v>478.23</v>
      </c>
      <c r="E292" s="83">
        <v>488.65</v>
      </c>
      <c r="F292" s="83">
        <v>6374869</v>
      </c>
      <c r="G292" s="83" t="s">
        <v>1939</v>
      </c>
      <c r="H292" s="84">
        <f t="shared" si="3"/>
        <v>-1.1091783485111972E-2</v>
      </c>
      <c r="J292" s="83">
        <v>155.3133146581294</v>
      </c>
      <c r="K292" s="83">
        <v>157.99009718728558</v>
      </c>
      <c r="L292" s="83">
        <v>153.72522353075686</v>
      </c>
      <c r="M292" s="83">
        <v>155.28335067459406</v>
      </c>
      <c r="N292" s="83">
        <v>16941836.501860231</v>
      </c>
      <c r="O292" s="83" t="s">
        <v>1939</v>
      </c>
      <c r="P292" s="84">
        <f t="shared" si="4"/>
        <v>1.9296327265716506E-4</v>
      </c>
      <c r="R292" s="101"/>
    </row>
    <row r="293" spans="2:42" ht="15" customHeight="1">
      <c r="B293" s="83">
        <v>494.09</v>
      </c>
      <c r="C293" s="83">
        <v>499.27</v>
      </c>
      <c r="D293" s="83">
        <v>493.42</v>
      </c>
      <c r="E293" s="83">
        <v>496.03</v>
      </c>
      <c r="F293" s="83">
        <v>8200583</v>
      </c>
      <c r="G293" s="83" t="s">
        <v>1938</v>
      </c>
      <c r="H293" s="84">
        <f t="shared" si="3"/>
        <v>-3.911053766909256E-3</v>
      </c>
      <c r="J293" s="83">
        <v>158.48949691287442</v>
      </c>
      <c r="K293" s="83">
        <v>161.85545106334322</v>
      </c>
      <c r="L293" s="83">
        <v>157.45573948090552</v>
      </c>
      <c r="M293" s="83">
        <v>161.37602732677792</v>
      </c>
      <c r="N293" s="83">
        <v>15709643.193635171</v>
      </c>
      <c r="O293" s="83" t="s">
        <v>1938</v>
      </c>
      <c r="P293" s="84">
        <f t="shared" si="4"/>
        <v>-1.7886983969796377E-2</v>
      </c>
      <c r="R293" s="101"/>
    </row>
    <row r="294" spans="2:42" ht="15" customHeight="1">
      <c r="B294" s="83">
        <v>495.48</v>
      </c>
      <c r="C294" s="83">
        <v>500.26</v>
      </c>
      <c r="D294" s="83">
        <v>490.69</v>
      </c>
      <c r="E294" s="83">
        <v>500.05</v>
      </c>
      <c r="F294" s="83">
        <v>7701488</v>
      </c>
      <c r="G294" s="83" t="s">
        <v>1937</v>
      </c>
      <c r="H294" s="84">
        <f t="shared" si="3"/>
        <v>-9.1390860913908023E-3</v>
      </c>
      <c r="J294" s="83">
        <v>161.27614738166014</v>
      </c>
      <c r="K294" s="83">
        <v>163.83307397667502</v>
      </c>
      <c r="L294" s="83">
        <v>159.72800823233473</v>
      </c>
      <c r="M294" s="83">
        <v>162.1151389206494</v>
      </c>
      <c r="N294" s="83">
        <v>18277874.480682276</v>
      </c>
      <c r="O294" s="83" t="s">
        <v>1937</v>
      </c>
      <c r="P294" s="84">
        <f t="shared" si="4"/>
        <v>-5.1752818680304014E-3</v>
      </c>
      <c r="R294" s="101"/>
    </row>
    <row r="295" spans="2:42" ht="15" customHeight="1">
      <c r="B295" s="83">
        <v>490.55</v>
      </c>
      <c r="C295" s="83">
        <v>493</v>
      </c>
      <c r="D295" s="83">
        <v>478</v>
      </c>
      <c r="E295" s="83">
        <v>480.69</v>
      </c>
      <c r="F295" s="83">
        <v>11541195</v>
      </c>
      <c r="G295" s="83" t="s">
        <v>1936</v>
      </c>
      <c r="H295" s="84">
        <f t="shared" si="3"/>
        <v>2.051218040733116E-2</v>
      </c>
      <c r="J295" s="83">
        <v>159.20863251772235</v>
      </c>
      <c r="K295" s="83">
        <v>159.66808026526411</v>
      </c>
      <c r="L295" s="83">
        <v>155.39821261147949</v>
      </c>
      <c r="M295" s="83">
        <v>155.39821261147949</v>
      </c>
      <c r="N295" s="83">
        <v>22609132.367237139</v>
      </c>
      <c r="O295" s="83" t="s">
        <v>1936</v>
      </c>
      <c r="P295" s="84">
        <f t="shared" si="4"/>
        <v>2.4520358646399121E-2</v>
      </c>
      <c r="R295" s="101"/>
    </row>
    <row r="296" spans="2:42" ht="15" customHeight="1">
      <c r="B296" s="83">
        <v>482.06</v>
      </c>
      <c r="C296" s="83">
        <v>490.3</v>
      </c>
      <c r="D296" s="83">
        <v>468.33</v>
      </c>
      <c r="E296" s="83">
        <v>489.15</v>
      </c>
      <c r="F296" s="83">
        <v>16651303</v>
      </c>
      <c r="G296" s="83" t="s">
        <v>1935</v>
      </c>
      <c r="H296" s="84">
        <f t="shared" si="3"/>
        <v>-1.4494531329857896E-2</v>
      </c>
      <c r="J296" s="83">
        <v>155.18347072947631</v>
      </c>
      <c r="K296" s="83">
        <v>159.8378761719643</v>
      </c>
      <c r="L296" s="83">
        <v>152.01727646924303</v>
      </c>
      <c r="M296" s="83">
        <v>158.56940086896861</v>
      </c>
      <c r="N296" s="83">
        <v>35312934.902409717</v>
      </c>
      <c r="O296" s="83" t="s">
        <v>1935</v>
      </c>
      <c r="P296" s="84">
        <f t="shared" si="4"/>
        <v>-2.1352985638699695E-2</v>
      </c>
      <c r="R296" s="101"/>
    </row>
    <row r="297" spans="2:42" ht="15" customHeight="1">
      <c r="B297" s="83">
        <v>499.1</v>
      </c>
      <c r="C297" s="83">
        <v>502.06119999999999</v>
      </c>
      <c r="D297" s="83">
        <v>453.16</v>
      </c>
      <c r="E297" s="83">
        <v>453.49</v>
      </c>
      <c r="F297" s="83">
        <v>29286594</v>
      </c>
      <c r="G297" s="83" t="s">
        <v>1934</v>
      </c>
      <c r="H297" s="84">
        <f t="shared" si="3"/>
        <v>0.10057553639551031</v>
      </c>
      <c r="J297" s="83">
        <v>160.8666396066773</v>
      </c>
      <c r="K297" s="83">
        <v>161.67566716213122</v>
      </c>
      <c r="L297" s="83">
        <v>145.63494797621766</v>
      </c>
      <c r="M297" s="83">
        <v>146.15432369083007</v>
      </c>
      <c r="N297" s="83">
        <v>46535410.031709701</v>
      </c>
      <c r="O297" s="83" t="s">
        <v>1934</v>
      </c>
      <c r="P297" s="84">
        <f t="shared" si="4"/>
        <v>0.10066288525934519</v>
      </c>
      <c r="R297" s="101"/>
    </row>
    <row r="298" spans="2:42" ht="15" customHeight="1">
      <c r="B298" s="83">
        <v>456.74</v>
      </c>
      <c r="C298" s="83">
        <v>482.49</v>
      </c>
      <c r="D298" s="83">
        <v>449.6</v>
      </c>
      <c r="E298" s="83">
        <v>479.68</v>
      </c>
      <c r="F298" s="83">
        <v>19002684</v>
      </c>
      <c r="G298" s="83" t="s">
        <v>1933</v>
      </c>
      <c r="H298" s="84">
        <f t="shared" si="3"/>
        <v>-4.7823549032688484E-2</v>
      </c>
      <c r="J298" s="83">
        <v>146.40402355362448</v>
      </c>
      <c r="K298" s="83">
        <v>154.25458723988106</v>
      </c>
      <c r="L298" s="83">
        <v>145.03566830551105</v>
      </c>
      <c r="M298" s="83">
        <v>153.39062571461236</v>
      </c>
      <c r="N298" s="83">
        <v>35346823.587430611</v>
      </c>
      <c r="O298" s="83" t="s">
        <v>1933</v>
      </c>
      <c r="P298" s="84">
        <f t="shared" si="4"/>
        <v>-4.5547777958652058E-2</v>
      </c>
      <c r="R298" s="101"/>
    </row>
    <row r="299" spans="2:42" ht="15" customHeight="1">
      <c r="B299" s="83">
        <v>463.56</v>
      </c>
      <c r="C299" s="83">
        <v>480.76</v>
      </c>
      <c r="D299" s="83">
        <v>442.8</v>
      </c>
      <c r="E299" s="83">
        <v>449.54</v>
      </c>
      <c r="F299" s="83">
        <v>31285267</v>
      </c>
      <c r="G299" s="83" t="s">
        <v>1932</v>
      </c>
      <c r="H299" s="84">
        <f t="shared" si="3"/>
        <v>3.1187436045735595E-2</v>
      </c>
      <c r="J299" s="83">
        <v>149.06083009375712</v>
      </c>
      <c r="K299" s="83">
        <v>154.74399897095813</v>
      </c>
      <c r="L299" s="83">
        <v>142.48872970500796</v>
      </c>
      <c r="M299" s="83">
        <v>143.21785330436765</v>
      </c>
      <c r="N299" s="83">
        <v>47880506.886154212</v>
      </c>
      <c r="O299" s="83" t="s">
        <v>1932</v>
      </c>
      <c r="P299" s="84">
        <f t="shared" si="4"/>
        <v>4.0797824116047376E-2</v>
      </c>
      <c r="R299" s="101"/>
    </row>
    <row r="300" spans="2:42" ht="15" customHeight="1">
      <c r="B300" s="83">
        <v>465.52</v>
      </c>
      <c r="C300" s="83">
        <v>483.3</v>
      </c>
      <c r="D300" s="83">
        <v>464.24</v>
      </c>
      <c r="E300" s="83">
        <v>481.28</v>
      </c>
      <c r="F300" s="83">
        <v>30966508</v>
      </c>
      <c r="G300" s="83" t="s">
        <v>1931</v>
      </c>
      <c r="H300" s="84">
        <f t="shared" si="3"/>
        <v>-3.2746010638297851E-2</v>
      </c>
      <c r="J300" s="83">
        <v>147.5626309169906</v>
      </c>
      <c r="K300" s="83">
        <v>152.90620798079118</v>
      </c>
      <c r="L300" s="83">
        <v>147.36287102675504</v>
      </c>
      <c r="M300" s="83">
        <v>149.72003773153438</v>
      </c>
      <c r="N300" s="83">
        <v>39880084.989067607</v>
      </c>
      <c r="O300" s="83" t="s">
        <v>1931</v>
      </c>
      <c r="P300" s="84">
        <f t="shared" si="4"/>
        <v>-1.440960640426947E-2</v>
      </c>
      <c r="R300" s="101"/>
      <c r="AO300" s="81" t="s">
        <v>2837</v>
      </c>
    </row>
    <row r="301" spans="2:42" ht="15" customHeight="1">
      <c r="B301" s="83">
        <v>494.16</v>
      </c>
      <c r="C301" s="83">
        <v>503.66</v>
      </c>
      <c r="D301" s="83">
        <v>493.5</v>
      </c>
      <c r="E301" s="83">
        <v>501</v>
      </c>
      <c r="F301" s="83">
        <v>16226023</v>
      </c>
      <c r="G301" s="83" t="s">
        <v>1930</v>
      </c>
      <c r="H301" s="84">
        <f t="shared" si="3"/>
        <v>-1.3652694610778449E-2</v>
      </c>
      <c r="J301" s="83">
        <v>152.44676023324945</v>
      </c>
      <c r="K301" s="83">
        <v>154.50149046421217</v>
      </c>
      <c r="L301" s="83">
        <v>151.99730048021951</v>
      </c>
      <c r="M301" s="83">
        <v>152.65151412074087</v>
      </c>
      <c r="N301" s="83">
        <v>28450220.879171204</v>
      </c>
      <c r="O301" s="83" t="s">
        <v>1930</v>
      </c>
      <c r="P301" s="84">
        <f t="shared" si="4"/>
        <v>-1.3413157980828316E-3</v>
      </c>
      <c r="R301" s="101"/>
      <c r="AP301" s="81" t="s">
        <v>3007</v>
      </c>
    </row>
    <row r="302" spans="2:42" ht="15" customHeight="1">
      <c r="B302" s="83">
        <v>518.91</v>
      </c>
      <c r="C302" s="83">
        <v>521.49</v>
      </c>
      <c r="D302" s="83">
        <v>509.9298</v>
      </c>
      <c r="E302" s="83">
        <v>510.14</v>
      </c>
      <c r="F302" s="83">
        <v>6308643</v>
      </c>
      <c r="G302" s="83" t="s">
        <v>1929</v>
      </c>
      <c r="H302" s="84">
        <f t="shared" si="3"/>
        <v>1.7191359234719927E-2</v>
      </c>
      <c r="J302" s="83">
        <v>158.66928081408642</v>
      </c>
      <c r="K302" s="83">
        <v>160.08258203750282</v>
      </c>
      <c r="L302" s="83">
        <v>156.3420780928424</v>
      </c>
      <c r="M302" s="83">
        <v>156.77156185684882</v>
      </c>
      <c r="N302" s="83">
        <v>17133891.07274913</v>
      </c>
      <c r="O302" s="83" t="s">
        <v>1929</v>
      </c>
      <c r="P302" s="84">
        <f t="shared" si="4"/>
        <v>1.2104994903160193E-2</v>
      </c>
      <c r="R302" s="101"/>
    </row>
    <row r="303" spans="2:42" ht="15" customHeight="1">
      <c r="B303" s="83">
        <v>515.79999999999995</v>
      </c>
      <c r="C303" s="83">
        <v>517.35</v>
      </c>
      <c r="D303" s="83">
        <v>508.88</v>
      </c>
      <c r="E303" s="83">
        <v>512.36</v>
      </c>
      <c r="F303" s="83">
        <v>7697017</v>
      </c>
      <c r="G303" s="83" t="s">
        <v>1928</v>
      </c>
      <c r="H303" s="84">
        <f t="shared" si="3"/>
        <v>6.7140291982199507E-3</v>
      </c>
      <c r="J303" s="83">
        <v>158.68925680310994</v>
      </c>
      <c r="K303" s="83">
        <v>159.88781614452319</v>
      </c>
      <c r="L303" s="83">
        <v>155.06860879259085</v>
      </c>
      <c r="M303" s="83">
        <v>155.11355476789387</v>
      </c>
      <c r="N303" s="83">
        <v>20135549.710491676</v>
      </c>
      <c r="O303" s="83" t="s">
        <v>1928</v>
      </c>
      <c r="P303" s="84">
        <f t="shared" si="4"/>
        <v>2.3052157115260652E-2</v>
      </c>
      <c r="R303" s="101"/>
    </row>
    <row r="304" spans="2:42" ht="15" customHeight="1">
      <c r="B304" s="83">
        <v>513.91</v>
      </c>
      <c r="C304" s="83">
        <v>515.33000000000004</v>
      </c>
      <c r="D304" s="83">
        <v>502.64</v>
      </c>
      <c r="E304" s="83">
        <v>505.31</v>
      </c>
      <c r="F304" s="83">
        <v>8196668</v>
      </c>
      <c r="G304" s="83" t="s">
        <v>1927</v>
      </c>
      <c r="H304" s="84">
        <f t="shared" ref="H304:H367" si="5">B304/E304-1</f>
        <v>1.7019255506520725E-2</v>
      </c>
      <c r="J304" s="83">
        <v>156.0424382574891</v>
      </c>
      <c r="K304" s="83">
        <v>156.94135776354901</v>
      </c>
      <c r="L304" s="83">
        <v>152.02726446375482</v>
      </c>
      <c r="M304" s="83">
        <v>154.6241430368168</v>
      </c>
      <c r="N304" s="83">
        <v>33631930.774884105</v>
      </c>
      <c r="O304" s="83" t="s">
        <v>1927</v>
      </c>
      <c r="P304" s="84">
        <f t="shared" ref="P304:P367" si="6">J304/M304-1</f>
        <v>9.172534074026073E-3</v>
      </c>
      <c r="R304" s="102"/>
    </row>
    <row r="305" spans="2:18" ht="15" customHeight="1">
      <c r="B305" s="83">
        <v>510.8</v>
      </c>
      <c r="C305" s="83">
        <v>520.46</v>
      </c>
      <c r="D305" s="83">
        <v>510.16</v>
      </c>
      <c r="E305" s="83">
        <v>519.76</v>
      </c>
      <c r="F305" s="83">
        <v>5831793</v>
      </c>
      <c r="G305" s="83" t="s">
        <v>1926</v>
      </c>
      <c r="H305" s="84">
        <f t="shared" si="5"/>
        <v>-1.7238725565645652E-2</v>
      </c>
      <c r="J305" s="83">
        <v>155.87264235078891</v>
      </c>
      <c r="K305" s="83">
        <v>163.61333809741592</v>
      </c>
      <c r="L305" s="83">
        <v>155.15290746627028</v>
      </c>
      <c r="M305" s="83">
        <v>162.16507889320829</v>
      </c>
      <c r="N305" s="83">
        <v>34908371.203937963</v>
      </c>
      <c r="O305" s="83" t="s">
        <v>1926</v>
      </c>
      <c r="P305" s="84">
        <f t="shared" si="6"/>
        <v>-3.8802660753880169E-2</v>
      </c>
      <c r="R305" s="102"/>
    </row>
    <row r="306" spans="2:18" ht="15" customHeight="1">
      <c r="B306" s="83">
        <v>521.21</v>
      </c>
      <c r="C306" s="83">
        <v>524.678</v>
      </c>
      <c r="D306" s="83">
        <v>519.23</v>
      </c>
      <c r="E306" s="83">
        <v>521.29</v>
      </c>
      <c r="F306" s="83">
        <v>5534928</v>
      </c>
      <c r="G306" s="83" t="s">
        <v>1925</v>
      </c>
      <c r="H306" s="84">
        <f t="shared" si="5"/>
        <v>-1.5346544150074415E-4</v>
      </c>
      <c r="J306" s="83">
        <v>163.88301394923391</v>
      </c>
      <c r="K306" s="83">
        <v>167.2389801051909</v>
      </c>
      <c r="L306" s="83">
        <v>163.65329007546302</v>
      </c>
      <c r="M306" s="83">
        <v>166.50985650583121</v>
      </c>
      <c r="N306" s="83">
        <v>21597102.375822797</v>
      </c>
      <c r="O306" s="83" t="s">
        <v>1925</v>
      </c>
      <c r="P306" s="84">
        <f t="shared" si="6"/>
        <v>-1.577589826645065E-2</v>
      </c>
      <c r="R306" s="102"/>
    </row>
    <row r="307" spans="2:18" ht="15" customHeight="1">
      <c r="B307" s="83">
        <v>522.64789999999982</v>
      </c>
      <c r="C307" s="83">
        <v>529.57388654806823</v>
      </c>
      <c r="D307" s="83">
        <v>521.2925990351979</v>
      </c>
      <c r="E307" s="83">
        <v>528.72682344506711</v>
      </c>
      <c r="F307" s="83">
        <v>4444984.1890879134</v>
      </c>
      <c r="G307" s="83" t="s">
        <v>1924</v>
      </c>
      <c r="H307" s="84">
        <f t="shared" si="5"/>
        <v>-1.1497285886610364E-2</v>
      </c>
      <c r="J307" s="83">
        <v>166.93934026983757</v>
      </c>
      <c r="K307" s="83">
        <v>171.73317811571002</v>
      </c>
      <c r="L307" s="83">
        <v>166.66027570317857</v>
      </c>
      <c r="M307" s="83">
        <v>171.09434598673676</v>
      </c>
      <c r="N307" s="83">
        <v>22581346.008356709</v>
      </c>
      <c r="O307" s="83" t="s">
        <v>1924</v>
      </c>
      <c r="P307" s="84">
        <f t="shared" si="6"/>
        <v>-2.4284880326912006E-2</v>
      </c>
      <c r="R307" s="102"/>
    </row>
    <row r="308" spans="2:18" ht="15" customHeight="1">
      <c r="B308" s="83">
        <v>528.81651247950253</v>
      </c>
      <c r="C308" s="83">
        <v>529.76323006520977</v>
      </c>
      <c r="D308" s="83">
        <v>527.28183344582988</v>
      </c>
      <c r="E308" s="83">
        <v>528.75671978987896</v>
      </c>
      <c r="F308" s="83">
        <v>6281904.064935497</v>
      </c>
      <c r="G308" s="83" t="s">
        <v>1923</v>
      </c>
      <c r="H308" s="84">
        <f t="shared" si="5"/>
        <v>1.1308166380818996E-4</v>
      </c>
      <c r="J308" s="83">
        <v>172.58255716899149</v>
      </c>
      <c r="K308" s="83">
        <v>172.70241310313281</v>
      </c>
      <c r="L308" s="83">
        <v>170.34524639835351</v>
      </c>
      <c r="M308" s="83">
        <v>170.97449005259543</v>
      </c>
      <c r="N308" s="83">
        <v>13858229.48108294</v>
      </c>
      <c r="O308" s="83" t="s">
        <v>1923</v>
      </c>
      <c r="P308" s="84">
        <f t="shared" si="6"/>
        <v>9.4053043579855888E-3</v>
      </c>
      <c r="R308" s="102"/>
    </row>
    <row r="309" spans="2:18" ht="15" customHeight="1">
      <c r="B309" s="83">
        <v>527.56086599740661</v>
      </c>
      <c r="C309" s="83">
        <v>528.55741082446684</v>
      </c>
      <c r="D309" s="83">
        <v>524.06299365442533</v>
      </c>
      <c r="E309" s="83">
        <v>524.66092055066144</v>
      </c>
      <c r="F309" s="83">
        <v>22453848.931221198</v>
      </c>
      <c r="G309" s="83" t="s">
        <v>1922</v>
      </c>
      <c r="H309" s="84">
        <f t="shared" si="5"/>
        <v>5.5272754900470566E-3</v>
      </c>
      <c r="J309" s="83">
        <v>169.72599073862332</v>
      </c>
      <c r="K309" s="83">
        <v>170.29530642579462</v>
      </c>
      <c r="L309" s="83">
        <v>167.2389801051909</v>
      </c>
      <c r="M309" s="83">
        <v>169.06178910359017</v>
      </c>
      <c r="N309" s="83">
        <v>18765376.750958737</v>
      </c>
      <c r="O309" s="83" t="s">
        <v>1922</v>
      </c>
      <c r="P309" s="84">
        <f t="shared" si="6"/>
        <v>3.9287507754113271E-3</v>
      </c>
      <c r="R309" s="102"/>
    </row>
    <row r="310" spans="2:18" ht="15" customHeight="1">
      <c r="B310" s="83">
        <v>518.46241172634689</v>
      </c>
      <c r="C310" s="83">
        <v>519.15002765701854</v>
      </c>
      <c r="D310" s="83">
        <v>512.87677797067442</v>
      </c>
      <c r="E310" s="83">
        <v>514.00785634938768</v>
      </c>
      <c r="F310" s="83">
        <v>5076551.3628965141</v>
      </c>
      <c r="G310" s="83" t="s">
        <v>1921</v>
      </c>
      <c r="H310" s="84">
        <f t="shared" si="5"/>
        <v>8.666317687431091E-3</v>
      </c>
      <c r="J310" s="83">
        <v>166.05040875828945</v>
      </c>
      <c r="K310" s="83">
        <v>166.27014463754855</v>
      </c>
      <c r="L310" s="83">
        <v>162.83427452549734</v>
      </c>
      <c r="M310" s="83">
        <v>163.18385433340953</v>
      </c>
      <c r="N310" s="83">
        <v>29917981.998053923</v>
      </c>
      <c r="O310" s="83" t="s">
        <v>1921</v>
      </c>
      <c r="P310" s="84">
        <f t="shared" si="6"/>
        <v>1.7566409597257859E-2</v>
      </c>
      <c r="R310" s="102"/>
    </row>
    <row r="311" spans="2:18" ht="15" customHeight="1">
      <c r="B311" s="83">
        <v>518.33286089882904</v>
      </c>
      <c r="C311" s="83">
        <v>522.80236444819411</v>
      </c>
      <c r="D311" s="83">
        <v>515.53256993478999</v>
      </c>
      <c r="E311" s="83">
        <v>516.17035862410842</v>
      </c>
      <c r="F311" s="83">
        <v>6050643.0180241829</v>
      </c>
      <c r="G311" s="83" t="s">
        <v>1920</v>
      </c>
      <c r="H311" s="84">
        <f t="shared" si="5"/>
        <v>4.1895127036835067E-3</v>
      </c>
      <c r="J311" s="83">
        <v>164.85184941687626</v>
      </c>
      <c r="K311" s="83">
        <v>166.82947233020806</v>
      </c>
      <c r="L311" s="83">
        <v>162.94414246512687</v>
      </c>
      <c r="M311" s="83">
        <v>163.62832008918357</v>
      </c>
      <c r="N311" s="83">
        <v>20005529.61501918</v>
      </c>
      <c r="O311" s="83" t="s">
        <v>1920</v>
      </c>
      <c r="P311" s="84">
        <f t="shared" si="6"/>
        <v>7.4774912253932069E-3</v>
      </c>
      <c r="R311" s="102"/>
    </row>
    <row r="312" spans="2:18" ht="15" customHeight="1">
      <c r="B312" s="83">
        <v>519.52871469130139</v>
      </c>
      <c r="C312" s="83">
        <v>523.14617241352994</v>
      </c>
      <c r="D312" s="83">
        <v>514.63478270009125</v>
      </c>
      <c r="E312" s="83">
        <v>515.75180979674315</v>
      </c>
      <c r="F312" s="83">
        <v>5392581.3009867659</v>
      </c>
      <c r="G312" s="83" t="s">
        <v>1919</v>
      </c>
      <c r="H312" s="84">
        <f t="shared" si="5"/>
        <v>7.3231054604474544E-3</v>
      </c>
      <c r="J312" s="83">
        <v>166.08037274182479</v>
      </c>
      <c r="K312" s="83">
        <v>167.9315476446375</v>
      </c>
      <c r="L312" s="83">
        <v>162.85425051452088</v>
      </c>
      <c r="M312" s="83">
        <v>163.71821203978956</v>
      </c>
      <c r="N312" s="83">
        <v>24985713.569000062</v>
      </c>
      <c r="O312" s="83" t="s">
        <v>1919</v>
      </c>
      <c r="P312" s="84">
        <f t="shared" si="6"/>
        <v>1.4428209742854525E-2</v>
      </c>
      <c r="R312" s="102"/>
    </row>
    <row r="313" spans="2:18" ht="15" customHeight="1">
      <c r="B313" s="83">
        <v>514.12744172863495</v>
      </c>
      <c r="C313" s="83">
        <v>517.72496855432234</v>
      </c>
      <c r="D313" s="83">
        <v>512.29459648270586</v>
      </c>
      <c r="E313" s="83">
        <v>517.52565958891034</v>
      </c>
      <c r="F313" s="83">
        <v>6031437.6601914996</v>
      </c>
      <c r="G313" s="83" t="s">
        <v>1918</v>
      </c>
      <c r="H313" s="84">
        <f t="shared" si="5"/>
        <v>-6.5662789802050092E-3</v>
      </c>
      <c r="J313" s="83">
        <v>162.47470672307335</v>
      </c>
      <c r="K313" s="83">
        <v>166.24018065401322</v>
      </c>
      <c r="L313" s="83">
        <v>158.60935284701574</v>
      </c>
      <c r="M313" s="83">
        <v>165.76075691744794</v>
      </c>
      <c r="N313" s="83">
        <v>24646373.174288828</v>
      </c>
      <c r="O313" s="83" t="s">
        <v>1918</v>
      </c>
      <c r="P313" s="84">
        <f t="shared" si="6"/>
        <v>-1.9824053988913071E-2</v>
      </c>
      <c r="R313" s="102"/>
    </row>
    <row r="314" spans="2:18" ht="15" customHeight="1">
      <c r="B314" s="83">
        <v>519.60843827746612</v>
      </c>
      <c r="C314" s="83">
        <v>522.03004220722255</v>
      </c>
      <c r="D314" s="83">
        <v>515.29339917629545</v>
      </c>
      <c r="E314" s="83">
        <v>515.66212076230772</v>
      </c>
      <c r="F314" s="83">
        <v>6291581.5021547033</v>
      </c>
      <c r="G314" s="83" t="s">
        <v>1917</v>
      </c>
      <c r="H314" s="84">
        <f t="shared" si="5"/>
        <v>7.6529133249587655E-3</v>
      </c>
      <c r="J314" s="83">
        <v>166.3700245826663</v>
      </c>
      <c r="K314" s="83">
        <v>168.25775554539214</v>
      </c>
      <c r="L314" s="83">
        <v>165.6109369997713</v>
      </c>
      <c r="M314" s="83">
        <v>167.12411816830547</v>
      </c>
      <c r="N314" s="83">
        <v>17860581.50008586</v>
      </c>
      <c r="O314" s="83" t="s">
        <v>1917</v>
      </c>
      <c r="P314" s="84">
        <f t="shared" si="6"/>
        <v>-4.5121769012401725E-3</v>
      </c>
      <c r="R314" s="102"/>
    </row>
    <row r="315" spans="2:18" ht="15" customHeight="1">
      <c r="B315" s="83">
        <v>515.6720862105783</v>
      </c>
      <c r="C315" s="83">
        <v>516.62876924455611</v>
      </c>
      <c r="D315" s="83">
        <v>509.07495945543968</v>
      </c>
      <c r="E315" s="83">
        <v>509.51343917934616</v>
      </c>
      <c r="F315" s="83">
        <v>7437960.4396382375</v>
      </c>
      <c r="G315" s="83" t="s">
        <v>1916</v>
      </c>
      <c r="H315" s="84">
        <f t="shared" si="5"/>
        <v>1.2087310280081365E-2</v>
      </c>
      <c r="J315" s="83">
        <v>167.41876400640288</v>
      </c>
      <c r="K315" s="83">
        <v>168.04800766064483</v>
      </c>
      <c r="L315" s="83">
        <v>164.31249771324028</v>
      </c>
      <c r="M315" s="83">
        <v>165.11653127143833</v>
      </c>
      <c r="N315" s="83">
        <v>18633464.383721601</v>
      </c>
      <c r="O315" s="83" t="s">
        <v>1916</v>
      </c>
      <c r="P315" s="84">
        <f t="shared" si="6"/>
        <v>1.3943078365544537E-2</v>
      </c>
      <c r="R315" s="102"/>
    </row>
    <row r="316" spans="2:18" ht="15" customHeight="1">
      <c r="B316" s="83">
        <v>505.2980545608815</v>
      </c>
      <c r="C316" s="83">
        <v>512.28383379857348</v>
      </c>
      <c r="D316" s="83">
        <v>503.67368649277336</v>
      </c>
      <c r="E316" s="83">
        <v>511.73573414369048</v>
      </c>
      <c r="F316" s="83">
        <v>21725060.842337649</v>
      </c>
      <c r="G316" s="83" t="s">
        <v>1915</v>
      </c>
      <c r="H316" s="84">
        <f t="shared" si="5"/>
        <v>-1.2580086074273189E-2</v>
      </c>
      <c r="J316" s="83">
        <v>164.53223359249938</v>
      </c>
      <c r="K316" s="83">
        <v>167.91816373199174</v>
      </c>
      <c r="L316" s="83">
        <v>163.87302595472212</v>
      </c>
      <c r="M316" s="83">
        <v>167.77833180882683</v>
      </c>
      <c r="N316" s="83">
        <v>15224442.686738027</v>
      </c>
      <c r="O316" s="83" t="s">
        <v>1915</v>
      </c>
      <c r="P316" s="84">
        <f t="shared" si="6"/>
        <v>-1.9347541373972987E-2</v>
      </c>
      <c r="R316" s="102"/>
    </row>
    <row r="317" spans="2:18" ht="15" customHeight="1">
      <c r="B317" s="83">
        <v>511.98487035045554</v>
      </c>
      <c r="C317" s="83">
        <v>515.95111876215515</v>
      </c>
      <c r="D317" s="83">
        <v>507.34097145635496</v>
      </c>
      <c r="E317" s="83">
        <v>515.10405565915403</v>
      </c>
      <c r="F317" s="83">
        <v>8620339.7646867074</v>
      </c>
      <c r="G317" s="83" t="s">
        <v>1914</v>
      </c>
      <c r="H317" s="84">
        <f t="shared" si="5"/>
        <v>-6.0554470003288952E-3</v>
      </c>
      <c r="J317" s="83">
        <v>168.79710724902807</v>
      </c>
      <c r="K317" s="83">
        <v>169.32647095815227</v>
      </c>
      <c r="L317" s="83">
        <v>165.28133318088263</v>
      </c>
      <c r="M317" s="83">
        <v>168.2677435399039</v>
      </c>
      <c r="N317" s="83">
        <v>19903957.672943741</v>
      </c>
      <c r="O317" s="83" t="s">
        <v>1914</v>
      </c>
      <c r="P317" s="84">
        <f t="shared" si="6"/>
        <v>3.1459607051700367E-3</v>
      </c>
      <c r="R317" s="102"/>
    </row>
    <row r="318" spans="2:18" ht="15" customHeight="1">
      <c r="B318" s="83">
        <v>509.51343917934616</v>
      </c>
      <c r="C318" s="83">
        <v>515.74174469398986</v>
      </c>
      <c r="D318" s="83">
        <v>505.77639607787034</v>
      </c>
      <c r="E318" s="83">
        <v>512.55290090187987</v>
      </c>
      <c r="F318" s="83">
        <v>11247777.014774196</v>
      </c>
      <c r="G318" s="83" t="s">
        <v>1913</v>
      </c>
      <c r="H318" s="84">
        <f t="shared" si="5"/>
        <v>-5.9300449127992483E-3</v>
      </c>
      <c r="J318" s="83">
        <v>165.78073290647148</v>
      </c>
      <c r="K318" s="83">
        <v>168.45252143837178</v>
      </c>
      <c r="L318" s="83">
        <v>163.04402241024465</v>
      </c>
      <c r="M318" s="83">
        <v>166.47989252229587</v>
      </c>
      <c r="N318" s="83">
        <v>23734393.297922276</v>
      </c>
      <c r="O318" s="83" t="s">
        <v>1913</v>
      </c>
      <c r="P318" s="84">
        <f t="shared" si="6"/>
        <v>-4.1996640268778807E-3</v>
      </c>
      <c r="R318" s="102"/>
    </row>
    <row r="319" spans="2:18" ht="15" customHeight="1">
      <c r="B319" s="83">
        <v>513.72882379781095</v>
      </c>
      <c r="C319" s="83">
        <v>521.89052593143413</v>
      </c>
      <c r="D319" s="83">
        <v>509.0649940071691</v>
      </c>
      <c r="E319" s="83">
        <v>520.09674524272566</v>
      </c>
      <c r="F319" s="83">
        <v>11215642.986148039</v>
      </c>
      <c r="G319" s="83" t="s">
        <v>1912</v>
      </c>
      <c r="H319" s="84">
        <f t="shared" si="5"/>
        <v>-1.2243724851504045E-2</v>
      </c>
      <c r="J319" s="83">
        <v>167.60853590212665</v>
      </c>
      <c r="K319" s="83">
        <v>170.2453664532357</v>
      </c>
      <c r="L319" s="83">
        <v>165.36623113423275</v>
      </c>
      <c r="M319" s="83">
        <v>169.95571461239419</v>
      </c>
      <c r="N319" s="83">
        <v>29025570.614618517</v>
      </c>
      <c r="O319" s="83" t="s">
        <v>1912</v>
      </c>
      <c r="P319" s="84">
        <f t="shared" si="6"/>
        <v>-1.3810531264692005E-2</v>
      </c>
      <c r="R319" s="102"/>
    </row>
    <row r="320" spans="2:18" ht="15" customHeight="1">
      <c r="B320" s="83">
        <v>527.68045137665388</v>
      </c>
      <c r="C320" s="83">
        <v>529.04571778972638</v>
      </c>
      <c r="D320" s="83">
        <v>518.33286089882904</v>
      </c>
      <c r="E320" s="83">
        <v>523.08637972390625</v>
      </c>
      <c r="F320" s="83">
        <v>7333618.9216487836</v>
      </c>
      <c r="G320" s="83" t="s">
        <v>1911</v>
      </c>
      <c r="H320" s="84">
        <f t="shared" si="5"/>
        <v>8.782625261954724E-3</v>
      </c>
      <c r="J320" s="83">
        <v>175.33924365424181</v>
      </c>
      <c r="K320" s="83">
        <v>176.48655591712873</v>
      </c>
      <c r="L320" s="83">
        <v>171.84742372371636</v>
      </c>
      <c r="M320" s="83">
        <v>172.837105258311</v>
      </c>
      <c r="N320" s="83">
        <v>16433695.219605742</v>
      </c>
      <c r="O320" s="83" t="s">
        <v>1911</v>
      </c>
      <c r="P320" s="84">
        <f t="shared" si="6"/>
        <v>1.4476858960298378E-2</v>
      </c>
      <c r="R320" s="102"/>
    </row>
    <row r="321" spans="2:18" ht="15" customHeight="1">
      <c r="B321" s="83">
        <v>524.85026406780287</v>
      </c>
      <c r="C321" s="83">
        <v>531.58690709872985</v>
      </c>
      <c r="D321" s="83">
        <v>522.4087292415054</v>
      </c>
      <c r="E321" s="83">
        <v>527.36155703199472</v>
      </c>
      <c r="F321" s="83">
        <v>7253989.7892252151</v>
      </c>
      <c r="G321" s="83" t="s">
        <v>1910</v>
      </c>
      <c r="H321" s="84">
        <f t="shared" si="5"/>
        <v>-4.7619947466885915E-3</v>
      </c>
      <c r="J321" s="83">
        <v>173.80284288481062</v>
      </c>
      <c r="K321" s="83">
        <v>176.31695323478891</v>
      </c>
      <c r="L321" s="83">
        <v>172.10482073573795</v>
      </c>
      <c r="M321" s="83">
        <v>172.14672257490426</v>
      </c>
      <c r="N321" s="83">
        <v>19127107.161551092</v>
      </c>
      <c r="O321" s="83" t="s">
        <v>1910</v>
      </c>
      <c r="P321" s="84">
        <f t="shared" si="6"/>
        <v>9.6203998840915794E-3</v>
      </c>
      <c r="R321" s="102"/>
    </row>
    <row r="322" spans="2:18" ht="15" customHeight="1">
      <c r="B322" s="83">
        <v>534.54664523509871</v>
      </c>
      <c r="C322" s="83">
        <v>535.93194219919519</v>
      </c>
      <c r="D322" s="83">
        <v>525.10936572283845</v>
      </c>
      <c r="E322" s="83">
        <v>528.41789454867842</v>
      </c>
      <c r="F322" s="83">
        <v>6243316.7390512833</v>
      </c>
      <c r="G322" s="83" t="s">
        <v>1909</v>
      </c>
      <c r="H322" s="84">
        <f t="shared" si="5"/>
        <v>1.1598302687411577E-2</v>
      </c>
      <c r="J322" s="83">
        <v>174.58101989789915</v>
      </c>
      <c r="K322" s="83">
        <v>175.33924365424181</v>
      </c>
      <c r="L322" s="83">
        <v>170.53050877848963</v>
      </c>
      <c r="M322" s="83">
        <v>171.91726012232687</v>
      </c>
      <c r="N322" s="83">
        <v>18892190.122207493</v>
      </c>
      <c r="O322" s="83" t="s">
        <v>1909</v>
      </c>
      <c r="P322" s="84">
        <f t="shared" si="6"/>
        <v>1.5494428969359486E-2</v>
      </c>
      <c r="R322" s="102"/>
    </row>
    <row r="323" spans="2:18" ht="15" customHeight="1">
      <c r="B323" s="83">
        <v>528.61720351409053</v>
      </c>
      <c r="C323" s="83">
        <v>536.42004985548931</v>
      </c>
      <c r="D323" s="83">
        <v>524.34202620600217</v>
      </c>
      <c r="E323" s="83">
        <v>531.21818551271758</v>
      </c>
      <c r="F323" s="83">
        <v>10513761.865493005</v>
      </c>
      <c r="G323" s="83" t="s">
        <v>1908</v>
      </c>
      <c r="H323" s="84">
        <f t="shared" si="5"/>
        <v>-4.8962593329079374E-3</v>
      </c>
      <c r="J323" s="83">
        <v>172.20658234514184</v>
      </c>
      <c r="K323" s="83">
        <v>174.75561089442539</v>
      </c>
      <c r="L323" s="83">
        <v>167.14843176006639</v>
      </c>
      <c r="M323" s="83">
        <v>167.5474968949836</v>
      </c>
      <c r="N323" s="83">
        <v>30783353.706279222</v>
      </c>
      <c r="O323" s="83" t="s">
        <v>1908</v>
      </c>
      <c r="P323" s="84">
        <f t="shared" si="6"/>
        <v>2.7807550315589014E-2</v>
      </c>
      <c r="R323" s="102"/>
    </row>
    <row r="324" spans="2:18" ht="15" customHeight="1">
      <c r="B324" s="83">
        <v>535.06484854517009</v>
      </c>
      <c r="C324" s="83">
        <v>547.39210805590494</v>
      </c>
      <c r="D324" s="83">
        <v>531.40852557468611</v>
      </c>
      <c r="E324" s="83">
        <v>546.3058741944094</v>
      </c>
      <c r="F324" s="83">
        <v>7315273.535165838</v>
      </c>
      <c r="G324" s="83" t="s">
        <v>1907</v>
      </c>
      <c r="H324" s="84">
        <f t="shared" si="5"/>
        <v>-2.0576431959139163E-2</v>
      </c>
      <c r="J324" s="83">
        <v>168.26581413783455</v>
      </c>
      <c r="K324" s="83">
        <v>174.59099652627205</v>
      </c>
      <c r="L324" s="83">
        <v>167.2481980437957</v>
      </c>
      <c r="M324" s="83">
        <v>173.32396472290998</v>
      </c>
      <c r="N324" s="83">
        <v>24178500.088718954</v>
      </c>
      <c r="O324" s="83" t="s">
        <v>1907</v>
      </c>
      <c r="P324" s="84">
        <f t="shared" si="6"/>
        <v>-2.9183215334139145E-2</v>
      </c>
      <c r="R324" s="102"/>
    </row>
    <row r="325" spans="2:18" ht="15" customHeight="1">
      <c r="B325" s="83">
        <v>544.44233536780678</v>
      </c>
      <c r="C325" s="83">
        <v>545.00040047096036</v>
      </c>
      <c r="D325" s="83">
        <v>533.72947847690943</v>
      </c>
      <c r="E325" s="83">
        <v>536.55966578576033</v>
      </c>
      <c r="F325" s="83">
        <v>7353458.470721879</v>
      </c>
      <c r="G325" s="83" t="s">
        <v>1906</v>
      </c>
      <c r="H325" s="84">
        <f t="shared" si="5"/>
        <v>1.4691133315998917E-2</v>
      </c>
      <c r="J325" s="83">
        <v>171.81749383859756</v>
      </c>
      <c r="K325" s="83">
        <v>172.09683943303961</v>
      </c>
      <c r="L325" s="83">
        <v>167.99644517176543</v>
      </c>
      <c r="M325" s="83">
        <v>169.90198119099506</v>
      </c>
      <c r="N325" s="83">
        <v>30120207.826459598</v>
      </c>
      <c r="O325" s="83" t="s">
        <v>1906</v>
      </c>
      <c r="P325" s="84">
        <f t="shared" si="6"/>
        <v>1.1274221961244724E-2</v>
      </c>
      <c r="R325" s="102"/>
    </row>
    <row r="326" spans="2:18" ht="15" customHeight="1">
      <c r="B326" s="83">
        <v>536.11122061358333</v>
      </c>
      <c r="C326" s="83">
        <v>547.98006950387048</v>
      </c>
      <c r="D326" s="83">
        <v>535.74249902757106</v>
      </c>
      <c r="E326" s="83">
        <v>546.93369743545725</v>
      </c>
      <c r="F326" s="83">
        <v>5540494.3662071563</v>
      </c>
      <c r="G326" s="83" t="s">
        <v>1905</v>
      </c>
      <c r="H326" s="84">
        <f t="shared" si="5"/>
        <v>-1.9787548056775295E-2</v>
      </c>
      <c r="J326" s="83">
        <v>169.81219153563868</v>
      </c>
      <c r="K326" s="83">
        <v>176.1772804375679</v>
      </c>
      <c r="L326" s="83">
        <v>169.3552619561585</v>
      </c>
      <c r="M326" s="83">
        <v>175.52879959332748</v>
      </c>
      <c r="N326" s="83">
        <v>25991275.840602443</v>
      </c>
      <c r="O326" s="83" t="s">
        <v>1905</v>
      </c>
      <c r="P326" s="84">
        <f t="shared" si="6"/>
        <v>-3.2567920882118906E-2</v>
      </c>
      <c r="R326" s="102"/>
    </row>
    <row r="327" spans="2:18" ht="15" customHeight="1">
      <c r="B327" s="83">
        <v>544.86088419517193</v>
      </c>
      <c r="C327" s="83">
        <v>549.4400076755137</v>
      </c>
      <c r="D327" s="83">
        <v>542.36952212752146</v>
      </c>
      <c r="E327" s="83">
        <v>546.11653067726786</v>
      </c>
      <c r="F327" s="83">
        <v>4195298.4817886017</v>
      </c>
      <c r="G327" s="83" t="s">
        <v>1904</v>
      </c>
      <c r="H327" s="84">
        <f t="shared" si="5"/>
        <v>-2.2992281162753647E-3</v>
      </c>
      <c r="J327" s="83">
        <v>174.29169767508415</v>
      </c>
      <c r="K327" s="83">
        <v>177.66379806513447</v>
      </c>
      <c r="L327" s="83">
        <v>173.18429192568897</v>
      </c>
      <c r="M327" s="83">
        <v>176.5314507448069</v>
      </c>
      <c r="N327" s="83">
        <v>23748755.706174523</v>
      </c>
      <c r="O327" s="83" t="s">
        <v>1904</v>
      </c>
      <c r="P327" s="84">
        <f t="shared" si="6"/>
        <v>-1.2687558280821798E-2</v>
      </c>
      <c r="R327" s="102"/>
    </row>
    <row r="328" spans="2:18" ht="15" customHeight="1">
      <c r="B328" s="83">
        <v>544.52205895397151</v>
      </c>
      <c r="C328" s="83">
        <v>547.87044957289379</v>
      </c>
      <c r="D328" s="83">
        <v>540.2951144155129</v>
      </c>
      <c r="E328" s="83">
        <v>547.28248812492825</v>
      </c>
      <c r="F328" s="83">
        <v>5510533.8474334273</v>
      </c>
      <c r="G328" s="83" t="s">
        <v>1903</v>
      </c>
      <c r="H328" s="84">
        <f t="shared" si="5"/>
        <v>-5.0438836082886684E-3</v>
      </c>
      <c r="J328" s="83">
        <v>176.95545745065644</v>
      </c>
      <c r="K328" s="83">
        <v>180.33753446907963</v>
      </c>
      <c r="L328" s="83">
        <v>176.35685974828064</v>
      </c>
      <c r="M328" s="83">
        <v>179.73394845251738</v>
      </c>
      <c r="N328" s="83">
        <v>20881287.967512149</v>
      </c>
      <c r="O328" s="83" t="s">
        <v>1903</v>
      </c>
      <c r="P328" s="84">
        <f t="shared" si="6"/>
        <v>-1.5458910382725843E-2</v>
      </c>
      <c r="R328" s="102"/>
    </row>
    <row r="329" spans="2:18" ht="15" customHeight="1">
      <c r="B329" s="83">
        <v>547.24262633184594</v>
      </c>
      <c r="C329" s="83">
        <v>552.59407205315927</v>
      </c>
      <c r="D329" s="83">
        <v>546.61809168872719</v>
      </c>
      <c r="E329" s="83">
        <v>551.69718170880503</v>
      </c>
      <c r="F329" s="83">
        <v>4788801.1360994671</v>
      </c>
      <c r="G329" s="83" t="s">
        <v>1902</v>
      </c>
      <c r="H329" s="84">
        <f t="shared" si="5"/>
        <v>-8.0742761149544817E-3</v>
      </c>
      <c r="J329" s="83">
        <v>180.76652948911564</v>
      </c>
      <c r="K329" s="83">
        <v>184.65741455455827</v>
      </c>
      <c r="L329" s="83">
        <v>180.45725400955479</v>
      </c>
      <c r="M329" s="83">
        <v>183.37042949445032</v>
      </c>
      <c r="N329" s="83">
        <v>18777901.009956524</v>
      </c>
      <c r="O329" s="83" t="s">
        <v>1902</v>
      </c>
      <c r="P329" s="84">
        <f t="shared" si="6"/>
        <v>-1.4200217627856282E-2</v>
      </c>
      <c r="R329" s="102"/>
    </row>
    <row r="330" spans="2:18" ht="15" customHeight="1">
      <c r="B330" s="83">
        <v>549.8436083304731</v>
      </c>
      <c r="C330" s="83">
        <v>559.2609569461921</v>
      </c>
      <c r="D330" s="83">
        <v>549.36028408934885</v>
      </c>
      <c r="E330" s="83">
        <v>559.16130246348609</v>
      </c>
      <c r="F330" s="83">
        <v>6170012.4600902461</v>
      </c>
      <c r="G330" s="83" t="s">
        <v>1901</v>
      </c>
      <c r="H330" s="84">
        <f t="shared" si="5"/>
        <v>-1.6663696310817988E-2</v>
      </c>
      <c r="J330" s="83">
        <v>181.1556179956599</v>
      </c>
      <c r="K330" s="83">
        <v>187.03185210731556</v>
      </c>
      <c r="L330" s="83">
        <v>180.70666971887803</v>
      </c>
      <c r="M330" s="83">
        <v>186.85227279660282</v>
      </c>
      <c r="N330" s="83">
        <v>19566512.122438956</v>
      </c>
      <c r="O330" s="83" t="s">
        <v>1901</v>
      </c>
      <c r="P330" s="84">
        <f t="shared" si="6"/>
        <v>-3.0487479310160603E-2</v>
      </c>
      <c r="R330" s="102"/>
    </row>
    <row r="331" spans="2:18" ht="15" customHeight="1">
      <c r="B331" s="83">
        <v>559.3606114288981</v>
      </c>
      <c r="C331" s="83">
        <v>560.54101877655091</v>
      </c>
      <c r="D331" s="83">
        <v>556.29125336155266</v>
      </c>
      <c r="E331" s="83">
        <v>560.44684529039375</v>
      </c>
      <c r="F331" s="83">
        <v>4462199.6715570865</v>
      </c>
      <c r="G331" s="83" t="s">
        <v>1900</v>
      </c>
      <c r="H331" s="84">
        <f t="shared" si="5"/>
        <v>-1.9381567951066714E-3</v>
      </c>
      <c r="J331" s="83">
        <v>186.20379195236237</v>
      </c>
      <c r="K331" s="83">
        <v>186.68267011426303</v>
      </c>
      <c r="L331" s="83">
        <v>184.16855976428471</v>
      </c>
      <c r="M331" s="83">
        <v>186.06411915514138</v>
      </c>
      <c r="N331" s="83">
        <v>12092068.130685745</v>
      </c>
      <c r="O331" s="83" t="s">
        <v>1900</v>
      </c>
      <c r="P331" s="84">
        <f t="shared" si="6"/>
        <v>7.5067024128672166E-4</v>
      </c>
      <c r="R331" s="102"/>
    </row>
    <row r="332" spans="2:18" ht="15" customHeight="1">
      <c r="B332" s="83">
        <v>561.72242266903072</v>
      </c>
      <c r="C332" s="83">
        <v>561.97155887579584</v>
      </c>
      <c r="D332" s="83">
        <v>558.5942684568887</v>
      </c>
      <c r="E332" s="83">
        <v>559.08157887732125</v>
      </c>
      <c r="F332" s="83">
        <v>3870935.7524635624</v>
      </c>
      <c r="G332" s="83" t="s">
        <v>1899</v>
      </c>
      <c r="H332" s="84">
        <f t="shared" si="5"/>
        <v>4.7235392677620336E-3</v>
      </c>
      <c r="J332" s="83">
        <v>186.69264674263596</v>
      </c>
      <c r="K332" s="83">
        <v>186.92210919521335</v>
      </c>
      <c r="L332" s="83">
        <v>185.06645631784838</v>
      </c>
      <c r="M332" s="83">
        <v>185.74985536139408</v>
      </c>
      <c r="N332" s="83">
        <v>13151201.497692872</v>
      </c>
      <c r="O332" s="83" t="s">
        <v>1899</v>
      </c>
      <c r="P332" s="84">
        <f t="shared" si="6"/>
        <v>5.0755968525928452E-3</v>
      </c>
      <c r="R332" s="102"/>
    </row>
    <row r="333" spans="2:18" ht="15" customHeight="1">
      <c r="B333" s="83">
        <v>560.36712170422891</v>
      </c>
      <c r="C333" s="83">
        <v>560.36712170422891</v>
      </c>
      <c r="D333" s="83">
        <v>557.55686529191917</v>
      </c>
      <c r="E333" s="83">
        <v>559.85888384242821</v>
      </c>
      <c r="F333" s="83">
        <v>3858235.8721808712</v>
      </c>
      <c r="G333" s="83" t="s">
        <v>1898</v>
      </c>
      <c r="H333" s="84">
        <f t="shared" si="5"/>
        <v>9.077963688144397E-4</v>
      </c>
      <c r="J333" s="83">
        <v>185.36575516903631</v>
      </c>
      <c r="K333" s="83">
        <v>187.34112758687638</v>
      </c>
      <c r="L333" s="83">
        <v>183.15094367024588</v>
      </c>
      <c r="M333" s="83">
        <v>187.00192222219678</v>
      </c>
      <c r="N333" s="83">
        <v>19842402.924131881</v>
      </c>
      <c r="O333" s="83" t="s">
        <v>1898</v>
      </c>
      <c r="P333" s="84">
        <f t="shared" si="6"/>
        <v>-8.7494664959453239E-3</v>
      </c>
      <c r="R333" s="102"/>
    </row>
    <row r="334" spans="2:18" ht="15" customHeight="1">
      <c r="B334" s="83">
        <v>558.7527190843914</v>
      </c>
      <c r="C334" s="83">
        <v>559.91867653205179</v>
      </c>
      <c r="D334" s="83">
        <v>558.13486129161413</v>
      </c>
      <c r="E334" s="83">
        <v>558.96199349807398</v>
      </c>
      <c r="F334" s="83">
        <v>3392290.9519008892</v>
      </c>
      <c r="G334" s="83" t="s">
        <v>1897</v>
      </c>
      <c r="H334" s="84">
        <f t="shared" si="5"/>
        <v>-3.7439828846486112E-4</v>
      </c>
      <c r="J334" s="83">
        <v>186.43325440493979</v>
      </c>
      <c r="K334" s="83">
        <v>187.71026283667479</v>
      </c>
      <c r="L334" s="83">
        <v>185.67503064859713</v>
      </c>
      <c r="M334" s="83">
        <v>186.39334789144806</v>
      </c>
      <c r="N334" s="83">
        <v>12743938.658172389</v>
      </c>
      <c r="O334" s="83" t="s">
        <v>1897</v>
      </c>
      <c r="P334" s="84">
        <f t="shared" si="6"/>
        <v>2.1409837820485222E-4</v>
      </c>
      <c r="R334" s="102"/>
    </row>
    <row r="335" spans="2:18" ht="15" customHeight="1">
      <c r="B335" s="83">
        <v>558.73278818785013</v>
      </c>
      <c r="C335" s="83">
        <v>558.94206260153283</v>
      </c>
      <c r="D335" s="83">
        <v>552.7784328461654</v>
      </c>
      <c r="E335" s="83">
        <v>553.94937301796119</v>
      </c>
      <c r="F335" s="83">
        <v>3400246.4394863169</v>
      </c>
      <c r="G335" s="83" t="s">
        <v>1896</v>
      </c>
      <c r="H335" s="84">
        <f t="shared" si="5"/>
        <v>8.6351125263099959E-3</v>
      </c>
      <c r="J335" s="83">
        <v>187.44089387060569</v>
      </c>
      <c r="K335" s="83">
        <v>187.55063678270793</v>
      </c>
      <c r="L335" s="83">
        <v>184.44790535872673</v>
      </c>
      <c r="M335" s="83">
        <v>185.49545133788439</v>
      </c>
      <c r="N335" s="83">
        <v>12759154.219414692</v>
      </c>
      <c r="O335" s="83" t="s">
        <v>1896</v>
      </c>
      <c r="P335" s="84">
        <f t="shared" si="6"/>
        <v>1.0487817996019944E-2</v>
      </c>
      <c r="R335" s="102"/>
    </row>
    <row r="336" spans="2:18" ht="15" customHeight="1">
      <c r="B336" s="83">
        <v>552.89303550127727</v>
      </c>
      <c r="C336" s="83">
        <v>553.99421753517879</v>
      </c>
      <c r="D336" s="83">
        <v>548.48830736567118</v>
      </c>
      <c r="E336" s="83">
        <v>549.09619971017787</v>
      </c>
      <c r="F336" s="83">
        <v>3591893.6136163576</v>
      </c>
      <c r="G336" s="83" t="s">
        <v>1895</v>
      </c>
      <c r="H336" s="84">
        <f t="shared" si="5"/>
        <v>6.9147005444645249E-3</v>
      </c>
      <c r="J336" s="83">
        <v>184.99661991923787</v>
      </c>
      <c r="K336" s="83">
        <v>186.39334789144806</v>
      </c>
      <c r="L336" s="83">
        <v>183.20082681211051</v>
      </c>
      <c r="M336" s="83">
        <v>184.79708735177928</v>
      </c>
      <c r="N336" s="83">
        <v>17673620.125856131</v>
      </c>
      <c r="O336" s="83" t="s">
        <v>1895</v>
      </c>
      <c r="P336" s="84">
        <f t="shared" si="6"/>
        <v>1.0797387032337458E-3</v>
      </c>
      <c r="R336" s="102"/>
    </row>
    <row r="337" spans="2:18" ht="15" customHeight="1">
      <c r="B337" s="83">
        <v>554.72667798306804</v>
      </c>
      <c r="C337" s="83">
        <v>555.19007132765114</v>
      </c>
      <c r="D337" s="83">
        <v>552.07586874308799</v>
      </c>
      <c r="E337" s="83">
        <v>552.18548867406457</v>
      </c>
      <c r="F337" s="83">
        <v>2762467.8040034226</v>
      </c>
      <c r="G337" s="83" t="s">
        <v>1894</v>
      </c>
      <c r="H337" s="84">
        <f t="shared" si="5"/>
        <v>4.6020573903626794E-3</v>
      </c>
      <c r="J337" s="83">
        <v>186.63278697239835</v>
      </c>
      <c r="K337" s="83">
        <v>188.35874368091524</v>
      </c>
      <c r="L337" s="83">
        <v>185.64510076347833</v>
      </c>
      <c r="M337" s="83">
        <v>186.39833620563454</v>
      </c>
      <c r="N337" s="83">
        <v>13058620.119949445</v>
      </c>
      <c r="O337" s="83" t="s">
        <v>1894</v>
      </c>
      <c r="P337" s="84">
        <f t="shared" si="6"/>
        <v>1.2577943104876699E-3</v>
      </c>
      <c r="R337" s="102"/>
    </row>
    <row r="338" spans="2:18" ht="15" customHeight="1">
      <c r="B338" s="83">
        <v>554.22840556953793</v>
      </c>
      <c r="C338" s="83">
        <v>554.85174435886415</v>
      </c>
      <c r="D338" s="83">
        <v>552.325004949853</v>
      </c>
      <c r="E338" s="83">
        <v>553.52085874232534</v>
      </c>
      <c r="F338" s="83">
        <v>3529747.8893916928</v>
      </c>
      <c r="G338" s="83" t="s">
        <v>1893</v>
      </c>
      <c r="H338" s="84">
        <f t="shared" si="5"/>
        <v>1.2782658793026869E-3</v>
      </c>
      <c r="J338" s="83">
        <v>187.76014597853944</v>
      </c>
      <c r="K338" s="83">
        <v>189.54596245729388</v>
      </c>
      <c r="L338" s="83">
        <v>187.1715249045366</v>
      </c>
      <c r="M338" s="83">
        <v>188.61813601861141</v>
      </c>
      <c r="N338" s="83">
        <v>16644921.890704161</v>
      </c>
      <c r="O338" s="83" t="s">
        <v>1893</v>
      </c>
      <c r="P338" s="84">
        <f t="shared" si="6"/>
        <v>-4.5488204802708321E-3</v>
      </c>
      <c r="R338" s="102"/>
    </row>
    <row r="339" spans="2:18" ht="15" customHeight="1">
      <c r="B339" s="83">
        <v>550.29205350265022</v>
      </c>
      <c r="C339" s="83">
        <v>557.26786729207174</v>
      </c>
      <c r="D339" s="83">
        <v>549.8884528476907</v>
      </c>
      <c r="E339" s="83">
        <v>556.17166798230539</v>
      </c>
      <c r="F339" s="83">
        <v>10196785.657877898</v>
      </c>
      <c r="G339" s="83" t="s">
        <v>1892</v>
      </c>
      <c r="H339" s="84">
        <f t="shared" si="5"/>
        <v>-1.057158215373577E-2</v>
      </c>
      <c r="J339" s="83">
        <v>186.70262337100885</v>
      </c>
      <c r="K339" s="83">
        <v>192.56389254010514</v>
      </c>
      <c r="L339" s="83">
        <v>184.6673911829312</v>
      </c>
      <c r="M339" s="83">
        <v>192.2895352598496</v>
      </c>
      <c r="N339" s="83">
        <v>29634985.783596393</v>
      </c>
      <c r="O339" s="83" t="s">
        <v>1892</v>
      </c>
      <c r="P339" s="84">
        <f t="shared" si="6"/>
        <v>-2.9054685067967378E-2</v>
      </c>
      <c r="R339" s="102"/>
    </row>
    <row r="340" spans="2:18" ht="15" customHeight="1">
      <c r="B340" s="83">
        <v>555.69332646531655</v>
      </c>
      <c r="C340" s="83">
        <v>555.72322281012828</v>
      </c>
      <c r="D340" s="83">
        <v>552.2751777085</v>
      </c>
      <c r="E340" s="83">
        <v>555.36446667238658</v>
      </c>
      <c r="F340" s="83">
        <v>3618802.5887791775</v>
      </c>
      <c r="G340" s="83" t="s">
        <v>1891</v>
      </c>
      <c r="H340" s="84">
        <f t="shared" si="5"/>
        <v>5.9215130363021728E-4</v>
      </c>
      <c r="J340" s="83">
        <v>192.85820307710659</v>
      </c>
      <c r="K340" s="83">
        <v>193.37698775249896</v>
      </c>
      <c r="L340" s="83">
        <v>190.04479387594037</v>
      </c>
      <c r="M340" s="83">
        <v>190.54362529458686</v>
      </c>
      <c r="N340" s="83">
        <v>20865358.738311708</v>
      </c>
      <c r="O340" s="83" t="s">
        <v>1891</v>
      </c>
      <c r="P340" s="84">
        <f t="shared" si="6"/>
        <v>1.2147232839415656E-2</v>
      </c>
      <c r="R340" s="102"/>
    </row>
    <row r="341" spans="2:18" ht="15" customHeight="1">
      <c r="B341" s="83">
        <v>553.70023681119608</v>
      </c>
      <c r="C341" s="83">
        <v>553.80985674217277</v>
      </c>
      <c r="D341" s="83">
        <v>548.50823826221233</v>
      </c>
      <c r="E341" s="83">
        <v>550.43156977843864</v>
      </c>
      <c r="F341" s="83">
        <v>3436056.1682922682</v>
      </c>
      <c r="G341" s="83" t="s">
        <v>1890</v>
      </c>
      <c r="H341" s="84">
        <f t="shared" si="5"/>
        <v>5.9383712930440868E-3</v>
      </c>
      <c r="J341" s="83">
        <v>192.84822644873367</v>
      </c>
      <c r="K341" s="83">
        <v>194.09520522906615</v>
      </c>
      <c r="L341" s="83">
        <v>189.46614943031045</v>
      </c>
      <c r="M341" s="83">
        <v>192.64869388127505</v>
      </c>
      <c r="N341" s="83">
        <v>43822008.163225673</v>
      </c>
      <c r="O341" s="83" t="s">
        <v>1890</v>
      </c>
      <c r="P341" s="84">
        <f t="shared" si="6"/>
        <v>1.0357327809427108E-3</v>
      </c>
      <c r="R341" s="102"/>
    </row>
    <row r="342" spans="2:18" ht="15" customHeight="1">
      <c r="B342" s="83">
        <v>551.43808005376945</v>
      </c>
      <c r="C342" s="83">
        <v>551.9164215707583</v>
      </c>
      <c r="D342" s="83">
        <v>547.33231536628136</v>
      </c>
      <c r="E342" s="83">
        <v>547.80069143499964</v>
      </c>
      <c r="F342" s="83">
        <v>4195910.5967516582</v>
      </c>
      <c r="G342" s="83" t="s">
        <v>1889</v>
      </c>
      <c r="H342" s="84">
        <f t="shared" si="5"/>
        <v>6.6399854466072661E-3</v>
      </c>
      <c r="J342" s="83">
        <v>207.22454793412555</v>
      </c>
      <c r="K342" s="83">
        <v>208.21223414304558</v>
      </c>
      <c r="L342" s="83">
        <v>203.78261114546476</v>
      </c>
      <c r="M342" s="83">
        <v>204.02205022641508</v>
      </c>
      <c r="N342" s="83">
        <v>28351698.532490719</v>
      </c>
      <c r="O342" s="83" t="s">
        <v>1889</v>
      </c>
      <c r="P342" s="84">
        <f t="shared" si="6"/>
        <v>1.5696821515892356E-2</v>
      </c>
      <c r="R342" s="102"/>
    </row>
    <row r="343" spans="2:18" ht="15" customHeight="1">
      <c r="B343" s="83">
        <v>547.80069143499964</v>
      </c>
      <c r="C343" s="83">
        <v>550.05278308967297</v>
      </c>
      <c r="D343" s="83">
        <v>541.10391019715496</v>
      </c>
      <c r="E343" s="83">
        <v>543.106965299546</v>
      </c>
      <c r="F343" s="83">
        <v>7851164.1298472667</v>
      </c>
      <c r="G343" s="83" t="s">
        <v>1888</v>
      </c>
      <c r="H343" s="84">
        <f t="shared" si="5"/>
        <v>8.6423604102827678E-3</v>
      </c>
      <c r="J343" s="83">
        <v>202.1663973490501</v>
      </c>
      <c r="K343" s="83">
        <v>204.740367469266</v>
      </c>
      <c r="L343" s="83">
        <v>201.188687768503</v>
      </c>
      <c r="M343" s="83">
        <v>201.74239064320059</v>
      </c>
      <c r="N343" s="83">
        <v>16758636.660623655</v>
      </c>
      <c r="O343" s="83" t="s">
        <v>1888</v>
      </c>
      <c r="P343" s="84">
        <f t="shared" si="6"/>
        <v>2.1017234131988083E-3</v>
      </c>
      <c r="R343" s="102"/>
    </row>
    <row r="344" spans="2:18" ht="15" customHeight="1">
      <c r="B344" s="83">
        <v>551.41814915722819</v>
      </c>
      <c r="C344" s="83">
        <v>558.9520280498034</v>
      </c>
      <c r="D344" s="83">
        <v>550.80029136445091</v>
      </c>
      <c r="E344" s="83">
        <v>556.68987129237678</v>
      </c>
      <c r="F344" s="83">
        <v>6264968.5498018861</v>
      </c>
      <c r="G344" s="83" t="s">
        <v>1887</v>
      </c>
      <c r="H344" s="84">
        <f t="shared" si="5"/>
        <v>-9.4697647774875104E-3</v>
      </c>
      <c r="J344" s="83">
        <v>205.11947934743733</v>
      </c>
      <c r="K344" s="83">
        <v>206.59602034663098</v>
      </c>
      <c r="L344" s="83">
        <v>203.10420041610553</v>
      </c>
      <c r="M344" s="83">
        <v>203.23888489914009</v>
      </c>
      <c r="N344" s="83">
        <v>17127364.437432654</v>
      </c>
      <c r="O344" s="83" t="s">
        <v>1887</v>
      </c>
      <c r="P344" s="84">
        <f t="shared" si="6"/>
        <v>9.2531232358932236E-3</v>
      </c>
      <c r="R344" s="102"/>
    </row>
    <row r="345" spans="2:18" ht="15" customHeight="1">
      <c r="B345" s="83">
        <v>554.37788729359704</v>
      </c>
      <c r="C345" s="83">
        <v>555.85277363764612</v>
      </c>
      <c r="D345" s="83">
        <v>550.47143157152095</v>
      </c>
      <c r="E345" s="83">
        <v>553.45110060443108</v>
      </c>
      <c r="F345" s="83">
        <v>4311434.7526891446</v>
      </c>
      <c r="G345" s="83" t="s">
        <v>1886</v>
      </c>
      <c r="H345" s="84">
        <f t="shared" si="5"/>
        <v>1.6745593028071326E-3</v>
      </c>
      <c r="J345" s="83">
        <v>202.15642072067718</v>
      </c>
      <c r="K345" s="83">
        <v>202.76339879088624</v>
      </c>
      <c r="L345" s="83">
        <v>199.00550218165475</v>
      </c>
      <c r="M345" s="83">
        <v>199.29312837764633</v>
      </c>
      <c r="N345" s="83">
        <v>14605614.697985187</v>
      </c>
      <c r="O345" s="83" t="s">
        <v>1886</v>
      </c>
      <c r="P345" s="84">
        <f t="shared" si="6"/>
        <v>1.4367240688826444E-2</v>
      </c>
      <c r="R345" s="102"/>
    </row>
    <row r="346" spans="2:18" ht="15" customHeight="1">
      <c r="B346" s="83">
        <v>551.49787274339303</v>
      </c>
      <c r="C346" s="83">
        <v>553.58065143194881</v>
      </c>
      <c r="D346" s="83">
        <v>549.06640301984885</v>
      </c>
      <c r="E346" s="83">
        <v>553.25179163901896</v>
      </c>
      <c r="F346" s="83">
        <v>4188944.5277786455</v>
      </c>
      <c r="G346" s="83" t="s">
        <v>1885</v>
      </c>
      <c r="H346" s="84">
        <f t="shared" si="5"/>
        <v>-3.1702001188824713E-3</v>
      </c>
      <c r="J346" s="83">
        <v>196.71915825743045</v>
      </c>
      <c r="K346" s="83">
        <v>197.99566785774678</v>
      </c>
      <c r="L346" s="83">
        <v>194.73380921121739</v>
      </c>
      <c r="M346" s="83">
        <v>196.90871419651612</v>
      </c>
      <c r="N346" s="83">
        <v>12316603.907329308</v>
      </c>
      <c r="O346" s="83" t="s">
        <v>1885</v>
      </c>
      <c r="P346" s="84">
        <f t="shared" si="6"/>
        <v>-9.6265896539493578E-4</v>
      </c>
      <c r="R346" s="102"/>
    </row>
    <row r="347" spans="2:18" ht="15" customHeight="1">
      <c r="B347" s="83">
        <v>553.92944212141992</v>
      </c>
      <c r="C347" s="83">
        <v>554.72667798306804</v>
      </c>
      <c r="D347" s="83">
        <v>547.32234991801079</v>
      </c>
      <c r="E347" s="83">
        <v>550.39170798535611</v>
      </c>
      <c r="F347" s="83">
        <v>4179113.5600850987</v>
      </c>
      <c r="G347" s="83" t="s">
        <v>1884</v>
      </c>
      <c r="H347" s="84">
        <f t="shared" si="5"/>
        <v>6.4276661234836663E-3</v>
      </c>
      <c r="J347" s="83">
        <v>196.60941534532819</v>
      </c>
      <c r="K347" s="83">
        <v>196.76904139929508</v>
      </c>
      <c r="L347" s="83">
        <v>192.15983909100152</v>
      </c>
      <c r="M347" s="83">
        <v>194.1950712790792</v>
      </c>
      <c r="N347" s="83">
        <v>15976500.68158162</v>
      </c>
      <c r="O347" s="83" t="s">
        <v>1884</v>
      </c>
      <c r="P347" s="84">
        <f t="shared" si="6"/>
        <v>1.2432571281787652E-2</v>
      </c>
      <c r="R347" s="102"/>
    </row>
    <row r="348" spans="2:18" ht="15" customHeight="1">
      <c r="B348" s="83">
        <v>549.32540502040172</v>
      </c>
      <c r="C348" s="83">
        <v>549.48485219273141</v>
      </c>
      <c r="D348" s="83">
        <v>544.94060778133689</v>
      </c>
      <c r="E348" s="83">
        <v>545.04026226404278</v>
      </c>
      <c r="F348" s="83">
        <v>7643795.6358382031</v>
      </c>
      <c r="G348" s="83" t="s">
        <v>1883</v>
      </c>
      <c r="H348" s="84">
        <f t="shared" si="5"/>
        <v>7.8620664436033216E-3</v>
      </c>
      <c r="J348" s="83">
        <v>193.31712798226135</v>
      </c>
      <c r="K348" s="83">
        <v>198.20567588499696</v>
      </c>
      <c r="L348" s="83">
        <v>192.24962874635784</v>
      </c>
      <c r="M348" s="83">
        <v>193.73614637392441</v>
      </c>
      <c r="N348" s="83">
        <v>25028669.071961254</v>
      </c>
      <c r="O348" s="83" t="s">
        <v>1883</v>
      </c>
      <c r="P348" s="84">
        <f t="shared" si="6"/>
        <v>-2.1628302178279268E-3</v>
      </c>
      <c r="R348" s="102"/>
    </row>
    <row r="349" spans="2:18" ht="15" customHeight="1">
      <c r="B349" s="83">
        <v>557.0785237749302</v>
      </c>
      <c r="C349" s="83">
        <v>559.71936756663979</v>
      </c>
      <c r="D349" s="83">
        <v>556.09194439614055</v>
      </c>
      <c r="E349" s="83">
        <v>558.82247722228556</v>
      </c>
      <c r="F349" s="83">
        <v>3624664.8438843829</v>
      </c>
      <c r="G349" s="83" t="s">
        <v>1882</v>
      </c>
      <c r="H349" s="84">
        <f t="shared" si="5"/>
        <v>-3.1207646765104569E-3</v>
      </c>
      <c r="J349" s="83">
        <v>201.42812684945332</v>
      </c>
      <c r="K349" s="83">
        <v>202.0965609504396</v>
      </c>
      <c r="L349" s="83">
        <v>199.31727181830883</v>
      </c>
      <c r="M349" s="83">
        <v>199.38291803300268</v>
      </c>
      <c r="N349" s="83">
        <v>12762203.34571898</v>
      </c>
      <c r="O349" s="83" t="s">
        <v>1882</v>
      </c>
      <c r="P349" s="84">
        <f t="shared" si="6"/>
        <v>1.0257693269952517E-2</v>
      </c>
      <c r="R349" s="102"/>
    </row>
    <row r="350" spans="2:18" ht="15" customHeight="1">
      <c r="B350" s="83">
        <v>558.76268453266198</v>
      </c>
      <c r="C350" s="83">
        <v>558.76268453266198</v>
      </c>
      <c r="D350" s="83">
        <v>554.87615970712704</v>
      </c>
      <c r="E350" s="83">
        <v>555.11533046562158</v>
      </c>
      <c r="F350" s="83">
        <v>6239436.3315723669</v>
      </c>
      <c r="G350" s="83" t="s">
        <v>1881</v>
      </c>
      <c r="H350" s="84">
        <f t="shared" si="5"/>
        <v>6.5704437742353239E-3</v>
      </c>
      <c r="J350" s="83">
        <v>199.11354906693361</v>
      </c>
      <c r="K350" s="83">
        <v>201.46803336294502</v>
      </c>
      <c r="L350" s="83">
        <v>196.35999963600494</v>
      </c>
      <c r="M350" s="83">
        <v>199.51261420185077</v>
      </c>
      <c r="N350" s="83">
        <v>15206377.779054014</v>
      </c>
      <c r="O350" s="83" t="s">
        <v>1881</v>
      </c>
      <c r="P350" s="84">
        <f t="shared" si="6"/>
        <v>-2.0002000200017855E-3</v>
      </c>
      <c r="R350" s="102"/>
    </row>
    <row r="351" spans="2:18" ht="15" customHeight="1">
      <c r="B351" s="83">
        <v>555.68336101704597</v>
      </c>
      <c r="C351" s="83">
        <v>556.99870053428265</v>
      </c>
      <c r="D351" s="83">
        <v>554.80640156923289</v>
      </c>
      <c r="E351" s="83">
        <v>555.2648121896807</v>
      </c>
      <c r="F351" s="83">
        <v>4796609.1140134707</v>
      </c>
      <c r="G351" s="83" t="s">
        <v>1880</v>
      </c>
      <c r="H351" s="84">
        <f t="shared" si="5"/>
        <v>7.5378237226075839E-4</v>
      </c>
      <c r="J351" s="83">
        <v>199.56249734371542</v>
      </c>
      <c r="K351" s="83">
        <v>201.64761267365776</v>
      </c>
      <c r="L351" s="83">
        <v>198.73443718876226</v>
      </c>
      <c r="M351" s="83">
        <v>200.08128201910779</v>
      </c>
      <c r="N351" s="83">
        <v>15513633.886570003</v>
      </c>
      <c r="O351" s="83" t="s">
        <v>1880</v>
      </c>
      <c r="P351" s="84">
        <f t="shared" si="6"/>
        <v>-2.5928696085765202E-3</v>
      </c>
      <c r="R351" s="102"/>
    </row>
    <row r="352" spans="2:18" ht="15" customHeight="1">
      <c r="B352" s="83">
        <v>552.54424481180627</v>
      </c>
      <c r="C352" s="83">
        <v>552.54424481180627</v>
      </c>
      <c r="D352" s="83">
        <v>548.59792729664775</v>
      </c>
      <c r="E352" s="83">
        <v>550.41163888189737</v>
      </c>
      <c r="F352" s="83">
        <v>5320059.7264047191</v>
      </c>
      <c r="G352" s="83" t="s">
        <v>1879</v>
      </c>
      <c r="H352" s="84">
        <f t="shared" si="5"/>
        <v>3.8745654692933229E-3</v>
      </c>
      <c r="J352" s="83">
        <v>199.16343220879824</v>
      </c>
      <c r="K352" s="83">
        <v>203.3635927538017</v>
      </c>
      <c r="L352" s="83">
        <v>198.97387626971258</v>
      </c>
      <c r="M352" s="83">
        <v>200.04137550561606</v>
      </c>
      <c r="N352" s="83">
        <v>19049754.375504259</v>
      </c>
      <c r="O352" s="83" t="s">
        <v>1879</v>
      </c>
      <c r="P352" s="84">
        <f t="shared" si="6"/>
        <v>-4.3888085382275399E-3</v>
      </c>
      <c r="R352" s="102"/>
    </row>
    <row r="353" spans="2:18" ht="15" customHeight="1">
      <c r="B353" s="83">
        <v>547.56152067650521</v>
      </c>
      <c r="C353" s="83">
        <v>549.21578508942514</v>
      </c>
      <c r="D353" s="83">
        <v>545.7876708843379</v>
      </c>
      <c r="E353" s="83">
        <v>547.02338646989256</v>
      </c>
      <c r="F353" s="83">
        <v>6581390.843548785</v>
      </c>
      <c r="G353" s="83" t="s">
        <v>1878</v>
      </c>
      <c r="H353" s="84">
        <f t="shared" si="5"/>
        <v>9.83749908912257E-4</v>
      </c>
      <c r="J353" s="83">
        <v>197.08829350722885</v>
      </c>
      <c r="K353" s="83">
        <v>198.345348682218</v>
      </c>
      <c r="L353" s="83">
        <v>194.85352875169255</v>
      </c>
      <c r="M353" s="83">
        <v>197.58712492587534</v>
      </c>
      <c r="N353" s="83">
        <v>22160922.68204556</v>
      </c>
      <c r="O353" s="83" t="s">
        <v>1878</v>
      </c>
      <c r="P353" s="84">
        <f t="shared" si="6"/>
        <v>-2.5246149962130371E-3</v>
      </c>
      <c r="R353" s="102"/>
    </row>
    <row r="354" spans="2:18" ht="15" customHeight="1">
      <c r="B354" s="83">
        <v>542.35955667925089</v>
      </c>
      <c r="C354" s="83">
        <v>544.62171343667751</v>
      </c>
      <c r="D354" s="83">
        <v>541.51249357624965</v>
      </c>
      <c r="E354" s="83">
        <v>544.46226626434793</v>
      </c>
      <c r="F354" s="83">
        <v>3645347.3053656211</v>
      </c>
      <c r="G354" s="83" t="s">
        <v>1877</v>
      </c>
      <c r="H354" s="84">
        <f t="shared" si="5"/>
        <v>-3.8619932277843549E-3</v>
      </c>
      <c r="J354" s="83">
        <v>193.95563219812885</v>
      </c>
      <c r="K354" s="83">
        <v>196.51952592368809</v>
      </c>
      <c r="L354" s="83">
        <v>193.84588928602665</v>
      </c>
      <c r="M354" s="83">
        <v>195.36732511289841</v>
      </c>
      <c r="N354" s="83">
        <v>13481088.497285848</v>
      </c>
      <c r="O354" s="83" t="s">
        <v>1877</v>
      </c>
      <c r="P354" s="84">
        <f t="shared" si="6"/>
        <v>-7.2258393974211632E-3</v>
      </c>
      <c r="R354" s="102"/>
    </row>
    <row r="355" spans="2:18" ht="15" customHeight="1">
      <c r="B355" s="83">
        <v>543.16675798916958</v>
      </c>
      <c r="C355" s="83">
        <v>544.24302640239466</v>
      </c>
      <c r="D355" s="83">
        <v>539.88812550814146</v>
      </c>
      <c r="E355" s="83">
        <v>540.96439392136654</v>
      </c>
      <c r="F355" s="83">
        <v>5325719.2811451089</v>
      </c>
      <c r="G355" s="83" t="s">
        <v>1876</v>
      </c>
      <c r="H355" s="84">
        <f t="shared" si="5"/>
        <v>4.0711811951956722E-3</v>
      </c>
      <c r="J355" s="83">
        <v>196.51962568997183</v>
      </c>
      <c r="K355" s="83">
        <v>197.3377092165521</v>
      </c>
      <c r="L355" s="83">
        <v>192.87815633385244</v>
      </c>
      <c r="M355" s="83">
        <v>193.89577242789127</v>
      </c>
      <c r="N355" s="83">
        <v>12925083.022024171</v>
      </c>
      <c r="O355" s="83" t="s">
        <v>1876</v>
      </c>
      <c r="P355" s="84">
        <f t="shared" si="6"/>
        <v>1.3532287110882502E-2</v>
      </c>
      <c r="R355" s="102"/>
    </row>
    <row r="356" spans="2:18" ht="15" customHeight="1">
      <c r="B356" s="83">
        <v>533.41058413225016</v>
      </c>
      <c r="C356" s="83">
        <v>536.04784036258229</v>
      </c>
      <c r="D356" s="83">
        <v>529.97738754854493</v>
      </c>
      <c r="E356" s="83">
        <v>535.46346647599421</v>
      </c>
      <c r="F356" s="83">
        <v>8850583.2959053349</v>
      </c>
      <c r="G356" s="83" t="s">
        <v>1875</v>
      </c>
      <c r="H356" s="84">
        <f t="shared" si="5"/>
        <v>-3.8338420308196008E-3</v>
      </c>
      <c r="J356" s="83">
        <v>190.60348506482447</v>
      </c>
      <c r="K356" s="83">
        <v>192.81829656361487</v>
      </c>
      <c r="L356" s="83">
        <v>189.19678046424133</v>
      </c>
      <c r="M356" s="83">
        <v>192.05009617889928</v>
      </c>
      <c r="N356" s="83">
        <v>13683162.777758216</v>
      </c>
      <c r="O356" s="83" t="s">
        <v>1875</v>
      </c>
      <c r="P356" s="84">
        <f t="shared" si="6"/>
        <v>-7.5324675324675017E-3</v>
      </c>
      <c r="R356" s="102"/>
    </row>
    <row r="357" spans="2:18" ht="15" customHeight="1">
      <c r="B357" s="83">
        <v>532.7329336498492</v>
      </c>
      <c r="C357" s="83">
        <v>533.06179344277905</v>
      </c>
      <c r="D357" s="83">
        <v>527.19214441139434</v>
      </c>
      <c r="E357" s="83">
        <v>527.5708314456773</v>
      </c>
      <c r="F357" s="83">
        <v>5640499.9026304344</v>
      </c>
      <c r="G357" s="83" t="s">
        <v>1874</v>
      </c>
      <c r="H357" s="84">
        <f t="shared" si="5"/>
        <v>9.7846618813750563E-3</v>
      </c>
      <c r="J357" s="83">
        <v>191.84058698306774</v>
      </c>
      <c r="K357" s="83">
        <v>192.04011955052636</v>
      </c>
      <c r="L357" s="83">
        <v>188.2190708836942</v>
      </c>
      <c r="M357" s="83">
        <v>190.90278391601234</v>
      </c>
      <c r="N357" s="83">
        <v>13199910.338178355</v>
      </c>
      <c r="O357" s="83" t="s">
        <v>1874</v>
      </c>
      <c r="P357" s="84">
        <f t="shared" si="6"/>
        <v>4.9124640710738188E-3</v>
      </c>
      <c r="R357" s="102"/>
    </row>
    <row r="358" spans="2:18" ht="15" customHeight="1">
      <c r="B358" s="83">
        <v>532.04531771917766</v>
      </c>
      <c r="C358" s="83">
        <v>536.88852557869029</v>
      </c>
      <c r="D358" s="83">
        <v>530.16184799603388</v>
      </c>
      <c r="E358" s="83">
        <v>536.84866378560787</v>
      </c>
      <c r="F358" s="83">
        <v>7962714.5558606498</v>
      </c>
      <c r="G358" s="83" t="s">
        <v>1873</v>
      </c>
      <c r="H358" s="84">
        <f t="shared" si="5"/>
        <v>-8.9473000315568596E-3</v>
      </c>
      <c r="J358" s="83">
        <v>192.71853027988556</v>
      </c>
      <c r="K358" s="83">
        <v>197.15812990583936</v>
      </c>
      <c r="L358" s="83">
        <v>191.15219962533558</v>
      </c>
      <c r="M358" s="83">
        <v>194.96327166379476</v>
      </c>
      <c r="N358" s="83">
        <v>20802412.622998446</v>
      </c>
      <c r="O358" s="83" t="s">
        <v>1873</v>
      </c>
      <c r="P358" s="84">
        <f t="shared" si="6"/>
        <v>-1.1513662879950814E-2</v>
      </c>
      <c r="R358" s="102"/>
    </row>
    <row r="359" spans="2:18" ht="15" customHeight="1">
      <c r="B359" s="83">
        <v>540.26681254242442</v>
      </c>
      <c r="C359" s="83">
        <v>541.12384109369623</v>
      </c>
      <c r="D359" s="83">
        <v>536.22084054456002</v>
      </c>
      <c r="E359" s="83">
        <v>539.44964578423503</v>
      </c>
      <c r="F359" s="83">
        <v>4331966.6940975003</v>
      </c>
      <c r="G359" s="83" t="s">
        <v>1872</v>
      </c>
      <c r="H359" s="84">
        <f t="shared" si="5"/>
        <v>1.5148156358530951E-3</v>
      </c>
      <c r="J359" s="83">
        <v>194.93334177867598</v>
      </c>
      <c r="K359" s="83">
        <v>197.17808316258518</v>
      </c>
      <c r="L359" s="83">
        <v>193.2971747255155</v>
      </c>
      <c r="M359" s="83">
        <v>193.49670729297409</v>
      </c>
      <c r="N359" s="83">
        <v>14368923.512172626</v>
      </c>
      <c r="O359" s="83" t="s">
        <v>1872</v>
      </c>
      <c r="P359" s="84">
        <f t="shared" si="6"/>
        <v>7.4245939675172679E-3</v>
      </c>
      <c r="R359" s="102"/>
    </row>
    <row r="360" spans="2:18" ht="15" customHeight="1">
      <c r="B360" s="83">
        <v>539.53933481867045</v>
      </c>
      <c r="C360" s="83">
        <v>547.70103695229363</v>
      </c>
      <c r="D360" s="83">
        <v>537.69572688860899</v>
      </c>
      <c r="E360" s="83">
        <v>547.42200440071679</v>
      </c>
      <c r="F360" s="83">
        <v>5401899.496965358</v>
      </c>
      <c r="G360" s="83" t="s">
        <v>1871</v>
      </c>
      <c r="H360" s="84">
        <f t="shared" si="5"/>
        <v>-1.439962135003281E-2</v>
      </c>
      <c r="J360" s="83">
        <v>196.25025672390274</v>
      </c>
      <c r="K360" s="83">
        <v>201.66756593040361</v>
      </c>
      <c r="L360" s="83">
        <v>195.48205633918712</v>
      </c>
      <c r="M360" s="83">
        <v>197.80661075007978</v>
      </c>
      <c r="N360" s="83">
        <v>17006506.973875962</v>
      </c>
      <c r="O360" s="83" t="s">
        <v>1871</v>
      </c>
      <c r="P360" s="84">
        <f t="shared" si="6"/>
        <v>-7.8680587078225894E-3</v>
      </c>
      <c r="R360" s="102"/>
    </row>
    <row r="361" spans="2:18" ht="15" customHeight="1">
      <c r="B361" s="83">
        <v>545.67805095336143</v>
      </c>
      <c r="C361" s="83">
        <v>549.52471398581372</v>
      </c>
      <c r="D361" s="83">
        <v>543.93409750600608</v>
      </c>
      <c r="E361" s="83">
        <v>546.38559778057413</v>
      </c>
      <c r="F361" s="83">
        <v>6004180.4819267448</v>
      </c>
      <c r="G361" s="83" t="s">
        <v>1870</v>
      </c>
      <c r="H361" s="84">
        <f t="shared" si="5"/>
        <v>-1.2949587801851514E-3</v>
      </c>
      <c r="J361" s="83">
        <v>197.49733527051896</v>
      </c>
      <c r="K361" s="83">
        <v>199.09359581018774</v>
      </c>
      <c r="L361" s="83">
        <v>194.60411304236931</v>
      </c>
      <c r="M361" s="83">
        <v>194.69390269772569</v>
      </c>
      <c r="N361" s="83">
        <v>19528965.369568378</v>
      </c>
      <c r="O361" s="83" t="s">
        <v>1870</v>
      </c>
      <c r="P361" s="84">
        <f t="shared" si="6"/>
        <v>1.4399180117858013E-2</v>
      </c>
      <c r="R361" s="102"/>
    </row>
    <row r="362" spans="2:18" ht="15" customHeight="1">
      <c r="B362" s="83">
        <v>542.51900385158046</v>
      </c>
      <c r="C362" s="83">
        <v>542.99734536856943</v>
      </c>
      <c r="D362" s="83">
        <v>537.33697075086741</v>
      </c>
      <c r="E362" s="83">
        <v>538.32355012965706</v>
      </c>
      <c r="F362" s="83">
        <v>6441920.9509499632</v>
      </c>
      <c r="G362" s="83" t="s">
        <v>1869</v>
      </c>
      <c r="H362" s="84">
        <f t="shared" si="5"/>
        <v>7.7935541198466129E-3</v>
      </c>
      <c r="J362" s="83">
        <v>192.67862376639386</v>
      </c>
      <c r="K362" s="83">
        <v>194.04542185348524</v>
      </c>
      <c r="L362" s="83">
        <v>190.90278391601234</v>
      </c>
      <c r="M362" s="83">
        <v>192.2745703172902</v>
      </c>
      <c r="N362" s="83">
        <v>12905118.361363817</v>
      </c>
      <c r="O362" s="83" t="s">
        <v>1869</v>
      </c>
      <c r="P362" s="84">
        <f t="shared" si="6"/>
        <v>2.1014398754701791E-3</v>
      </c>
      <c r="R362" s="102"/>
    </row>
    <row r="363" spans="2:18" ht="15" customHeight="1">
      <c r="B363" s="83">
        <v>535.60298275178263</v>
      </c>
      <c r="C363" s="83">
        <v>541.66187564582594</v>
      </c>
      <c r="D363" s="83">
        <v>531.95064596060683</v>
      </c>
      <c r="E363" s="83">
        <v>540.14722716317715</v>
      </c>
      <c r="F363" s="83">
        <v>7167462.8235950079</v>
      </c>
      <c r="G363" s="83" t="s">
        <v>1868</v>
      </c>
      <c r="H363" s="84">
        <f t="shared" si="5"/>
        <v>-8.4129736910075748E-3</v>
      </c>
      <c r="J363" s="83">
        <v>190.18446667316138</v>
      </c>
      <c r="K363" s="83">
        <v>192.74846016500436</v>
      </c>
      <c r="L363" s="83">
        <v>188.26895402555888</v>
      </c>
      <c r="M363" s="83">
        <v>191.0374683990469</v>
      </c>
      <c r="N363" s="83">
        <v>17586263.96028373</v>
      </c>
      <c r="O363" s="83" t="s">
        <v>1868</v>
      </c>
      <c r="P363" s="84">
        <f t="shared" si="6"/>
        <v>-4.4651017050945097E-3</v>
      </c>
      <c r="R363" s="102"/>
    </row>
    <row r="364" spans="2:18" ht="15" customHeight="1">
      <c r="B364" s="83">
        <v>536.94831826831387</v>
      </c>
      <c r="C364" s="83">
        <v>541.1887161619378</v>
      </c>
      <c r="D364" s="83">
        <v>535.54328971664165</v>
      </c>
      <c r="E364" s="83">
        <v>540.57574143881311</v>
      </c>
      <c r="F364" s="83">
        <v>6061694.2017752314</v>
      </c>
      <c r="G364" s="83" t="s">
        <v>1867</v>
      </c>
      <c r="H364" s="84">
        <f t="shared" si="5"/>
        <v>-6.7102958798046508E-3</v>
      </c>
      <c r="J364" s="83">
        <v>189.99491073407572</v>
      </c>
      <c r="K364" s="83">
        <v>192.79834330686901</v>
      </c>
      <c r="L364" s="83">
        <v>189.13692069400378</v>
      </c>
      <c r="M364" s="83">
        <v>191.99522472284815</v>
      </c>
      <c r="N364" s="83">
        <v>14388850.083812742</v>
      </c>
      <c r="O364" s="83" t="s">
        <v>1867</v>
      </c>
      <c r="P364" s="84">
        <f t="shared" si="6"/>
        <v>-1.0418561147340855E-2</v>
      </c>
      <c r="R364" s="102"/>
    </row>
    <row r="365" spans="2:18" ht="15" customHeight="1">
      <c r="B365" s="83">
        <v>539.12078599130518</v>
      </c>
      <c r="C365" s="83">
        <v>542.21007495519189</v>
      </c>
      <c r="D365" s="83">
        <v>535.54319006215894</v>
      </c>
      <c r="E365" s="83">
        <v>538.69227171566922</v>
      </c>
      <c r="F365" s="83">
        <v>6527643.1359238243</v>
      </c>
      <c r="G365" s="83" t="s">
        <v>1866</v>
      </c>
      <c r="H365" s="84">
        <f t="shared" si="5"/>
        <v>7.9547136303115273E-4</v>
      </c>
      <c r="J365" s="83">
        <v>192.23965211798495</v>
      </c>
      <c r="K365" s="83">
        <v>193.32710461063428</v>
      </c>
      <c r="L365" s="83">
        <v>189.91509770709229</v>
      </c>
      <c r="M365" s="83">
        <v>190.41891743992525</v>
      </c>
      <c r="N365" s="83">
        <v>12238136.516269205</v>
      </c>
      <c r="O365" s="83" t="s">
        <v>1866</v>
      </c>
      <c r="P365" s="84">
        <f t="shared" si="6"/>
        <v>9.5617321143215417E-3</v>
      </c>
      <c r="R365" s="102"/>
    </row>
    <row r="366" spans="2:18" ht="15" customHeight="1">
      <c r="B366" s="83">
        <v>545.1897439881019</v>
      </c>
      <c r="C366" s="83">
        <v>547.72096784883479</v>
      </c>
      <c r="D366" s="83">
        <v>541.32324971359094</v>
      </c>
      <c r="E366" s="83">
        <v>547.47183164206979</v>
      </c>
      <c r="F366" s="83">
        <v>7101672.5066722762</v>
      </c>
      <c r="G366" s="83" t="s">
        <v>1865</v>
      </c>
      <c r="H366" s="84">
        <f t="shared" si="5"/>
        <v>-4.1684110890656267E-3</v>
      </c>
      <c r="J366" s="83">
        <v>193.58649694833045</v>
      </c>
      <c r="K366" s="83">
        <v>196.34004637925912</v>
      </c>
      <c r="L366" s="83">
        <v>191.52333020080857</v>
      </c>
      <c r="M366" s="83">
        <v>196.01081764295242</v>
      </c>
      <c r="N366" s="83">
        <v>14727414.36362144</v>
      </c>
      <c r="O366" s="83" t="s">
        <v>1865</v>
      </c>
      <c r="P366" s="84">
        <f t="shared" si="6"/>
        <v>-1.2368300503893814E-2</v>
      </c>
      <c r="R366" s="102"/>
    </row>
    <row r="367" spans="2:18" ht="15" customHeight="1">
      <c r="B367" s="83">
        <v>550.8999458471568</v>
      </c>
      <c r="C367" s="83">
        <v>552.05593784654673</v>
      </c>
      <c r="D367" s="83">
        <v>548.02003095143561</v>
      </c>
      <c r="E367" s="83">
        <v>549.29550867558999</v>
      </c>
      <c r="F367" s="83">
        <v>4511857.2470682478</v>
      </c>
      <c r="G367" s="83" t="s">
        <v>1864</v>
      </c>
      <c r="H367" s="84">
        <f t="shared" si="5"/>
        <v>2.9208998548619913E-3</v>
      </c>
      <c r="J367" s="83">
        <v>196.63934523044699</v>
      </c>
      <c r="K367" s="83">
        <v>197.69686783797755</v>
      </c>
      <c r="L367" s="83">
        <v>195.41221994057662</v>
      </c>
      <c r="M367" s="83">
        <v>196.28018660902154</v>
      </c>
      <c r="N367" s="83">
        <v>7936984.0230648955</v>
      </c>
      <c r="O367" s="83" t="s">
        <v>1864</v>
      </c>
      <c r="P367" s="84">
        <f t="shared" si="6"/>
        <v>1.8298261665141702E-3</v>
      </c>
      <c r="R367" s="102"/>
    </row>
    <row r="368" spans="2:18" ht="15" customHeight="1">
      <c r="B368" s="83">
        <v>550.90991129542749</v>
      </c>
      <c r="C368" s="83">
        <v>550.98963488159222</v>
      </c>
      <c r="D368" s="83">
        <v>545.64815460854948</v>
      </c>
      <c r="E368" s="83">
        <v>546.16635791862086</v>
      </c>
      <c r="F368" s="83">
        <v>3451174.4044126086</v>
      </c>
      <c r="G368" s="83" t="s">
        <v>1863</v>
      </c>
      <c r="H368" s="84">
        <f t="shared" ref="H368:H431" si="7">B368/E368-1</f>
        <v>8.6851804546947964E-3</v>
      </c>
      <c r="J368" s="83">
        <v>197.10824676397468</v>
      </c>
      <c r="K368" s="83">
        <v>197.20801304770399</v>
      </c>
      <c r="L368" s="83">
        <v>194.74169074763202</v>
      </c>
      <c r="M368" s="83">
        <v>195.71151879176452</v>
      </c>
      <c r="N368" s="83">
        <v>6825775.9489944419</v>
      </c>
      <c r="O368" s="83" t="s">
        <v>1863</v>
      </c>
      <c r="P368" s="84">
        <f t="shared" ref="P368:P431" si="8">J368/M368-1</f>
        <v>7.1366671764285794E-3</v>
      </c>
      <c r="R368" s="102"/>
    </row>
    <row r="369" spans="2:18" ht="15" customHeight="1">
      <c r="B369" s="83">
        <v>545.29936391907859</v>
      </c>
      <c r="C369" s="83">
        <v>545.46877653967874</v>
      </c>
      <c r="D369" s="83">
        <v>538.45310095717491</v>
      </c>
      <c r="E369" s="83">
        <v>541.43276999008481</v>
      </c>
      <c r="F369" s="83">
        <v>7087844.7293101177</v>
      </c>
      <c r="G369" s="83" t="s">
        <v>1862</v>
      </c>
      <c r="H369" s="84">
        <f t="shared" si="7"/>
        <v>7.1414109808398685E-3</v>
      </c>
      <c r="J369" s="83">
        <v>195.53193948105178</v>
      </c>
      <c r="K369" s="83">
        <v>196.03077089969827</v>
      </c>
      <c r="L369" s="83">
        <v>191.18212951045436</v>
      </c>
      <c r="M369" s="83">
        <v>193.57652031995752</v>
      </c>
      <c r="N369" s="83">
        <v>15271634.29414748</v>
      </c>
      <c r="O369" s="83" t="s">
        <v>1862</v>
      </c>
      <c r="P369" s="84">
        <f t="shared" si="8"/>
        <v>1.0101530691130289E-2</v>
      </c>
      <c r="R369" s="102"/>
    </row>
    <row r="370" spans="2:18" ht="15" customHeight="1">
      <c r="B370" s="83">
        <v>541.42429935905466</v>
      </c>
      <c r="C370" s="83">
        <v>545.89444714108117</v>
      </c>
      <c r="D370" s="83">
        <v>532.29526422198273</v>
      </c>
      <c r="E370" s="83">
        <v>533.05022251405831</v>
      </c>
      <c r="F370" s="83">
        <v>9452116.6995613053</v>
      </c>
      <c r="G370" s="83" t="s">
        <v>1861</v>
      </c>
      <c r="H370" s="84">
        <f t="shared" si="7"/>
        <v>1.5709733325879105E-2</v>
      </c>
      <c r="J370" s="83">
        <v>192.50902108405404</v>
      </c>
      <c r="K370" s="83">
        <v>193.68167398300821</v>
      </c>
      <c r="L370" s="83">
        <v>185.9344229862933</v>
      </c>
      <c r="M370" s="83">
        <v>186.57292720216077</v>
      </c>
      <c r="N370" s="83">
        <v>45425870.650818862</v>
      </c>
      <c r="O370" s="83" t="s">
        <v>1861</v>
      </c>
      <c r="P370" s="84">
        <f t="shared" si="8"/>
        <v>3.1816480402117708E-2</v>
      </c>
      <c r="R370" s="102"/>
    </row>
    <row r="371" spans="2:18" ht="15" customHeight="1">
      <c r="B371" s="83">
        <v>535.36476569897434</v>
      </c>
      <c r="C371" s="83">
        <v>541.48390132948168</v>
      </c>
      <c r="D371" s="83">
        <v>535.07668950857703</v>
      </c>
      <c r="E371" s="83">
        <v>540.08325502444677</v>
      </c>
      <c r="F371" s="83">
        <v>16904264.956033021</v>
      </c>
      <c r="G371" s="83" t="s">
        <v>1860</v>
      </c>
      <c r="H371" s="84">
        <f t="shared" si="7"/>
        <v>-8.7365962221117588E-3</v>
      </c>
      <c r="J371" s="83">
        <v>189.25664023447891</v>
      </c>
      <c r="K371" s="83">
        <v>194.14518813721452</v>
      </c>
      <c r="L371" s="83">
        <v>189.0770609237662</v>
      </c>
      <c r="M371" s="83">
        <v>192.82827319198779</v>
      </c>
      <c r="N371" s="83">
        <v>27044403.170523673</v>
      </c>
      <c r="O371" s="83" t="s">
        <v>1860</v>
      </c>
      <c r="P371" s="84">
        <f t="shared" si="8"/>
        <v>-1.8522350993377512E-2</v>
      </c>
      <c r="R371" s="102"/>
    </row>
    <row r="372" spans="2:18" ht="15" customHeight="1">
      <c r="B372" s="83">
        <v>535.56343893373094</v>
      </c>
      <c r="C372" s="83">
        <v>553.83144286961283</v>
      </c>
      <c r="D372" s="83">
        <v>534.95748556772298</v>
      </c>
      <c r="E372" s="83">
        <v>551.61623630207521</v>
      </c>
      <c r="F372" s="83">
        <v>24749111.303395186</v>
      </c>
      <c r="G372" s="83" t="s">
        <v>1859</v>
      </c>
      <c r="H372" s="84">
        <f t="shared" si="7"/>
        <v>-2.9101386637853555E-2</v>
      </c>
      <c r="J372" s="83">
        <v>189.70558851126077</v>
      </c>
      <c r="K372" s="83">
        <v>198.2255293754591</v>
      </c>
      <c r="L372" s="83">
        <v>188.83762184281588</v>
      </c>
      <c r="M372" s="83">
        <v>196.3699762643779</v>
      </c>
      <c r="N372" s="83">
        <v>27703162.798960146</v>
      </c>
      <c r="O372" s="83" t="s">
        <v>1859</v>
      </c>
      <c r="P372" s="84">
        <f t="shared" si="8"/>
        <v>-3.3937915968094257E-2</v>
      </c>
      <c r="R372" s="102"/>
    </row>
    <row r="373" spans="2:18" ht="15" customHeight="1">
      <c r="B373" s="83">
        <v>551.76524122814283</v>
      </c>
      <c r="C373" s="83">
        <v>552.69403860063051</v>
      </c>
      <c r="D373" s="83">
        <v>550.61293646655361</v>
      </c>
      <c r="E373" s="83">
        <v>551.78510855161846</v>
      </c>
      <c r="F373" s="83">
        <v>6151689.2373373276</v>
      </c>
      <c r="G373" s="83" t="s">
        <v>1858</v>
      </c>
      <c r="H373" s="84">
        <f t="shared" si="7"/>
        <v>-3.6005544853834337E-5</v>
      </c>
      <c r="J373" s="83">
        <v>196.65929848719284</v>
      </c>
      <c r="K373" s="83">
        <v>202.40583643000042</v>
      </c>
      <c r="L373" s="83">
        <v>196.23030346715686</v>
      </c>
      <c r="M373" s="83">
        <v>198.06600308777595</v>
      </c>
      <c r="N373" s="83">
        <v>24186007.635076325</v>
      </c>
      <c r="O373" s="83" t="s">
        <v>1858</v>
      </c>
      <c r="P373" s="84">
        <f t="shared" si="8"/>
        <v>-7.1022011786632255E-3</v>
      </c>
      <c r="R373" s="102"/>
    </row>
    <row r="374" spans="2:18" ht="15" customHeight="1">
      <c r="B374" s="83">
        <v>554.08971807479656</v>
      </c>
      <c r="C374" s="83">
        <v>555.09132918782268</v>
      </c>
      <c r="D374" s="83">
        <v>552.72383958584396</v>
      </c>
      <c r="E374" s="83">
        <v>553.43409640009929</v>
      </c>
      <c r="F374" s="83">
        <v>22999352.708959177</v>
      </c>
      <c r="G374" s="83" t="s">
        <v>1857</v>
      </c>
      <c r="H374" s="84">
        <f t="shared" si="7"/>
        <v>1.1846427225243872E-3</v>
      </c>
      <c r="J374" s="83">
        <v>197.69686783797755</v>
      </c>
      <c r="K374" s="83">
        <v>200.17107167446414</v>
      </c>
      <c r="L374" s="83">
        <v>193.65633334694098</v>
      </c>
      <c r="M374" s="83">
        <v>193.9107373704507</v>
      </c>
      <c r="N374" s="83">
        <v>32324186.884120207</v>
      </c>
      <c r="O374" s="83" t="s">
        <v>1857</v>
      </c>
      <c r="P374" s="84">
        <f t="shared" si="8"/>
        <v>1.952512026342168E-2</v>
      </c>
      <c r="R374" s="102"/>
    </row>
    <row r="375" spans="2:18" ht="15" customHeight="1">
      <c r="B375" s="83">
        <v>551.92417981594815</v>
      </c>
      <c r="C375" s="83">
        <v>554.45726355909653</v>
      </c>
      <c r="D375" s="83">
        <v>550.5279043220778</v>
      </c>
      <c r="E375" s="83">
        <v>553.81157554613708</v>
      </c>
      <c r="F375" s="83">
        <v>4698028.9073304981</v>
      </c>
      <c r="G375" s="83" t="s">
        <v>1856</v>
      </c>
      <c r="H375" s="84">
        <f t="shared" si="7"/>
        <v>-3.4080106186434866E-3</v>
      </c>
      <c r="J375" s="83">
        <v>190.93271380113111</v>
      </c>
      <c r="K375" s="83">
        <v>193.88579579951835</v>
      </c>
      <c r="L375" s="83">
        <v>190.81299426065596</v>
      </c>
      <c r="M375" s="83">
        <v>192.2596053747308</v>
      </c>
      <c r="N375" s="83">
        <v>18927453.538549088</v>
      </c>
      <c r="O375" s="83" t="s">
        <v>1856</v>
      </c>
      <c r="P375" s="84">
        <f t="shared" si="8"/>
        <v>-6.9015619324374056E-3</v>
      </c>
    </row>
    <row r="376" spans="2:18" ht="15" customHeight="1">
      <c r="B376" s="83">
        <v>551.96391446289942</v>
      </c>
      <c r="C376" s="83">
        <v>554.49699820604792</v>
      </c>
      <c r="D376" s="83">
        <v>551.93411347768597</v>
      </c>
      <c r="E376" s="83">
        <v>553.97051413394252</v>
      </c>
      <c r="F376" s="83">
        <v>4075639.0813863762</v>
      </c>
      <c r="G376" s="83" t="s">
        <v>1855</v>
      </c>
      <c r="H376" s="84">
        <f t="shared" si="7"/>
        <v>-3.6222138540715765E-3</v>
      </c>
      <c r="J376" s="83">
        <v>193.17745518504034</v>
      </c>
      <c r="K376" s="83">
        <v>196.24556770856745</v>
      </c>
      <c r="L376" s="83">
        <v>192.82827319198779</v>
      </c>
      <c r="M376" s="83">
        <v>195.8412149606126</v>
      </c>
      <c r="N376" s="83">
        <v>25256786.218849789</v>
      </c>
      <c r="O376" s="83" t="s">
        <v>1855</v>
      </c>
      <c r="P376" s="84">
        <f t="shared" si="8"/>
        <v>-1.3601630157921485E-2</v>
      </c>
    </row>
    <row r="377" spans="2:18" ht="15" customHeight="1">
      <c r="B377" s="83">
        <v>554.8248090433965</v>
      </c>
      <c r="C377" s="83">
        <v>555.67910395285048</v>
      </c>
      <c r="D377" s="83">
        <v>552.96721429842103</v>
      </c>
      <c r="E377" s="83">
        <v>553.22548950360476</v>
      </c>
      <c r="F377" s="83">
        <v>3537886.7257114095</v>
      </c>
      <c r="G377" s="83" t="s">
        <v>1854</v>
      </c>
      <c r="H377" s="84">
        <f t="shared" si="7"/>
        <v>2.8908999497234689E-3</v>
      </c>
      <c r="J377" s="83">
        <v>196.25025672390274</v>
      </c>
      <c r="K377" s="83">
        <v>196.42983603461545</v>
      </c>
      <c r="L377" s="83">
        <v>185.82468007419104</v>
      </c>
      <c r="M377" s="83">
        <v>186.26365172259995</v>
      </c>
      <c r="N377" s="83">
        <v>41762093.808215499</v>
      </c>
      <c r="O377" s="83" t="s">
        <v>1854</v>
      </c>
      <c r="P377" s="84">
        <f t="shared" si="8"/>
        <v>5.3615425816818663E-2</v>
      </c>
    </row>
    <row r="378" spans="2:18" ht="15" customHeight="1">
      <c r="B378" s="83">
        <v>550.65267111350511</v>
      </c>
      <c r="C378" s="83">
        <v>553.18575485665338</v>
      </c>
      <c r="D378" s="83">
        <v>549.89771282142954</v>
      </c>
      <c r="E378" s="83">
        <v>552.88774500451837</v>
      </c>
      <c r="F378" s="83">
        <v>4137560.8597027324</v>
      </c>
      <c r="G378" s="83" t="s">
        <v>1853</v>
      </c>
      <c r="H378" s="84">
        <f t="shared" si="7"/>
        <v>-4.0425455460131321E-3</v>
      </c>
      <c r="J378" s="83">
        <v>186.09404904026016</v>
      </c>
      <c r="K378" s="83">
        <v>187.59054329619963</v>
      </c>
      <c r="L378" s="83">
        <v>182.24307048830923</v>
      </c>
      <c r="M378" s="83">
        <v>184.10371167986065</v>
      </c>
      <c r="N378" s="83">
        <v>34397831.328583419</v>
      </c>
      <c r="O378" s="83" t="s">
        <v>1853</v>
      </c>
      <c r="P378" s="84">
        <f t="shared" si="8"/>
        <v>1.0810957270978472E-2</v>
      </c>
    </row>
    <row r="379" spans="2:18" ht="15" customHeight="1">
      <c r="B379" s="83">
        <v>552.22218966808327</v>
      </c>
      <c r="C379" s="83">
        <v>555.15758671161404</v>
      </c>
      <c r="D379" s="83">
        <v>551.69570559597787</v>
      </c>
      <c r="E379" s="83">
        <v>555.00361495467757</v>
      </c>
      <c r="F379" s="83">
        <v>4441741.7428196585</v>
      </c>
      <c r="G379" s="83" t="s">
        <v>1852</v>
      </c>
      <c r="H379" s="84">
        <f t="shared" si="7"/>
        <v>-5.0115444506094731E-3</v>
      </c>
      <c r="J379" s="83">
        <v>176.68608848458732</v>
      </c>
      <c r="K379" s="83">
        <v>177.62389155164271</v>
      </c>
      <c r="L379" s="83">
        <v>174.99006166118926</v>
      </c>
      <c r="M379" s="83">
        <v>175.30432545493656</v>
      </c>
      <c r="N379" s="83">
        <v>19934375.879894145</v>
      </c>
      <c r="O379" s="83" t="s">
        <v>1852</v>
      </c>
      <c r="P379" s="84">
        <f t="shared" si="8"/>
        <v>7.882081780155259E-3</v>
      </c>
    </row>
    <row r="380" spans="2:18" ht="15" customHeight="1">
      <c r="B380" s="83">
        <v>555.1128852337938</v>
      </c>
      <c r="C380" s="83">
        <v>556.24532267190716</v>
      </c>
      <c r="D380" s="83">
        <v>554.37779426519387</v>
      </c>
      <c r="E380" s="83">
        <v>554.76520707296947</v>
      </c>
      <c r="F380" s="83">
        <v>5169171.3846481517</v>
      </c>
      <c r="G380" s="83" t="s">
        <v>1851</v>
      </c>
      <c r="H380" s="84">
        <f t="shared" si="7"/>
        <v>6.2671226744503983E-4</v>
      </c>
      <c r="J380" s="83">
        <v>175.87798158638012</v>
      </c>
      <c r="K380" s="83">
        <v>176.22567169786225</v>
      </c>
      <c r="L380" s="83">
        <v>172.94817669168944</v>
      </c>
      <c r="M380" s="83">
        <v>173.27703234313429</v>
      </c>
      <c r="N380" s="83">
        <v>13365898.231299933</v>
      </c>
      <c r="O380" s="83" t="s">
        <v>1851</v>
      </c>
      <c r="P380" s="84">
        <f t="shared" si="8"/>
        <v>1.5010351966873836E-2</v>
      </c>
    </row>
    <row r="381" spans="2:18" ht="15" customHeight="1">
      <c r="B381" s="83">
        <v>554.0102487808939</v>
      </c>
      <c r="C381" s="83">
        <v>555.69897127632612</v>
      </c>
      <c r="D381" s="83">
        <v>553.76190723744799</v>
      </c>
      <c r="E381" s="83">
        <v>554.9241456607748</v>
      </c>
      <c r="F381" s="83">
        <v>3041739.3703784416</v>
      </c>
      <c r="G381" s="83" t="s">
        <v>1850</v>
      </c>
      <c r="H381" s="84">
        <f t="shared" si="7"/>
        <v>-1.6468861321445871E-3</v>
      </c>
      <c r="J381" s="83">
        <v>173.70554122228972</v>
      </c>
      <c r="K381" s="83">
        <v>177.09375096444901</v>
      </c>
      <c r="L381" s="83">
        <v>173.40658153915803</v>
      </c>
      <c r="M381" s="83">
        <v>176.70510337637779</v>
      </c>
      <c r="N381" s="83">
        <v>16201703.016477337</v>
      </c>
      <c r="O381" s="83" t="s">
        <v>1850</v>
      </c>
      <c r="P381" s="84">
        <f t="shared" si="8"/>
        <v>-1.6974960523347571E-2</v>
      </c>
    </row>
    <row r="382" spans="2:18" ht="15" customHeight="1">
      <c r="B382" s="83">
        <v>554.93407932251262</v>
      </c>
      <c r="C382" s="83">
        <v>555.17248720422072</v>
      </c>
      <c r="D382" s="83">
        <v>552.48145823944083</v>
      </c>
      <c r="E382" s="83">
        <v>553.13608654796428</v>
      </c>
      <c r="F382" s="83">
        <v>5526986.0650556246</v>
      </c>
      <c r="G382" s="83" t="s">
        <v>1849</v>
      </c>
      <c r="H382" s="84">
        <f t="shared" si="7"/>
        <v>3.2505432537757173E-3</v>
      </c>
      <c r="J382" s="83">
        <v>175.47936867553784</v>
      </c>
      <c r="K382" s="83">
        <v>175.81818964975378</v>
      </c>
      <c r="L382" s="83">
        <v>172.15095087000489</v>
      </c>
      <c r="M382" s="83">
        <v>172.18084683831805</v>
      </c>
      <c r="N382" s="83">
        <v>18303312.816897195</v>
      </c>
      <c r="O382" s="83" t="s">
        <v>1849</v>
      </c>
      <c r="P382" s="84">
        <f t="shared" si="8"/>
        <v>1.9157309873828021E-2</v>
      </c>
    </row>
    <row r="383" spans="2:18" ht="15" customHeight="1">
      <c r="B383" s="83">
        <v>551.45729771426977</v>
      </c>
      <c r="C383" s="83">
        <v>551.74547324128446</v>
      </c>
      <c r="D383" s="83">
        <v>550.11625337966177</v>
      </c>
      <c r="E383" s="83">
        <v>551.11955321518337</v>
      </c>
      <c r="F383" s="83">
        <v>4230973.5432115309</v>
      </c>
      <c r="G383" s="83" t="s">
        <v>1848</v>
      </c>
      <c r="H383" s="84">
        <f t="shared" si="7"/>
        <v>6.1283345349671947E-4</v>
      </c>
      <c r="J383" s="83">
        <v>172.42001458482343</v>
      </c>
      <c r="K383" s="83">
        <v>173.71550654506078</v>
      </c>
      <c r="L383" s="83">
        <v>171.9117831234995</v>
      </c>
      <c r="M383" s="83">
        <v>172.51966781253398</v>
      </c>
      <c r="N383" s="83">
        <v>15776190.456832433</v>
      </c>
      <c r="O383" s="83" t="s">
        <v>1848</v>
      </c>
      <c r="P383" s="84">
        <f t="shared" si="8"/>
        <v>-5.7763401109045542E-4</v>
      </c>
    </row>
    <row r="384" spans="2:18" ht="15" customHeight="1">
      <c r="B384" s="83">
        <v>551.3281601116779</v>
      </c>
      <c r="C384" s="83">
        <v>551.88444516899688</v>
      </c>
      <c r="D384" s="83">
        <v>550.21558999704018</v>
      </c>
      <c r="E384" s="83">
        <v>550.68247209871856</v>
      </c>
      <c r="F384" s="83">
        <v>5477346.7665760098</v>
      </c>
      <c r="G384" s="83" t="s">
        <v>1847</v>
      </c>
      <c r="H384" s="84">
        <f t="shared" si="7"/>
        <v>1.1725232700772192E-3</v>
      </c>
      <c r="J384" s="83">
        <v>172.38015329373917</v>
      </c>
      <c r="K384" s="83">
        <v>172.9980033055447</v>
      </c>
      <c r="L384" s="83">
        <v>169.67955082278283</v>
      </c>
      <c r="M384" s="83">
        <v>169.72937743663809</v>
      </c>
      <c r="N384" s="83">
        <v>16651185.69786218</v>
      </c>
      <c r="O384" s="83" t="s">
        <v>1847</v>
      </c>
      <c r="P384" s="84">
        <f t="shared" si="8"/>
        <v>1.5617660873649575E-2</v>
      </c>
    </row>
    <row r="385" spans="2:18" ht="15" customHeight="1">
      <c r="B385" s="83">
        <v>549.77850888057549</v>
      </c>
      <c r="C385" s="83">
        <v>551.02021659780507</v>
      </c>
      <c r="D385" s="83">
        <v>547.41429738697036</v>
      </c>
      <c r="E385" s="83">
        <v>547.6328379452026</v>
      </c>
      <c r="F385" s="83">
        <v>4015364.2284870273</v>
      </c>
      <c r="G385" s="83" t="s">
        <v>1846</v>
      </c>
      <c r="H385" s="84">
        <f t="shared" si="7"/>
        <v>3.9180830415936896E-3</v>
      </c>
      <c r="J385" s="83">
        <v>169.89878792374608</v>
      </c>
      <c r="K385" s="83">
        <v>170.27747018904623</v>
      </c>
      <c r="L385" s="83">
        <v>168.1648217615822</v>
      </c>
      <c r="M385" s="83">
        <v>169.47027904459063</v>
      </c>
      <c r="N385" s="83">
        <v>9282902.5336417221</v>
      </c>
      <c r="O385" s="83" t="s">
        <v>1846</v>
      </c>
      <c r="P385" s="84">
        <f t="shared" si="8"/>
        <v>2.5285193461133115E-3</v>
      </c>
    </row>
    <row r="386" spans="2:18" ht="15" customHeight="1">
      <c r="B386" s="83">
        <v>546.89774697660266</v>
      </c>
      <c r="C386" s="83">
        <v>548.71560707462686</v>
      </c>
      <c r="D386" s="83">
        <v>545.46729968635429</v>
      </c>
      <c r="E386" s="83">
        <v>548.37786257554035</v>
      </c>
      <c r="F386" s="83">
        <v>3334338.4216355425</v>
      </c>
      <c r="G386" s="83" t="s">
        <v>1845</v>
      </c>
      <c r="H386" s="84">
        <f t="shared" si="7"/>
        <v>-2.6990797768278174E-3</v>
      </c>
      <c r="J386" s="83">
        <v>170.22764357519094</v>
      </c>
      <c r="K386" s="83">
        <v>170.54653390386474</v>
      </c>
      <c r="L386" s="83">
        <v>169.0816314565194</v>
      </c>
      <c r="M386" s="83">
        <v>170.08812905639616</v>
      </c>
      <c r="N386" s="83">
        <v>12476636.518098013</v>
      </c>
      <c r="O386" s="83" t="s">
        <v>1845</v>
      </c>
      <c r="P386" s="84">
        <f t="shared" si="8"/>
        <v>8.2024841809236193E-4</v>
      </c>
    </row>
    <row r="387" spans="2:18" ht="15" customHeight="1">
      <c r="B387" s="83">
        <v>548.64607144246202</v>
      </c>
      <c r="C387" s="83">
        <v>549.15258885447429</v>
      </c>
      <c r="D387" s="83">
        <v>546.20239065495423</v>
      </c>
      <c r="E387" s="83">
        <v>546.84807866791357</v>
      </c>
      <c r="F387" s="83">
        <v>4468215.3642233675</v>
      </c>
      <c r="G387" s="83" t="s">
        <v>1844</v>
      </c>
      <c r="H387" s="84">
        <f t="shared" si="7"/>
        <v>3.2879200726612101E-3</v>
      </c>
      <c r="J387" s="83">
        <v>170.02833711976982</v>
      </c>
      <c r="K387" s="83">
        <v>170.90030286223728</v>
      </c>
      <c r="L387" s="83">
        <v>168.84246371001407</v>
      </c>
      <c r="M387" s="83">
        <v>168.90225564664041</v>
      </c>
      <c r="N387" s="83">
        <v>14989457.28419796</v>
      </c>
      <c r="O387" s="83" t="s">
        <v>1844</v>
      </c>
      <c r="P387" s="84">
        <f t="shared" si="8"/>
        <v>6.667060003539893E-3</v>
      </c>
      <c r="R387" s="102"/>
    </row>
    <row r="388" spans="2:18" ht="15" customHeight="1">
      <c r="B388" s="83">
        <v>545.58650362720834</v>
      </c>
      <c r="C388" s="83">
        <v>548.71560707462686</v>
      </c>
      <c r="D388" s="83">
        <v>543.56987095781005</v>
      </c>
      <c r="E388" s="83">
        <v>547.54343498956223</v>
      </c>
      <c r="F388" s="83">
        <v>4333750.3466647081</v>
      </c>
      <c r="G388" s="83" t="s">
        <v>1843</v>
      </c>
      <c r="H388" s="84">
        <f t="shared" si="7"/>
        <v>-3.5740203193034281E-3</v>
      </c>
      <c r="J388" s="83">
        <v>168.84246371001407</v>
      </c>
      <c r="K388" s="83">
        <v>169.8688919554329</v>
      </c>
      <c r="L388" s="83">
        <v>166.81950318748954</v>
      </c>
      <c r="M388" s="83">
        <v>167.40745723098189</v>
      </c>
      <c r="N388" s="83">
        <v>21470104.372476041</v>
      </c>
      <c r="O388" s="83" t="s">
        <v>1843</v>
      </c>
      <c r="P388" s="84">
        <f t="shared" si="8"/>
        <v>8.5719388058813628E-3</v>
      </c>
      <c r="R388" s="102"/>
    </row>
    <row r="389" spans="2:18" ht="15" customHeight="1">
      <c r="B389" s="83">
        <v>543.8381791613491</v>
      </c>
      <c r="C389" s="83">
        <v>544.41393419567407</v>
      </c>
      <c r="D389" s="83">
        <v>541.75211019640335</v>
      </c>
      <c r="E389" s="83">
        <v>542.19912497460598</v>
      </c>
      <c r="F389" s="83">
        <v>5611815.81084718</v>
      </c>
      <c r="G389" s="83" t="s">
        <v>1842</v>
      </c>
      <c r="H389" s="84">
        <f t="shared" si="7"/>
        <v>3.0229746070133956E-3</v>
      </c>
      <c r="J389" s="83">
        <v>165.99238139749181</v>
      </c>
      <c r="K389" s="83">
        <v>167.68100534104738</v>
      </c>
      <c r="L389" s="83">
        <v>165.13536363918095</v>
      </c>
      <c r="M389" s="83">
        <v>166.58033544098419</v>
      </c>
      <c r="N389" s="83">
        <v>24582286.557891726</v>
      </c>
      <c r="O389" s="83" t="s">
        <v>1842</v>
      </c>
      <c r="P389" s="84">
        <f t="shared" si="8"/>
        <v>-3.5295525245275794E-3</v>
      </c>
      <c r="R389" s="102"/>
    </row>
    <row r="390" spans="2:18" ht="15" customHeight="1">
      <c r="B390" s="83">
        <v>542.02031906332491</v>
      </c>
      <c r="C390" s="83">
        <v>543.44083269183557</v>
      </c>
      <c r="D390" s="83">
        <v>536.45746849013631</v>
      </c>
      <c r="E390" s="83">
        <v>541.96071709289788</v>
      </c>
      <c r="F390" s="83">
        <v>4560875.0524926046</v>
      </c>
      <c r="G390" s="83" t="s">
        <v>1841</v>
      </c>
      <c r="H390" s="84">
        <f t="shared" si="7"/>
        <v>1.0997470581775026E-4</v>
      </c>
      <c r="J390" s="83">
        <v>168.65312257736397</v>
      </c>
      <c r="K390" s="83">
        <v>174.97113721421394</v>
      </c>
      <c r="L390" s="83">
        <v>164.73675072833868</v>
      </c>
      <c r="M390" s="83">
        <v>174.84657067957573</v>
      </c>
      <c r="N390" s="83">
        <v>38974584.05743286</v>
      </c>
      <c r="O390" s="83" t="s">
        <v>1841</v>
      </c>
      <c r="P390" s="84">
        <f t="shared" si="8"/>
        <v>-3.5422188025419632E-2</v>
      </c>
      <c r="R390" s="102"/>
    </row>
    <row r="391" spans="2:18" ht="15" customHeight="1">
      <c r="B391" s="83">
        <v>539.29849574715763</v>
      </c>
      <c r="C391" s="83">
        <v>539.46736799670089</v>
      </c>
      <c r="D391" s="83">
        <v>533.87471643829883</v>
      </c>
      <c r="E391" s="83">
        <v>539.17929180630358</v>
      </c>
      <c r="F391" s="83">
        <v>3975432.327193358</v>
      </c>
      <c r="G391" s="83" t="s">
        <v>1840</v>
      </c>
      <c r="H391" s="84">
        <f t="shared" si="7"/>
        <v>2.2108404878595778E-4</v>
      </c>
      <c r="J391" s="83">
        <v>176.71506869914887</v>
      </c>
      <c r="K391" s="83">
        <v>178.48889615239696</v>
      </c>
      <c r="L391" s="83">
        <v>174.72200414493753</v>
      </c>
      <c r="M391" s="83">
        <v>178.20986711480739</v>
      </c>
      <c r="N391" s="83">
        <v>15784542.419123281</v>
      </c>
      <c r="O391" s="83" t="s">
        <v>1840</v>
      </c>
      <c r="P391" s="84">
        <f t="shared" si="8"/>
        <v>-8.3878543868479705E-3</v>
      </c>
      <c r="R391" s="102"/>
    </row>
    <row r="392" spans="2:18" ht="15" customHeight="1">
      <c r="B392" s="83">
        <v>539.09982251240092</v>
      </c>
      <c r="C392" s="83">
        <v>539.76537784883601</v>
      </c>
      <c r="D392" s="83">
        <v>533.3382987044555</v>
      </c>
      <c r="E392" s="83">
        <v>533.93431840872574</v>
      </c>
      <c r="F392" s="83">
        <v>7024975.4664181583</v>
      </c>
      <c r="G392" s="83" t="s">
        <v>1839</v>
      </c>
      <c r="H392" s="84">
        <f t="shared" si="7"/>
        <v>9.674418604651347E-3</v>
      </c>
      <c r="J392" s="83">
        <v>178.95726632263663</v>
      </c>
      <c r="K392" s="83">
        <v>179.54522036612897</v>
      </c>
      <c r="L392" s="83">
        <v>174.50874623763693</v>
      </c>
      <c r="M392" s="83">
        <v>174.62733357861251</v>
      </c>
      <c r="N392" s="83">
        <v>15446429.938734178</v>
      </c>
      <c r="O392" s="83" t="s">
        <v>1839</v>
      </c>
      <c r="P392" s="84">
        <f t="shared" si="8"/>
        <v>2.4795274916540544E-2</v>
      </c>
      <c r="R392" s="102"/>
    </row>
    <row r="393" spans="2:18" ht="15" customHeight="1">
      <c r="B393" s="83">
        <v>537.14289115004703</v>
      </c>
      <c r="C393" s="83">
        <v>538.33493055858742</v>
      </c>
      <c r="D393" s="83">
        <v>534.57503959081623</v>
      </c>
      <c r="E393" s="83">
        <v>535.34489837549859</v>
      </c>
      <c r="F393" s="83">
        <v>4534325.9302293137</v>
      </c>
      <c r="G393" s="83" t="s">
        <v>1838</v>
      </c>
      <c r="H393" s="84">
        <f t="shared" si="7"/>
        <v>3.3585689898314453E-3</v>
      </c>
      <c r="J393" s="83">
        <v>176.18690659228287</v>
      </c>
      <c r="K393" s="83">
        <v>176.29652514276447</v>
      </c>
      <c r="L393" s="83">
        <v>173.81515977277135</v>
      </c>
      <c r="M393" s="83">
        <v>174.34830454102291</v>
      </c>
      <c r="N393" s="83">
        <v>18790582.533248302</v>
      </c>
      <c r="O393" s="83" t="s">
        <v>1838</v>
      </c>
      <c r="P393" s="84">
        <f t="shared" si="8"/>
        <v>1.0545568860564014E-2</v>
      </c>
      <c r="R393" s="102"/>
    </row>
    <row r="394" spans="2:18" ht="15" customHeight="1">
      <c r="B394" s="83">
        <v>534.92768458250941</v>
      </c>
      <c r="C394" s="83">
        <v>538.97068490980905</v>
      </c>
      <c r="D394" s="83">
        <v>533.18929377838799</v>
      </c>
      <c r="E394" s="83">
        <v>538.53360379334424</v>
      </c>
      <c r="F394" s="83">
        <v>7409265.7815855956</v>
      </c>
      <c r="G394" s="83" t="s">
        <v>1837</v>
      </c>
      <c r="H394" s="84">
        <f t="shared" si="7"/>
        <v>-6.6958109678492139E-3</v>
      </c>
      <c r="J394" s="83">
        <v>173.28699766590535</v>
      </c>
      <c r="K394" s="83">
        <v>175.27009689734564</v>
      </c>
      <c r="L394" s="83">
        <v>172.14596820861937</v>
      </c>
      <c r="M394" s="83">
        <v>175.03092915084025</v>
      </c>
      <c r="N394" s="83">
        <v>21784412.305290531</v>
      </c>
      <c r="O394" s="83" t="s">
        <v>1837</v>
      </c>
      <c r="P394" s="84">
        <f t="shared" si="8"/>
        <v>-9.9635618310178753E-3</v>
      </c>
      <c r="R394" s="102"/>
    </row>
    <row r="395" spans="2:18" ht="15" customHeight="1">
      <c r="B395" s="83">
        <v>541.92098244594649</v>
      </c>
      <c r="C395" s="83">
        <v>545.92424812629474</v>
      </c>
      <c r="D395" s="83">
        <v>541.26536077124933</v>
      </c>
      <c r="E395" s="83">
        <v>545.45736602461648</v>
      </c>
      <c r="F395" s="83">
        <v>3966595.7065879218</v>
      </c>
      <c r="G395" s="83" t="s">
        <v>1836</v>
      </c>
      <c r="H395" s="84">
        <f t="shared" si="7"/>
        <v>-6.4833363686033207E-3</v>
      </c>
      <c r="J395" s="83">
        <v>176.73499934469098</v>
      </c>
      <c r="K395" s="83">
        <v>179.81926674233301</v>
      </c>
      <c r="L395" s="83">
        <v>175.4195767389115</v>
      </c>
      <c r="M395" s="83">
        <v>179.12667680974459</v>
      </c>
      <c r="N395" s="83">
        <v>17988140.887983654</v>
      </c>
      <c r="O395" s="83" t="s">
        <v>1836</v>
      </c>
      <c r="P395" s="84">
        <f t="shared" si="8"/>
        <v>-1.3351877607788665E-2</v>
      </c>
      <c r="R395" s="102"/>
    </row>
    <row r="396" spans="2:18" ht="15" customHeight="1">
      <c r="B396" s="83">
        <v>545.38783039245152</v>
      </c>
      <c r="C396" s="83">
        <v>547.22555781395135</v>
      </c>
      <c r="D396" s="83">
        <v>543.34149607445727</v>
      </c>
      <c r="E396" s="83">
        <v>545.51696799504339</v>
      </c>
      <c r="F396" s="83">
        <v>3726289.5573551976</v>
      </c>
      <c r="G396" s="83" t="s">
        <v>1835</v>
      </c>
      <c r="H396" s="84">
        <f t="shared" si="7"/>
        <v>-2.3672518027528788E-4</v>
      </c>
      <c r="J396" s="83">
        <v>179.8641106948028</v>
      </c>
      <c r="K396" s="83">
        <v>181.98174178365235</v>
      </c>
      <c r="L396" s="83">
        <v>179.49539375227369</v>
      </c>
      <c r="M396" s="83">
        <v>181.51835427479821</v>
      </c>
      <c r="N396" s="83">
        <v>14018320.651463106</v>
      </c>
      <c r="O396" s="83" t="s">
        <v>1835</v>
      </c>
      <c r="P396" s="84">
        <f t="shared" si="8"/>
        <v>-9.1133681032116165E-3</v>
      </c>
      <c r="R396" s="102"/>
    </row>
    <row r="397" spans="2:18" ht="15" customHeight="1">
      <c r="B397" s="83">
        <v>545.10968786379215</v>
      </c>
      <c r="C397" s="83">
        <v>547.28515978437838</v>
      </c>
      <c r="D397" s="83">
        <v>542.80507834061393</v>
      </c>
      <c r="E397" s="83">
        <v>546.73880838879734</v>
      </c>
      <c r="F397" s="83">
        <v>4850792.3132173652</v>
      </c>
      <c r="G397" s="83" t="s">
        <v>1834</v>
      </c>
      <c r="H397" s="84">
        <f t="shared" si="7"/>
        <v>-2.9797052998782325E-3</v>
      </c>
      <c r="J397" s="83">
        <v>182.68429703901182</v>
      </c>
      <c r="K397" s="83">
        <v>183.38685229437135</v>
      </c>
      <c r="L397" s="83">
        <v>180.36237683335563</v>
      </c>
      <c r="M397" s="83">
        <v>180.75102442142682</v>
      </c>
      <c r="N397" s="83">
        <v>14114791.184539283</v>
      </c>
      <c r="O397" s="83" t="s">
        <v>1834</v>
      </c>
      <c r="P397" s="84">
        <f t="shared" si="8"/>
        <v>1.0695776822141401E-2</v>
      </c>
      <c r="R397" s="102"/>
    </row>
    <row r="398" spans="2:18" ht="15" customHeight="1">
      <c r="B398" s="83">
        <v>546.74874205053516</v>
      </c>
      <c r="C398" s="83">
        <v>548.06991906166752</v>
      </c>
      <c r="D398" s="83">
        <v>545.20902448117056</v>
      </c>
      <c r="E398" s="83">
        <v>547.77190920953228</v>
      </c>
      <c r="F398" s="83">
        <v>4925805.9405851793</v>
      </c>
      <c r="G398" s="83" t="s">
        <v>1833</v>
      </c>
      <c r="H398" s="84">
        <f t="shared" si="7"/>
        <v>-1.8678708086247164E-3</v>
      </c>
      <c r="J398" s="83">
        <v>181.33897846491919</v>
      </c>
      <c r="K398" s="83">
        <v>181.45357967678635</v>
      </c>
      <c r="L398" s="83">
        <v>179.36584455624995</v>
      </c>
      <c r="M398" s="83">
        <v>179.4455671384184</v>
      </c>
      <c r="N398" s="83">
        <v>12546931.280856181</v>
      </c>
      <c r="O398" s="83" t="s">
        <v>1833</v>
      </c>
      <c r="P398" s="84">
        <f t="shared" si="8"/>
        <v>1.0551452213028334E-2</v>
      </c>
      <c r="R398" s="102"/>
    </row>
    <row r="399" spans="2:18" ht="15" customHeight="1">
      <c r="B399" s="83">
        <v>546.30172727233264</v>
      </c>
      <c r="C399" s="83">
        <v>547.5831696365135</v>
      </c>
      <c r="D399" s="83">
        <v>544.4242652038813</v>
      </c>
      <c r="E399" s="83">
        <v>544.43419886561924</v>
      </c>
      <c r="F399" s="83">
        <v>6843373.7522054855</v>
      </c>
      <c r="G399" s="83" t="s">
        <v>1832</v>
      </c>
      <c r="H399" s="84">
        <f t="shared" si="7"/>
        <v>3.4302187676757967E-3</v>
      </c>
      <c r="J399" s="83">
        <v>179.23629536022622</v>
      </c>
      <c r="K399" s="83">
        <v>181.71766073021934</v>
      </c>
      <c r="L399" s="83">
        <v>178.94730099986558</v>
      </c>
      <c r="M399" s="83">
        <v>181.36887443323235</v>
      </c>
      <c r="N399" s="83">
        <v>15073820.833609702</v>
      </c>
      <c r="O399" s="83" t="s">
        <v>1832</v>
      </c>
      <c r="P399" s="84">
        <f t="shared" si="8"/>
        <v>-1.1758241758241694E-2</v>
      </c>
      <c r="R399" s="102"/>
    </row>
    <row r="400" spans="2:18" ht="15" customHeight="1">
      <c r="B400" s="83">
        <v>543.89778113177601</v>
      </c>
      <c r="C400" s="83">
        <v>544.83651216600163</v>
      </c>
      <c r="D400" s="83">
        <v>541.53356963817089</v>
      </c>
      <c r="E400" s="83">
        <v>541.60310527033573</v>
      </c>
      <c r="F400" s="83">
        <v>6091687.1942106001</v>
      </c>
      <c r="G400" s="83" t="s">
        <v>1831</v>
      </c>
      <c r="H400" s="84">
        <f t="shared" si="7"/>
        <v>4.23682183338836E-3</v>
      </c>
      <c r="J400" s="83">
        <v>181.64790347082194</v>
      </c>
      <c r="K400" s="83">
        <v>181.94686315395364</v>
      </c>
      <c r="L400" s="83">
        <v>178.26965905143371</v>
      </c>
      <c r="M400" s="83">
        <v>178.48889615239696</v>
      </c>
      <c r="N400" s="83">
        <v>16788625.300318204</v>
      </c>
      <c r="O400" s="83" t="s">
        <v>1831</v>
      </c>
      <c r="P400" s="84">
        <f t="shared" si="8"/>
        <v>1.7698620959187172E-2</v>
      </c>
      <c r="R400" s="102"/>
    </row>
    <row r="401" spans="2:18" ht="15" customHeight="1">
      <c r="B401" s="83">
        <v>539.69584221667105</v>
      </c>
      <c r="C401" s="83">
        <v>540.5302698026494</v>
      </c>
      <c r="D401" s="83">
        <v>534.59987374516083</v>
      </c>
      <c r="E401" s="83">
        <v>538.05678802992804</v>
      </c>
      <c r="F401" s="83">
        <v>7533311.6805219874</v>
      </c>
      <c r="G401" s="83" t="s">
        <v>1830</v>
      </c>
      <c r="H401" s="84">
        <f t="shared" si="7"/>
        <v>3.0462475768484598E-3</v>
      </c>
      <c r="J401" s="83">
        <v>177.71160097625454</v>
      </c>
      <c r="K401" s="83">
        <v>178.02052598215727</v>
      </c>
      <c r="L401" s="83">
        <v>174.43300978457685</v>
      </c>
      <c r="M401" s="83">
        <v>174.74193479047963</v>
      </c>
      <c r="N401" s="83">
        <v>27155678.367586277</v>
      </c>
      <c r="O401" s="83" t="s">
        <v>1830</v>
      </c>
      <c r="P401" s="84">
        <f t="shared" si="8"/>
        <v>1.6994582264043379E-2</v>
      </c>
      <c r="R401" s="102"/>
    </row>
    <row r="402" spans="2:18" ht="15" customHeight="1">
      <c r="B402" s="83">
        <v>526.58340872272663</v>
      </c>
      <c r="C402" s="83">
        <v>526.65294435489136</v>
      </c>
      <c r="D402" s="83">
        <v>521.00069082606228</v>
      </c>
      <c r="E402" s="83">
        <v>521.23909870777038</v>
      </c>
      <c r="F402" s="83">
        <v>3322318.6847901442</v>
      </c>
      <c r="G402" s="83" t="s">
        <v>1829</v>
      </c>
      <c r="H402" s="84">
        <f t="shared" si="7"/>
        <v>1.0253087360878377E-2</v>
      </c>
      <c r="J402" s="83">
        <v>170.81559761868328</v>
      </c>
      <c r="K402" s="83">
        <v>171.50051425273801</v>
      </c>
      <c r="L402" s="83">
        <v>169.77920405049338</v>
      </c>
      <c r="M402" s="83">
        <v>170.23760889796202</v>
      </c>
      <c r="N402" s="83">
        <v>12561842.990533222</v>
      </c>
      <c r="O402" s="83" t="s">
        <v>1829</v>
      </c>
      <c r="P402" s="84">
        <f t="shared" si="8"/>
        <v>3.3951881987939192E-3</v>
      </c>
      <c r="R402" s="102"/>
    </row>
    <row r="403" spans="2:18" ht="15" customHeight="1">
      <c r="B403" s="83">
        <v>520.32520182788937</v>
      </c>
      <c r="C403" s="83">
        <v>522.78874993887291</v>
      </c>
      <c r="D403" s="83">
        <v>518.56704303690969</v>
      </c>
      <c r="E403" s="83">
        <v>521.57684320685678</v>
      </c>
      <c r="F403" s="83">
        <v>3706046.2668841663</v>
      </c>
      <c r="G403" s="83" t="s">
        <v>1828</v>
      </c>
      <c r="H403" s="84">
        <f t="shared" si="7"/>
        <v>-2.3997257456290777E-3</v>
      </c>
      <c r="J403" s="83">
        <v>170.08812905639616</v>
      </c>
      <c r="K403" s="83">
        <v>171.32382908000716</v>
      </c>
      <c r="L403" s="83">
        <v>168.89727298525489</v>
      </c>
      <c r="M403" s="83">
        <v>170.64618713157532</v>
      </c>
      <c r="N403" s="83">
        <v>16250345.6958101</v>
      </c>
      <c r="O403" s="83" t="s">
        <v>1828</v>
      </c>
      <c r="P403" s="84">
        <f t="shared" si="8"/>
        <v>-3.2702639570193481E-3</v>
      </c>
      <c r="R403" s="102"/>
    </row>
    <row r="404" spans="2:18" ht="15" customHeight="1">
      <c r="B404" s="83">
        <v>521.45763926600284</v>
      </c>
      <c r="C404" s="83">
        <v>525.57017522546732</v>
      </c>
      <c r="D404" s="83">
        <v>521.0603921331068</v>
      </c>
      <c r="E404" s="83">
        <v>521.67617982423519</v>
      </c>
      <c r="F404" s="83">
        <v>6147724.938870227</v>
      </c>
      <c r="G404" s="83" t="s">
        <v>1827</v>
      </c>
      <c r="H404" s="84">
        <f t="shared" si="7"/>
        <v>-4.1891994820619782E-4</v>
      </c>
      <c r="J404" s="83">
        <v>172.05129764229432</v>
      </c>
      <c r="K404" s="83">
        <v>173.21724040650795</v>
      </c>
      <c r="L404" s="83">
        <v>169.71941211386704</v>
      </c>
      <c r="M404" s="83">
        <v>170.94514681470702</v>
      </c>
      <c r="N404" s="83">
        <v>21828554.377765857</v>
      </c>
      <c r="O404" s="83" t="s">
        <v>1827</v>
      </c>
      <c r="P404" s="84">
        <f t="shared" si="8"/>
        <v>6.4707939839103723E-3</v>
      </c>
      <c r="R404" s="102"/>
    </row>
    <row r="405" spans="2:18" ht="15" customHeight="1">
      <c r="B405" s="83">
        <v>519.20269805151383</v>
      </c>
      <c r="C405" s="83">
        <v>525.71918015153483</v>
      </c>
      <c r="D405" s="83">
        <v>519.04375946370851</v>
      </c>
      <c r="E405" s="83">
        <v>525.58010888720514</v>
      </c>
      <c r="F405" s="83">
        <v>8026017.2033361597</v>
      </c>
      <c r="G405" s="83" t="s">
        <v>1826</v>
      </c>
      <c r="H405" s="84">
        <f t="shared" si="7"/>
        <v>-1.213404146742536E-2</v>
      </c>
      <c r="J405" s="83">
        <v>172.09115893337855</v>
      </c>
      <c r="K405" s="83">
        <v>177.80128888119404</v>
      </c>
      <c r="L405" s="83">
        <v>171.96160973735482</v>
      </c>
      <c r="M405" s="83">
        <v>174.11411945590305</v>
      </c>
      <c r="N405" s="83">
        <v>32916041.711433385</v>
      </c>
      <c r="O405" s="83" t="s">
        <v>1826</v>
      </c>
      <c r="P405" s="84">
        <f t="shared" si="8"/>
        <v>-1.1618589743589647E-2</v>
      </c>
      <c r="R405" s="102"/>
    </row>
    <row r="406" spans="2:18" ht="15" customHeight="1">
      <c r="B406" s="83">
        <v>529.62310921450455</v>
      </c>
      <c r="C406" s="83">
        <v>532.64294238280706</v>
      </c>
      <c r="D406" s="83">
        <v>529.05689049544799</v>
      </c>
      <c r="E406" s="83">
        <v>530.80521496130723</v>
      </c>
      <c r="F406" s="83">
        <v>3087496.9179974315</v>
      </c>
      <c r="G406" s="83" t="s">
        <v>1825</v>
      </c>
      <c r="H406" s="84">
        <f t="shared" si="7"/>
        <v>-2.2270047721533182E-3</v>
      </c>
      <c r="J406" s="83">
        <v>175.5291952893931</v>
      </c>
      <c r="K406" s="83">
        <v>183.15266720925149</v>
      </c>
      <c r="L406" s="83">
        <v>175.1356646931641</v>
      </c>
      <c r="M406" s="83">
        <v>181.77745266684568</v>
      </c>
      <c r="N406" s="83">
        <v>49871252.684703551</v>
      </c>
      <c r="O406" s="83" t="s">
        <v>1825</v>
      </c>
      <c r="P406" s="84">
        <f t="shared" si="8"/>
        <v>-3.4373115509018226E-2</v>
      </c>
      <c r="R406" s="102"/>
    </row>
    <row r="407" spans="2:18" ht="15" customHeight="1">
      <c r="B407" s="83">
        <v>531.22242875429629</v>
      </c>
      <c r="C407" s="83">
        <v>532.26546323676928</v>
      </c>
      <c r="D407" s="83">
        <v>528.22246290946964</v>
      </c>
      <c r="E407" s="83">
        <v>529.58337456755328</v>
      </c>
      <c r="F407" s="83">
        <v>3047829.7730513616</v>
      </c>
      <c r="G407" s="83" t="s">
        <v>1824</v>
      </c>
      <c r="H407" s="84">
        <f t="shared" si="7"/>
        <v>3.0949879951980286E-3</v>
      </c>
      <c r="J407" s="83">
        <v>170.54653390386474</v>
      </c>
      <c r="K407" s="83">
        <v>171.26403714338085</v>
      </c>
      <c r="L407" s="83">
        <v>168.07513385664268</v>
      </c>
      <c r="M407" s="83">
        <v>168.79761975754428</v>
      </c>
      <c r="N407" s="83">
        <v>29016727.971906662</v>
      </c>
      <c r="O407" s="83" t="s">
        <v>1824</v>
      </c>
      <c r="P407" s="84">
        <f t="shared" si="8"/>
        <v>1.0361011895976713E-2</v>
      </c>
      <c r="R407" s="102"/>
    </row>
    <row r="408" spans="2:18" ht="15" customHeight="1">
      <c r="B408" s="83">
        <v>530.37806750658012</v>
      </c>
      <c r="C408" s="83">
        <v>532.01712169332336</v>
      </c>
      <c r="D408" s="83">
        <v>530.13052065607326</v>
      </c>
      <c r="E408" s="83">
        <v>531.97738704637186</v>
      </c>
      <c r="F408" s="83">
        <v>3430729.8657243685</v>
      </c>
      <c r="G408" s="83" t="s">
        <v>1823</v>
      </c>
      <c r="H408" s="84">
        <f t="shared" si="7"/>
        <v>-3.0063675237614884E-3</v>
      </c>
      <c r="J408" s="83">
        <v>167.75624352796888</v>
      </c>
      <c r="K408" s="83">
        <v>170.01438566789031</v>
      </c>
      <c r="L408" s="83">
        <v>165.2150862213494</v>
      </c>
      <c r="M408" s="83">
        <v>169.99844115145663</v>
      </c>
      <c r="N408" s="83">
        <v>20930836.340374947</v>
      </c>
      <c r="O408" s="83" t="s">
        <v>1823</v>
      </c>
      <c r="P408" s="84">
        <f t="shared" si="8"/>
        <v>-1.3189518729116556E-2</v>
      </c>
      <c r="R408" s="102"/>
    </row>
    <row r="409" spans="2:18" ht="15" customHeight="1">
      <c r="B409" s="83">
        <v>528.72907965809929</v>
      </c>
      <c r="C409" s="83">
        <v>533.69600986363503</v>
      </c>
      <c r="D409" s="83">
        <v>527.88869187507828</v>
      </c>
      <c r="E409" s="83">
        <v>531.10322481344224</v>
      </c>
      <c r="F409" s="83">
        <v>4356087.5276414705</v>
      </c>
      <c r="G409" s="83" t="s">
        <v>1822</v>
      </c>
      <c r="H409" s="84">
        <f t="shared" si="7"/>
        <v>-4.4702141587954491E-3</v>
      </c>
      <c r="J409" s="83">
        <v>166.41092495387622</v>
      </c>
      <c r="K409" s="83">
        <v>166.81950318748954</v>
      </c>
      <c r="L409" s="83">
        <v>164.65702814617021</v>
      </c>
      <c r="M409" s="83">
        <v>164.79156000357949</v>
      </c>
      <c r="N409" s="83">
        <v>14617098.045541156</v>
      </c>
      <c r="O409" s="83" t="s">
        <v>1822</v>
      </c>
      <c r="P409" s="84">
        <f t="shared" si="8"/>
        <v>9.82674689323626E-3</v>
      </c>
      <c r="R409" s="102"/>
    </row>
    <row r="410" spans="2:18" ht="15" customHeight="1">
      <c r="B410" s="83">
        <v>528.93768655459394</v>
      </c>
      <c r="C410" s="83">
        <v>529.6429765379803</v>
      </c>
      <c r="D410" s="83">
        <v>526.52380675229949</v>
      </c>
      <c r="E410" s="83">
        <v>529.63304287624237</v>
      </c>
      <c r="F410" s="83">
        <v>4507665.0666938424</v>
      </c>
      <c r="G410" s="83" t="s">
        <v>1821</v>
      </c>
      <c r="H410" s="84">
        <f t="shared" si="7"/>
        <v>-1.3129020762605581E-3</v>
      </c>
      <c r="J410" s="83">
        <v>163.95945555219626</v>
      </c>
      <c r="K410" s="83">
        <v>164.47765233629121</v>
      </c>
      <c r="L410" s="83">
        <v>162.20555874449028</v>
      </c>
      <c r="M410" s="83">
        <v>164.0192474888226</v>
      </c>
      <c r="N410" s="83">
        <v>12808847.533843061</v>
      </c>
      <c r="O410" s="83" t="s">
        <v>1821</v>
      </c>
      <c r="P410" s="84">
        <f t="shared" si="8"/>
        <v>-3.6454219575920987E-4</v>
      </c>
      <c r="R410" s="102"/>
    </row>
    <row r="411" spans="2:18" ht="15" customHeight="1">
      <c r="B411" s="83">
        <v>527.74564714605344</v>
      </c>
      <c r="C411" s="83">
        <v>531.1727604456072</v>
      </c>
      <c r="D411" s="83">
        <v>524.51720708125652</v>
      </c>
      <c r="E411" s="83">
        <v>530.73567932914227</v>
      </c>
      <c r="F411" s="83">
        <v>5262665.6090852972</v>
      </c>
      <c r="G411" s="83" t="s">
        <v>1820</v>
      </c>
      <c r="H411" s="84">
        <f t="shared" si="7"/>
        <v>-5.6337500935838003E-3</v>
      </c>
      <c r="J411" s="83">
        <v>163.90962893834097</v>
      </c>
      <c r="K411" s="83">
        <v>167.01880964291067</v>
      </c>
      <c r="L411" s="83">
        <v>163.06506783349391</v>
      </c>
      <c r="M411" s="83">
        <v>165.85286687869703</v>
      </c>
      <c r="N411" s="83">
        <v>12798665.224415543</v>
      </c>
      <c r="O411" s="83" t="s">
        <v>1820</v>
      </c>
      <c r="P411" s="84">
        <f t="shared" si="8"/>
        <v>-1.1716637625428072E-2</v>
      </c>
      <c r="R411" s="102"/>
    </row>
    <row r="412" spans="2:18" ht="15" customHeight="1">
      <c r="B412" s="83">
        <v>532.60320773585568</v>
      </c>
      <c r="C412" s="83">
        <v>533.7157778504934</v>
      </c>
      <c r="D412" s="83">
        <v>529.93105272837761</v>
      </c>
      <c r="E412" s="83">
        <v>530.56680707959913</v>
      </c>
      <c r="F412" s="83">
        <v>3389077.5515103652</v>
      </c>
      <c r="G412" s="83" t="s">
        <v>1819</v>
      </c>
      <c r="H412" s="84">
        <f t="shared" si="7"/>
        <v>3.8381606785118372E-3</v>
      </c>
      <c r="J412" s="83">
        <v>166.24151446676825</v>
      </c>
      <c r="K412" s="83">
        <v>166.88926044688694</v>
      </c>
      <c r="L412" s="83">
        <v>164.09897007099104</v>
      </c>
      <c r="M412" s="83">
        <v>164.1288660393042</v>
      </c>
      <c r="N412" s="83">
        <v>12000230.473951731</v>
      </c>
      <c r="O412" s="83" t="s">
        <v>1819</v>
      </c>
      <c r="P412" s="84">
        <f t="shared" si="8"/>
        <v>1.2871888281724475E-2</v>
      </c>
      <c r="R412" s="102"/>
    </row>
    <row r="413" spans="2:18" ht="15" customHeight="1">
      <c r="B413" s="83">
        <v>532.97075322015553</v>
      </c>
      <c r="C413" s="83">
        <v>534.04358868784198</v>
      </c>
      <c r="D413" s="83">
        <v>530.16946061008571</v>
      </c>
      <c r="E413" s="83">
        <v>533.15949279317454</v>
      </c>
      <c r="F413" s="83">
        <v>3695949.2852627807</v>
      </c>
      <c r="G413" s="83" t="s">
        <v>1818</v>
      </c>
      <c r="H413" s="84">
        <f t="shared" si="7"/>
        <v>-3.5400208674929434E-4</v>
      </c>
      <c r="J413" s="83">
        <v>165.22505154412048</v>
      </c>
      <c r="K413" s="83">
        <v>165.64359510050485</v>
      </c>
      <c r="L413" s="83">
        <v>163.73523578984748</v>
      </c>
      <c r="M413" s="83">
        <v>164.00928216605155</v>
      </c>
      <c r="N413" s="83">
        <v>11423661.091102658</v>
      </c>
      <c r="O413" s="83" t="s">
        <v>1818</v>
      </c>
      <c r="P413" s="84">
        <f t="shared" si="8"/>
        <v>7.4128083606757045E-3</v>
      </c>
      <c r="R413" s="102"/>
    </row>
    <row r="414" spans="2:18" ht="15" customHeight="1">
      <c r="B414" s="83">
        <v>533.79524714439606</v>
      </c>
      <c r="C414" s="83">
        <v>534.53033811299599</v>
      </c>
      <c r="D414" s="83">
        <v>532.00718803158543</v>
      </c>
      <c r="E414" s="83">
        <v>533.3382987044555</v>
      </c>
      <c r="F414" s="83">
        <v>5104272.8591080224</v>
      </c>
      <c r="G414" s="83" t="s">
        <v>1817</v>
      </c>
      <c r="H414" s="84">
        <f t="shared" si="7"/>
        <v>8.5677034829600984E-4</v>
      </c>
      <c r="J414" s="83">
        <v>164.47765233629121</v>
      </c>
      <c r="K414" s="83">
        <v>165.792975288843</v>
      </c>
      <c r="L414" s="83">
        <v>164.17869265315952</v>
      </c>
      <c r="M414" s="83">
        <v>164.2982765264122</v>
      </c>
      <c r="N414" s="83">
        <v>13136821.857915398</v>
      </c>
      <c r="O414" s="83" t="s">
        <v>1817</v>
      </c>
      <c r="P414" s="84">
        <f t="shared" si="8"/>
        <v>1.0917692727603345E-3</v>
      </c>
      <c r="R414" s="102"/>
    </row>
    <row r="415" spans="2:18" ht="15" customHeight="1">
      <c r="B415" s="83">
        <v>531.74891282640169</v>
      </c>
      <c r="C415" s="83">
        <v>535.18595978769315</v>
      </c>
      <c r="D415" s="83">
        <v>531.59990790033407</v>
      </c>
      <c r="E415" s="83">
        <v>535.04688852336346</v>
      </c>
      <c r="F415" s="83">
        <v>3246835.945414796</v>
      </c>
      <c r="G415" s="83" t="s">
        <v>1816</v>
      </c>
      <c r="H415" s="84">
        <f t="shared" si="7"/>
        <v>-6.1639003379004853E-3</v>
      </c>
      <c r="J415" s="83">
        <v>163.93952490665413</v>
      </c>
      <c r="K415" s="83">
        <v>167.34766529435555</v>
      </c>
      <c r="L415" s="83">
        <v>163.80001038785934</v>
      </c>
      <c r="M415" s="83">
        <v>166.79957254194741</v>
      </c>
      <c r="N415" s="83">
        <v>15165947.302675657</v>
      </c>
      <c r="O415" s="83" t="s">
        <v>1816</v>
      </c>
      <c r="P415" s="84">
        <f t="shared" si="8"/>
        <v>-1.7146612498506464E-2</v>
      </c>
      <c r="R415" s="102"/>
    </row>
    <row r="416" spans="2:18" ht="15" customHeight="1">
      <c r="B416" s="83">
        <v>531.66944353249903</v>
      </c>
      <c r="C416" s="83">
        <v>532.17606028112868</v>
      </c>
      <c r="D416" s="83">
        <v>528.68437818027905</v>
      </c>
      <c r="E416" s="83">
        <v>529.39463499453439</v>
      </c>
      <c r="F416" s="83">
        <v>3258834.5420195116</v>
      </c>
      <c r="G416" s="83" t="s">
        <v>1815</v>
      </c>
      <c r="H416" s="84">
        <f t="shared" si="7"/>
        <v>4.2969996059520899E-3</v>
      </c>
      <c r="J416" s="83">
        <v>166.16179188459981</v>
      </c>
      <c r="K416" s="83">
        <v>166.69991931423687</v>
      </c>
      <c r="L416" s="83">
        <v>164.64307669429076</v>
      </c>
      <c r="M416" s="83">
        <v>165.45425396785475</v>
      </c>
      <c r="N416" s="83">
        <v>10003162.194557741</v>
      </c>
      <c r="O416" s="83" t="s">
        <v>1815</v>
      </c>
      <c r="P416" s="84">
        <f t="shared" si="8"/>
        <v>4.2763356019996923E-3</v>
      </c>
      <c r="R416" s="102"/>
    </row>
    <row r="417" spans="2:18" ht="15" customHeight="1">
      <c r="B417" s="83">
        <v>529.44430330322359</v>
      </c>
      <c r="C417" s="83">
        <v>534.04358868784198</v>
      </c>
      <c r="D417" s="83">
        <v>528.2919985416346</v>
      </c>
      <c r="E417" s="83">
        <v>533.81511446787169</v>
      </c>
      <c r="F417" s="83">
        <v>4843460.6764129233</v>
      </c>
      <c r="G417" s="83" t="s">
        <v>1814</v>
      </c>
      <c r="H417" s="84">
        <f t="shared" si="7"/>
        <v>-8.1878745022143651E-3</v>
      </c>
      <c r="J417" s="83">
        <v>166.32123704893669</v>
      </c>
      <c r="K417" s="83">
        <v>168.50364273579814</v>
      </c>
      <c r="L417" s="83">
        <v>165.47418461339689</v>
      </c>
      <c r="M417" s="83">
        <v>166.56040479544205</v>
      </c>
      <c r="N417" s="83">
        <v>14880940.97972453</v>
      </c>
      <c r="O417" s="83" t="s">
        <v>1814</v>
      </c>
      <c r="P417" s="84">
        <f t="shared" si="8"/>
        <v>-1.4359219815722746E-3</v>
      </c>
      <c r="R417" s="102"/>
    </row>
    <row r="418" spans="2:18" ht="15" customHeight="1">
      <c r="B418" s="83">
        <v>533.50717095399887</v>
      </c>
      <c r="C418" s="83">
        <v>534.41113417214194</v>
      </c>
      <c r="D418" s="83">
        <v>530.42773581526944</v>
      </c>
      <c r="E418" s="83">
        <v>530.70587834392882</v>
      </c>
      <c r="F418" s="83">
        <v>2656552.1049991744</v>
      </c>
      <c r="G418" s="83" t="s">
        <v>1813</v>
      </c>
      <c r="H418" s="84">
        <f t="shared" si="7"/>
        <v>5.2784277023867343E-3</v>
      </c>
      <c r="J418" s="83">
        <v>165.77314429652859</v>
      </c>
      <c r="K418" s="83">
        <v>167.0387402884528</v>
      </c>
      <c r="L418" s="83">
        <v>164.20858862147267</v>
      </c>
      <c r="M418" s="83">
        <v>164.3381378174964</v>
      </c>
      <c r="N418" s="83">
        <v>10016499.44444452</v>
      </c>
      <c r="O418" s="83" t="s">
        <v>1813</v>
      </c>
      <c r="P418" s="84">
        <f t="shared" si="8"/>
        <v>8.7320356558122647E-3</v>
      </c>
      <c r="R418" s="102"/>
    </row>
    <row r="419" spans="2:18" ht="15" customHeight="1">
      <c r="B419" s="83">
        <v>529.17609443630204</v>
      </c>
      <c r="C419" s="83">
        <v>529.89131808142622</v>
      </c>
      <c r="D419" s="83">
        <v>525.87811873934015</v>
      </c>
      <c r="E419" s="83">
        <v>525.98738901845638</v>
      </c>
      <c r="F419" s="83">
        <v>5465424.6775090043</v>
      </c>
      <c r="G419" s="83" t="s">
        <v>1812</v>
      </c>
      <c r="H419" s="84">
        <f t="shared" si="7"/>
        <v>6.0623229461758132E-3</v>
      </c>
      <c r="J419" s="83">
        <v>163.94949022942521</v>
      </c>
      <c r="K419" s="83">
        <v>164.69688943725447</v>
      </c>
      <c r="L419" s="83">
        <v>161.93649502967173</v>
      </c>
      <c r="M419" s="83">
        <v>162.76361681966947</v>
      </c>
      <c r="N419" s="83">
        <v>10984060.678688172</v>
      </c>
      <c r="O419" s="83" t="s">
        <v>1812</v>
      </c>
      <c r="P419" s="84">
        <f t="shared" si="8"/>
        <v>7.2858629767953431E-3</v>
      </c>
      <c r="R419" s="102"/>
    </row>
    <row r="420" spans="2:18" ht="15" customHeight="1">
      <c r="B420" s="83">
        <v>526.04699098888329</v>
      </c>
      <c r="C420" s="83">
        <v>527.37810166175348</v>
      </c>
      <c r="D420" s="83">
        <v>524.58674271342147</v>
      </c>
      <c r="E420" s="83">
        <v>525.7589147984861</v>
      </c>
      <c r="F420" s="83">
        <v>3661925.577900907</v>
      </c>
      <c r="G420" s="83" t="s">
        <v>1811</v>
      </c>
      <c r="H420" s="84">
        <f t="shared" si="7"/>
        <v>5.4792449978258162E-4</v>
      </c>
      <c r="J420" s="83">
        <v>162.6141369781036</v>
      </c>
      <c r="K420" s="83">
        <v>163.74091602382697</v>
      </c>
      <c r="L420" s="83">
        <v>161.07947727136084</v>
      </c>
      <c r="M420" s="83">
        <v>161.54784744160054</v>
      </c>
      <c r="N420" s="83">
        <v>12945383.001008438</v>
      </c>
      <c r="O420" s="83" t="s">
        <v>1811</v>
      </c>
      <c r="P420" s="84">
        <f t="shared" si="8"/>
        <v>6.6004564801678267E-3</v>
      </c>
      <c r="R420" s="102"/>
    </row>
    <row r="421" spans="2:18" ht="15" customHeight="1">
      <c r="B421" s="83">
        <v>526.93108688355096</v>
      </c>
      <c r="C421" s="83">
        <v>527.50723926434534</v>
      </c>
      <c r="D421" s="83">
        <v>522.81855092408637</v>
      </c>
      <c r="E421" s="83">
        <v>523.37483598140534</v>
      </c>
      <c r="F421" s="83">
        <v>2961430.6160586346</v>
      </c>
      <c r="G421" s="83" t="s">
        <v>1810</v>
      </c>
      <c r="H421" s="84">
        <f t="shared" si="7"/>
        <v>6.7948450281853923E-3</v>
      </c>
      <c r="J421" s="83">
        <v>162.49455310485092</v>
      </c>
      <c r="K421" s="83">
        <v>165.68345639158906</v>
      </c>
      <c r="L421" s="83">
        <v>160.56128048726592</v>
      </c>
      <c r="M421" s="83">
        <v>164.28332854225559</v>
      </c>
      <c r="N421" s="83">
        <v>19734845.977211207</v>
      </c>
      <c r="O421" s="83" t="s">
        <v>1810</v>
      </c>
      <c r="P421" s="84">
        <f t="shared" si="8"/>
        <v>-1.0888356434442303E-2</v>
      </c>
      <c r="R421" s="102"/>
    </row>
    <row r="422" spans="2:18" ht="15" customHeight="1">
      <c r="B422" s="83">
        <v>523.3549686579297</v>
      </c>
      <c r="C422" s="83">
        <v>523.88145273003499</v>
      </c>
      <c r="D422" s="83">
        <v>520.02719197575436</v>
      </c>
      <c r="E422" s="83">
        <v>520.84175223825696</v>
      </c>
      <c r="F422" s="83">
        <v>2644208.2177966391</v>
      </c>
      <c r="G422" s="83" t="s">
        <v>1809</v>
      </c>
      <c r="H422" s="84">
        <f t="shared" si="7"/>
        <v>4.8252975282270238E-3</v>
      </c>
      <c r="J422" s="83">
        <v>165.12539831640987</v>
      </c>
      <c r="K422" s="83">
        <v>165.52401122725215</v>
      </c>
      <c r="L422" s="83">
        <v>163.74021845123301</v>
      </c>
      <c r="M422" s="83">
        <v>164.85633460159136</v>
      </c>
      <c r="N422" s="83">
        <v>11764681.65592272</v>
      </c>
      <c r="O422" s="83" t="s">
        <v>1809</v>
      </c>
      <c r="P422" s="84">
        <f t="shared" si="8"/>
        <v>1.6321102581151603E-3</v>
      </c>
      <c r="R422" s="102"/>
    </row>
    <row r="423" spans="2:18" ht="15" customHeight="1">
      <c r="B423" s="83">
        <v>518.44773975943826</v>
      </c>
      <c r="C423" s="83">
        <v>522.23256421817143</v>
      </c>
      <c r="D423" s="83">
        <v>517.35503696827618</v>
      </c>
      <c r="E423" s="83">
        <v>521.65631250075955</v>
      </c>
      <c r="F423" s="83">
        <v>3997020.5396430702</v>
      </c>
      <c r="G423" s="103" t="s">
        <v>1808</v>
      </c>
      <c r="H423" s="84">
        <f t="shared" si="7"/>
        <v>-6.15074075484634E-3</v>
      </c>
      <c r="J423" s="83">
        <v>163.81994103340145</v>
      </c>
      <c r="K423" s="83">
        <v>169.31083388025371</v>
      </c>
      <c r="L423" s="83">
        <v>163.56084264135399</v>
      </c>
      <c r="M423" s="83">
        <v>168.5534693496534</v>
      </c>
      <c r="N423" s="83">
        <v>14083559.883040054</v>
      </c>
      <c r="O423" s="83" t="s">
        <v>1808</v>
      </c>
      <c r="P423" s="84">
        <f t="shared" si="8"/>
        <v>-2.8083244649402928E-2</v>
      </c>
    </row>
    <row r="424" spans="2:18" ht="15" customHeight="1">
      <c r="B424" s="83">
        <v>523.15629542317288</v>
      </c>
      <c r="C424" s="83">
        <v>523.52384090747285</v>
      </c>
      <c r="D424" s="83">
        <v>518.83515256721387</v>
      </c>
      <c r="E424" s="83">
        <v>522.66954599801886</v>
      </c>
      <c r="F424" s="83">
        <v>5393957.5771852722</v>
      </c>
      <c r="G424" s="83" t="s">
        <v>1807</v>
      </c>
      <c r="H424" s="84">
        <f t="shared" si="7"/>
        <v>9.312756575947656E-4</v>
      </c>
      <c r="J424" s="83">
        <v>167.97548062893213</v>
      </c>
      <c r="K424" s="83">
        <v>168.96204758326675</v>
      </c>
      <c r="L424" s="83">
        <v>166.38102898556306</v>
      </c>
      <c r="M424" s="83">
        <v>168.75277580507455</v>
      </c>
      <c r="N424" s="83">
        <v>11475110.503407607</v>
      </c>
      <c r="O424" s="83" t="s">
        <v>1807</v>
      </c>
      <c r="P424" s="84">
        <f t="shared" si="8"/>
        <v>-4.6061178693751481E-3</v>
      </c>
    </row>
    <row r="425" spans="2:18" ht="15" customHeight="1">
      <c r="B425" s="83">
        <v>518.37820412727342</v>
      </c>
      <c r="C425" s="83">
        <v>520.28050035006913</v>
      </c>
      <c r="D425" s="83">
        <v>516.37160445623044</v>
      </c>
      <c r="E425" s="83">
        <v>518.10006159861393</v>
      </c>
      <c r="F425" s="83">
        <v>4034717.615493123</v>
      </c>
      <c r="G425" s="83" t="s">
        <v>1806</v>
      </c>
      <c r="H425" s="84">
        <f t="shared" si="7"/>
        <v>5.3685098550504406E-4</v>
      </c>
      <c r="J425" s="83">
        <v>166.63016205483947</v>
      </c>
      <c r="K425" s="83">
        <v>167.32773464881342</v>
      </c>
      <c r="L425" s="83">
        <v>164.79654266496502</v>
      </c>
      <c r="M425" s="83">
        <v>165.24498218966258</v>
      </c>
      <c r="N425" s="83">
        <v>11042625.766182886</v>
      </c>
      <c r="O425" s="83" t="s">
        <v>1806</v>
      </c>
      <c r="P425" s="84">
        <f t="shared" si="8"/>
        <v>8.382583524303433E-3</v>
      </c>
    </row>
    <row r="426" spans="2:18" ht="15" customHeight="1">
      <c r="B426" s="83">
        <v>519.36163663931927</v>
      </c>
      <c r="C426" s="83">
        <v>520.37487013657858</v>
      </c>
      <c r="D426" s="83">
        <v>516.13329591113973</v>
      </c>
      <c r="E426" s="83">
        <v>518.38813778901124</v>
      </c>
      <c r="F426" s="83">
        <v>3292424.3711083229</v>
      </c>
      <c r="G426" s="83" t="s">
        <v>1805</v>
      </c>
      <c r="H426" s="84">
        <f t="shared" si="7"/>
        <v>1.877934272300541E-3</v>
      </c>
      <c r="J426" s="83">
        <v>166.72981528255002</v>
      </c>
      <c r="K426" s="83">
        <v>168.29437095760593</v>
      </c>
      <c r="L426" s="83">
        <v>165.67349106881801</v>
      </c>
      <c r="M426" s="83">
        <v>167.17825480724758</v>
      </c>
      <c r="N426" s="83">
        <v>12789324.8345317</v>
      </c>
      <c r="O426" s="83" t="s">
        <v>1805</v>
      </c>
      <c r="P426" s="84">
        <f t="shared" si="8"/>
        <v>-2.6824034334764768E-3</v>
      </c>
    </row>
    <row r="427" spans="2:18" ht="15" customHeight="1">
      <c r="B427" s="83">
        <v>519.27223368367868</v>
      </c>
      <c r="C427" s="83">
        <v>523.60331020137562</v>
      </c>
      <c r="D427" s="83">
        <v>516.77888458748168</v>
      </c>
      <c r="E427" s="83">
        <v>523.54370823094848</v>
      </c>
      <c r="F427" s="83">
        <v>9260086.8066232149</v>
      </c>
      <c r="G427" s="83" t="s">
        <v>1804</v>
      </c>
      <c r="H427" s="84">
        <f t="shared" si="7"/>
        <v>-8.158773527625951E-3</v>
      </c>
      <c r="J427" s="83">
        <v>167.83596611013732</v>
      </c>
      <c r="K427" s="83">
        <v>169.84896130989077</v>
      </c>
      <c r="L427" s="83">
        <v>165.32470477183102</v>
      </c>
      <c r="M427" s="83">
        <v>168.27444031206383</v>
      </c>
      <c r="N427" s="83">
        <v>18694332.765725888</v>
      </c>
      <c r="O427" s="83" t="s">
        <v>1804</v>
      </c>
      <c r="P427" s="84">
        <f t="shared" si="8"/>
        <v>-2.6057088712543308E-3</v>
      </c>
    </row>
    <row r="428" spans="2:18" ht="15" customHeight="1">
      <c r="B428" s="83">
        <v>524.16952892043219</v>
      </c>
      <c r="C428" s="83">
        <v>524.45263827996064</v>
      </c>
      <c r="D428" s="83">
        <v>518.72588228809775</v>
      </c>
      <c r="E428" s="83">
        <v>520.84175223825696</v>
      </c>
      <c r="F428" s="83">
        <v>8070889.8808808522</v>
      </c>
      <c r="G428" s="83" t="s">
        <v>1803</v>
      </c>
      <c r="H428" s="84">
        <f t="shared" si="7"/>
        <v>6.3892279523953821E-3</v>
      </c>
      <c r="J428" s="83">
        <v>166.61023140929734</v>
      </c>
      <c r="K428" s="83">
        <v>166.77964189640534</v>
      </c>
      <c r="L428" s="83">
        <v>164.06907410267786</v>
      </c>
      <c r="M428" s="83">
        <v>164.20858862147267</v>
      </c>
      <c r="N428" s="83">
        <v>14132458.449719226</v>
      </c>
      <c r="O428" s="83" t="s">
        <v>1803</v>
      </c>
      <c r="P428" s="84">
        <f t="shared" si="8"/>
        <v>1.4625561354533412E-2</v>
      </c>
    </row>
    <row r="429" spans="2:18" ht="15" customHeight="1">
      <c r="B429" s="83">
        <v>521.89472038246765</v>
      </c>
      <c r="C429" s="83">
        <v>524.2688655378106</v>
      </c>
      <c r="D429" s="83">
        <v>520.84175223825696</v>
      </c>
      <c r="E429" s="83">
        <v>523.59337653963769</v>
      </c>
      <c r="F429" s="83">
        <v>5635982.1259820741</v>
      </c>
      <c r="G429" s="83" t="s">
        <v>1802</v>
      </c>
      <c r="H429" s="84">
        <f t="shared" si="7"/>
        <v>-3.2442277409928666E-3</v>
      </c>
      <c r="J429" s="83">
        <v>164.71682008279657</v>
      </c>
      <c r="K429" s="83">
        <v>166.39099430833409</v>
      </c>
      <c r="L429" s="83">
        <v>163.26188295822229</v>
      </c>
      <c r="M429" s="83">
        <v>163.34160554039073</v>
      </c>
      <c r="N429" s="83">
        <v>13651600.969225209</v>
      </c>
      <c r="O429" s="83" t="s">
        <v>1802</v>
      </c>
      <c r="P429" s="84">
        <f t="shared" si="8"/>
        <v>8.4192544689158932E-3</v>
      </c>
    </row>
    <row r="430" spans="2:18" ht="15" customHeight="1">
      <c r="B430" s="83">
        <v>522.57160009328379</v>
      </c>
      <c r="C430" s="83">
        <v>524.77002524432999</v>
      </c>
      <c r="D430" s="83">
        <v>520.3830777582333</v>
      </c>
      <c r="E430" s="83">
        <v>524.52245484443733</v>
      </c>
      <c r="F430" s="83">
        <v>5325672.0131809711</v>
      </c>
      <c r="G430" s="83" t="s">
        <v>1801</v>
      </c>
      <c r="H430" s="84">
        <f t="shared" si="7"/>
        <v>-3.7192969207240356E-3</v>
      </c>
      <c r="J430" s="83">
        <v>163.26188295822229</v>
      </c>
      <c r="K430" s="83">
        <v>164.92609186098875</v>
      </c>
      <c r="L430" s="83">
        <v>162.9330273067774</v>
      </c>
      <c r="M430" s="83">
        <v>164.45772169074908</v>
      </c>
      <c r="N430" s="83">
        <v>18297949.217420496</v>
      </c>
      <c r="O430" s="83" t="s">
        <v>1801</v>
      </c>
      <c r="P430" s="84">
        <f t="shared" si="8"/>
        <v>-7.2714051990546702E-3</v>
      </c>
    </row>
    <row r="431" spans="2:18" ht="15" customHeight="1">
      <c r="B431" s="83">
        <v>520.50191155018172</v>
      </c>
      <c r="C431" s="83">
        <v>522.17548745345562</v>
      </c>
      <c r="D431" s="83">
        <v>519.55124121459414</v>
      </c>
      <c r="E431" s="83">
        <v>521.4921931497521</v>
      </c>
      <c r="F431" s="83">
        <v>35765633.750405967</v>
      </c>
      <c r="G431" s="83" t="s">
        <v>1800</v>
      </c>
      <c r="H431" s="84">
        <f t="shared" si="7"/>
        <v>-1.8989384933821851E-3</v>
      </c>
      <c r="J431" s="83">
        <v>162.42479584545353</v>
      </c>
      <c r="K431" s="83">
        <v>163.64754094946218</v>
      </c>
      <c r="L431" s="83">
        <v>162.2105414058758</v>
      </c>
      <c r="M431" s="83">
        <v>162.4048651999114</v>
      </c>
      <c r="N431" s="83">
        <v>13655244.604342122</v>
      </c>
      <c r="O431" s="83" t="s">
        <v>1800</v>
      </c>
      <c r="P431" s="84">
        <f t="shared" si="8"/>
        <v>1.2272197336948842E-4</v>
      </c>
    </row>
    <row r="432" spans="2:18" ht="15" customHeight="1">
      <c r="B432" s="83">
        <v>521.56151286172189</v>
      </c>
      <c r="C432" s="83">
        <v>521.71995791765323</v>
      </c>
      <c r="D432" s="83">
        <v>518.29358358313982</v>
      </c>
      <c r="E432" s="83">
        <v>520.89802419000989</v>
      </c>
      <c r="F432" s="83">
        <v>4696248.0187632013</v>
      </c>
      <c r="G432" s="83" t="s">
        <v>1799</v>
      </c>
      <c r="H432" s="84">
        <f t="shared" ref="H432:H495" si="9">B432/E432-1</f>
        <v>1.2737400429647661E-3</v>
      </c>
      <c r="J432" s="83">
        <v>163.07254182557219</v>
      </c>
      <c r="K432" s="83">
        <v>163.97938619773839</v>
      </c>
      <c r="L432" s="83">
        <v>161.46812485943207</v>
      </c>
      <c r="M432" s="83">
        <v>163.68042651460667</v>
      </c>
      <c r="N432" s="83">
        <v>18839385.769347437</v>
      </c>
      <c r="O432" s="83" t="s">
        <v>1799</v>
      </c>
      <c r="P432" s="84">
        <f t="shared" ref="P432:P495" si="10">J432/M432-1</f>
        <v>-3.7138508371385992E-3</v>
      </c>
    </row>
    <row r="433" spans="2:16" ht="15" customHeight="1">
      <c r="B433" s="83">
        <v>520.06618764637074</v>
      </c>
      <c r="C433" s="83">
        <v>520.71977350208726</v>
      </c>
      <c r="D433" s="83">
        <v>518.7392103029465</v>
      </c>
      <c r="E433" s="83">
        <v>519.89783977444381</v>
      </c>
      <c r="F433" s="83">
        <v>29576592.1660132</v>
      </c>
      <c r="G433" s="83" t="s">
        <v>1798</v>
      </c>
      <c r="H433" s="84">
        <f t="shared" si="9"/>
        <v>3.2380952380939299E-4</v>
      </c>
      <c r="J433" s="83">
        <v>162.50451842762197</v>
      </c>
      <c r="K433" s="83">
        <v>166.03224268857608</v>
      </c>
      <c r="L433" s="83">
        <v>162.38493455436929</v>
      </c>
      <c r="M433" s="83">
        <v>164.76664669665186</v>
      </c>
      <c r="N433" s="83">
        <v>15702899.303421799</v>
      </c>
      <c r="O433" s="83" t="s">
        <v>1798</v>
      </c>
      <c r="P433" s="84">
        <f t="shared" si="10"/>
        <v>-1.3729285109471467E-2</v>
      </c>
    </row>
    <row r="434" spans="2:16" ht="15" customHeight="1">
      <c r="B434" s="83">
        <v>518.78872438292501</v>
      </c>
      <c r="C434" s="83">
        <v>519.81861724647808</v>
      </c>
      <c r="D434" s="83">
        <v>516.05554716811071</v>
      </c>
      <c r="E434" s="83">
        <v>518.42232019108394</v>
      </c>
      <c r="F434" s="83">
        <v>5667759.5569129474</v>
      </c>
      <c r="G434" s="83" t="s">
        <v>1797</v>
      </c>
      <c r="H434" s="84">
        <f t="shared" si="9"/>
        <v>7.0676777903000421E-4</v>
      </c>
      <c r="J434" s="83">
        <v>164.06907410267786</v>
      </c>
      <c r="K434" s="83">
        <v>164.17869265315952</v>
      </c>
      <c r="L434" s="83">
        <v>162.6141369781036</v>
      </c>
      <c r="M434" s="83">
        <v>163.94949022942521</v>
      </c>
      <c r="N434" s="83">
        <v>46524005.358517557</v>
      </c>
      <c r="O434" s="83" t="s">
        <v>1797</v>
      </c>
      <c r="P434" s="84">
        <f t="shared" si="10"/>
        <v>7.2939460247978261E-4</v>
      </c>
    </row>
    <row r="435" spans="2:16" ht="15" customHeight="1">
      <c r="B435" s="83">
        <v>519.80871443048238</v>
      </c>
      <c r="C435" s="83">
        <v>521.4822903337564</v>
      </c>
      <c r="D435" s="83">
        <v>517.11514847965111</v>
      </c>
      <c r="E435" s="83">
        <v>519.77900598249528</v>
      </c>
      <c r="F435" s="83">
        <v>5612919.6002545981</v>
      </c>
      <c r="G435" s="83" t="s">
        <v>1796</v>
      </c>
      <c r="H435" s="84">
        <f t="shared" si="9"/>
        <v>5.7155921353357897E-5</v>
      </c>
      <c r="J435" s="83">
        <v>162.67392891472994</v>
      </c>
      <c r="K435" s="83">
        <v>164.41786039966487</v>
      </c>
      <c r="L435" s="83">
        <v>161.95802012685724</v>
      </c>
      <c r="M435" s="83">
        <v>164.24844991255691</v>
      </c>
      <c r="N435" s="83">
        <v>17609254.013293933</v>
      </c>
      <c r="O435" s="83" t="s">
        <v>1796</v>
      </c>
      <c r="P435" s="84">
        <f t="shared" si="10"/>
        <v>-9.5862152651376986E-3</v>
      </c>
    </row>
    <row r="436" spans="2:16" ht="15" customHeight="1">
      <c r="B436" s="83">
        <v>510.89618003434907</v>
      </c>
      <c r="C436" s="83">
        <v>517.64990054341911</v>
      </c>
      <c r="D436" s="83">
        <v>510.4604561305382</v>
      </c>
      <c r="E436" s="83">
        <v>513.14411926537377</v>
      </c>
      <c r="F436" s="83">
        <v>6989201.8623821521</v>
      </c>
      <c r="G436" s="83" t="s">
        <v>1795</v>
      </c>
      <c r="H436" s="84">
        <f t="shared" si="9"/>
        <v>-4.3807171253231747E-3</v>
      </c>
      <c r="J436" s="83">
        <v>160.25235548136317</v>
      </c>
      <c r="K436" s="83">
        <v>161.06951194858979</v>
      </c>
      <c r="L436" s="83">
        <v>159.10634336269163</v>
      </c>
      <c r="M436" s="83">
        <v>160.29221677244738</v>
      </c>
      <c r="N436" s="83">
        <v>16814758.924485039</v>
      </c>
      <c r="O436" s="83" t="s">
        <v>1795</v>
      </c>
      <c r="P436" s="84">
        <f t="shared" si="10"/>
        <v>-2.4867889337876203E-4</v>
      </c>
    </row>
    <row r="437" spans="2:16" ht="15" customHeight="1">
      <c r="B437" s="83">
        <v>512.55985312162738</v>
      </c>
      <c r="C437" s="83">
        <v>515.6742887522762</v>
      </c>
      <c r="D437" s="83">
        <v>510.49016457852525</v>
      </c>
      <c r="E437" s="83">
        <v>514.39187408083262</v>
      </c>
      <c r="F437" s="83">
        <v>8229938.8411698611</v>
      </c>
      <c r="G437" s="83" t="s">
        <v>1794</v>
      </c>
      <c r="H437" s="84">
        <f t="shared" si="9"/>
        <v>-3.5615277991684069E-3</v>
      </c>
      <c r="J437" s="83">
        <v>159.72419337449716</v>
      </c>
      <c r="K437" s="83">
        <v>161.02965065750558</v>
      </c>
      <c r="L437" s="83">
        <v>158.85721029341522</v>
      </c>
      <c r="M437" s="83">
        <v>159.53485224184709</v>
      </c>
      <c r="N437" s="83">
        <v>12106772.933678545</v>
      </c>
      <c r="O437" s="83" t="s">
        <v>1794</v>
      </c>
      <c r="P437" s="84">
        <f t="shared" si="10"/>
        <v>1.1868324067711988E-3</v>
      </c>
    </row>
    <row r="438" spans="2:16" ht="15" customHeight="1">
      <c r="B438" s="83">
        <v>512.32218553773043</v>
      </c>
      <c r="C438" s="83">
        <v>512.55985312162738</v>
      </c>
      <c r="D438" s="83">
        <v>509.64842521889045</v>
      </c>
      <c r="E438" s="83">
        <v>511.32200112216441</v>
      </c>
      <c r="F438" s="83">
        <v>4298022.9076724881</v>
      </c>
      <c r="G438" s="83" t="s">
        <v>1793</v>
      </c>
      <c r="H438" s="84">
        <f t="shared" si="9"/>
        <v>1.9560754541581016E-3</v>
      </c>
      <c r="J438" s="83">
        <v>158.43866673703084</v>
      </c>
      <c r="K438" s="83">
        <v>158.68779980630725</v>
      </c>
      <c r="L438" s="83">
        <v>157.06345219462503</v>
      </c>
      <c r="M438" s="83">
        <v>157.78095543414111</v>
      </c>
      <c r="N438" s="83">
        <v>14206879.521373222</v>
      </c>
      <c r="O438" s="83" t="s">
        <v>1793</v>
      </c>
      <c r="P438" s="84">
        <f t="shared" si="10"/>
        <v>4.1685088107117352E-3</v>
      </c>
    </row>
    <row r="439" spans="2:16" ht="15" customHeight="1">
      <c r="B439" s="83">
        <v>511.5497658900656</v>
      </c>
      <c r="C439" s="83">
        <v>512.50043622565306</v>
      </c>
      <c r="D439" s="83">
        <v>509.23250694707093</v>
      </c>
      <c r="E439" s="83">
        <v>509.4305632669849</v>
      </c>
      <c r="F439" s="83">
        <v>4459984.9193564206</v>
      </c>
      <c r="G439" s="83" t="s">
        <v>1792</v>
      </c>
      <c r="H439" s="84">
        <f t="shared" si="9"/>
        <v>4.1599440157069623E-3</v>
      </c>
      <c r="J439" s="83">
        <v>157.82081672522531</v>
      </c>
      <c r="K439" s="83">
        <v>158.72267843600596</v>
      </c>
      <c r="L439" s="83">
        <v>155.56865377896651</v>
      </c>
      <c r="M439" s="83">
        <v>155.81977991279712</v>
      </c>
      <c r="N439" s="83">
        <v>16792138.483062439</v>
      </c>
      <c r="O439" s="83" t="s">
        <v>1792</v>
      </c>
      <c r="P439" s="84">
        <f t="shared" si="10"/>
        <v>1.2841994858085792E-2</v>
      </c>
    </row>
    <row r="440" spans="2:16" ht="15" customHeight="1">
      <c r="B440" s="83">
        <v>508.84629712323851</v>
      </c>
      <c r="C440" s="83">
        <v>509.14318354678971</v>
      </c>
      <c r="D440" s="83">
        <v>503.12246947772172</v>
      </c>
      <c r="E440" s="83">
        <v>505.13274112484953</v>
      </c>
      <c r="F440" s="83">
        <v>4139769.9419827382</v>
      </c>
      <c r="G440" s="83" t="s">
        <v>1791</v>
      </c>
      <c r="H440" s="84">
        <f t="shared" si="9"/>
        <v>7.3516438275600393E-3</v>
      </c>
      <c r="J440" s="83">
        <v>155.00063038101626</v>
      </c>
      <c r="K440" s="83">
        <v>155.07038764041368</v>
      </c>
      <c r="L440" s="83">
        <v>152.96770453572069</v>
      </c>
      <c r="M440" s="83">
        <v>154.27316181872914</v>
      </c>
      <c r="N440" s="83">
        <v>21097221.31736894</v>
      </c>
      <c r="O440" s="83" t="s">
        <v>1791</v>
      </c>
      <c r="P440" s="84">
        <f t="shared" si="10"/>
        <v>4.7154576577739249E-3</v>
      </c>
    </row>
    <row r="441" spans="2:16" ht="15" customHeight="1">
      <c r="B441" s="83">
        <v>504.50886371712022</v>
      </c>
      <c r="C441" s="83">
        <v>505.4793396846992</v>
      </c>
      <c r="D441" s="83">
        <v>491.42724378679566</v>
      </c>
      <c r="E441" s="83">
        <v>499.40891347933285</v>
      </c>
      <c r="F441" s="83">
        <v>4994369.2805619482</v>
      </c>
      <c r="G441" s="83" t="s">
        <v>1790</v>
      </c>
      <c r="H441" s="84">
        <f t="shared" si="9"/>
        <v>1.0211972794511137E-2</v>
      </c>
      <c r="J441" s="83">
        <v>151.62238596162805</v>
      </c>
      <c r="K441" s="83">
        <v>151.95124161307291</v>
      </c>
      <c r="L441" s="83">
        <v>148.18434960561345</v>
      </c>
      <c r="M441" s="83">
        <v>150.56606174789601</v>
      </c>
      <c r="N441" s="83">
        <v>19057572.380052615</v>
      </c>
      <c r="O441" s="83" t="s">
        <v>1790</v>
      </c>
      <c r="P441" s="84">
        <f t="shared" si="10"/>
        <v>7.0156860149581668E-3</v>
      </c>
    </row>
    <row r="442" spans="2:16" ht="15" customHeight="1">
      <c r="B442" s="83">
        <v>499.39901066333715</v>
      </c>
      <c r="C442" s="83">
        <v>499.80007471116312</v>
      </c>
      <c r="D442" s="83">
        <v>494.64536190091951</v>
      </c>
      <c r="E442" s="83">
        <v>499.05241210348748</v>
      </c>
      <c r="F442" s="83">
        <v>3004584.7578010764</v>
      </c>
      <c r="G442" s="83" t="s">
        <v>1789</v>
      </c>
      <c r="H442" s="84">
        <f t="shared" si="9"/>
        <v>6.9451334457792946E-4</v>
      </c>
      <c r="J442" s="83">
        <v>149.4898068886219</v>
      </c>
      <c r="K442" s="83">
        <v>151.77186580319389</v>
      </c>
      <c r="L442" s="83">
        <v>149.02412735553042</v>
      </c>
      <c r="M442" s="83">
        <v>150.92481336765405</v>
      </c>
      <c r="N442" s="83">
        <v>20472767.88590822</v>
      </c>
      <c r="O442" s="83" t="s">
        <v>1789</v>
      </c>
      <c r="P442" s="84">
        <f t="shared" si="10"/>
        <v>-9.5080884780455177E-3</v>
      </c>
    </row>
    <row r="443" spans="2:16" ht="15" customHeight="1">
      <c r="B443" s="83">
        <v>497.34912775222648</v>
      </c>
      <c r="C443" s="83">
        <v>498.47804877573668</v>
      </c>
      <c r="D443" s="83">
        <v>493.90294778572161</v>
      </c>
      <c r="E443" s="83">
        <v>495.73496874492679</v>
      </c>
      <c r="F443" s="83">
        <v>3692683.9815932065</v>
      </c>
      <c r="G443" s="83" t="s">
        <v>1788</v>
      </c>
      <c r="H443" s="84">
        <f t="shared" si="9"/>
        <v>3.2560926887734709E-3</v>
      </c>
      <c r="J443" s="83">
        <v>149.02143671838223</v>
      </c>
      <c r="K443" s="83">
        <v>154.10375133162114</v>
      </c>
      <c r="L443" s="83">
        <v>147.68608346706063</v>
      </c>
      <c r="M443" s="83">
        <v>153.09725373174442</v>
      </c>
      <c r="N443" s="83">
        <v>28155381.059498545</v>
      </c>
      <c r="O443" s="83" t="s">
        <v>1788</v>
      </c>
      <c r="P443" s="84">
        <f t="shared" si="10"/>
        <v>-2.6622404478291894E-2</v>
      </c>
    </row>
    <row r="444" spans="2:16" ht="15" customHeight="1">
      <c r="B444" s="83">
        <v>491.81345361062807</v>
      </c>
      <c r="C444" s="83">
        <v>502.01335408620292</v>
      </c>
      <c r="D444" s="83">
        <v>490.98161706698903</v>
      </c>
      <c r="E444" s="83">
        <v>500.42890352689028</v>
      </c>
      <c r="F444" s="83">
        <v>7484173.1919642175</v>
      </c>
      <c r="G444" s="83" t="s">
        <v>1787</v>
      </c>
      <c r="H444" s="84">
        <f t="shared" si="9"/>
        <v>-1.7216131713301941E-2</v>
      </c>
      <c r="J444" s="83">
        <v>151.40314886066471</v>
      </c>
      <c r="K444" s="83">
        <v>158.4592740524225</v>
      </c>
      <c r="L444" s="83">
        <v>151.20908053733712</v>
      </c>
      <c r="M444" s="83">
        <v>157.93180630183977</v>
      </c>
      <c r="N444" s="83">
        <v>25119076.655135974</v>
      </c>
      <c r="O444" s="83" t="s">
        <v>1787</v>
      </c>
      <c r="P444" s="84">
        <f t="shared" si="10"/>
        <v>-4.1338458630033381E-2</v>
      </c>
    </row>
    <row r="445" spans="2:16" ht="15" customHeight="1">
      <c r="B445" s="83">
        <v>500.14172186301494</v>
      </c>
      <c r="C445" s="83">
        <v>503.99391728534363</v>
      </c>
      <c r="D445" s="83">
        <v>497.95319952796439</v>
      </c>
      <c r="E445" s="83">
        <v>501.43899075845212</v>
      </c>
      <c r="F445" s="83">
        <v>3459186.762115113</v>
      </c>
      <c r="G445" s="83" t="s">
        <v>1786</v>
      </c>
      <c r="H445" s="84">
        <f t="shared" si="9"/>
        <v>-2.5870921873766273E-3</v>
      </c>
      <c r="J445" s="83">
        <v>157.84223630645778</v>
      </c>
      <c r="K445" s="83">
        <v>160.24569784920743</v>
      </c>
      <c r="L445" s="83">
        <v>156.76739636187412</v>
      </c>
      <c r="M445" s="83">
        <v>157.0261541263109</v>
      </c>
      <c r="N445" s="83">
        <v>14207381.440326512</v>
      </c>
      <c r="O445" s="83" t="s">
        <v>1786</v>
      </c>
      <c r="P445" s="84">
        <f t="shared" si="10"/>
        <v>5.1971098998604415E-3</v>
      </c>
    </row>
    <row r="446" spans="2:16" ht="15" customHeight="1">
      <c r="B446" s="83">
        <v>501.37957386247791</v>
      </c>
      <c r="C446" s="83">
        <v>504.57818342909013</v>
      </c>
      <c r="D446" s="83">
        <v>500.11201341502777</v>
      </c>
      <c r="E446" s="83">
        <v>500.76559927074425</v>
      </c>
      <c r="F446" s="83">
        <v>3636716.0629486055</v>
      </c>
      <c r="G446" s="83" t="s">
        <v>1785</v>
      </c>
      <c r="H446" s="84">
        <f t="shared" si="9"/>
        <v>1.2260718240786339E-3</v>
      </c>
      <c r="J446" s="83">
        <v>157.05601079143824</v>
      </c>
      <c r="K446" s="83">
        <v>159.63363621409729</v>
      </c>
      <c r="L446" s="83">
        <v>156.68777858820124</v>
      </c>
      <c r="M446" s="83">
        <v>157.3197446667296</v>
      </c>
      <c r="N446" s="83">
        <v>17494236.471908286</v>
      </c>
      <c r="O446" s="83" t="s">
        <v>1785</v>
      </c>
      <c r="P446" s="84">
        <f t="shared" si="10"/>
        <v>-1.676419421160813E-3</v>
      </c>
    </row>
    <row r="447" spans="2:16" ht="15" customHeight="1">
      <c r="B447" s="83">
        <v>502.62732867793653</v>
      </c>
      <c r="C447" s="83">
        <v>510.42084486655529</v>
      </c>
      <c r="D447" s="83">
        <v>500.19123594299344</v>
      </c>
      <c r="E447" s="83">
        <v>510.11385757068854</v>
      </c>
      <c r="F447" s="83">
        <v>5924012.9298021281</v>
      </c>
      <c r="G447" s="83" t="s">
        <v>1784</v>
      </c>
      <c r="H447" s="84">
        <f t="shared" si="9"/>
        <v>-1.4676191955272588E-2</v>
      </c>
      <c r="J447" s="83">
        <v>157.85218852816692</v>
      </c>
      <c r="K447" s="83">
        <v>162.59939828341157</v>
      </c>
      <c r="L447" s="83">
        <v>157.10079578912922</v>
      </c>
      <c r="M447" s="83">
        <v>162.53470884230236</v>
      </c>
      <c r="N447" s="83">
        <v>26660489.261123274</v>
      </c>
      <c r="O447" s="83" t="s">
        <v>1784</v>
      </c>
      <c r="P447" s="84">
        <f t="shared" si="10"/>
        <v>-2.8809356152221022E-2</v>
      </c>
    </row>
    <row r="448" spans="2:16" ht="15" customHeight="1">
      <c r="B448" s="83">
        <v>513.00547984143395</v>
      </c>
      <c r="C448" s="83">
        <v>513.54023190520206</v>
      </c>
      <c r="D448" s="83">
        <v>507.14301277197745</v>
      </c>
      <c r="E448" s="83">
        <v>510.41094205055958</v>
      </c>
      <c r="F448" s="83">
        <v>5693052.3625258831</v>
      </c>
      <c r="G448" s="83" t="s">
        <v>1783</v>
      </c>
      <c r="H448" s="84">
        <f t="shared" si="9"/>
        <v>5.0832330914594159E-3</v>
      </c>
      <c r="J448" s="83">
        <v>164.32113263908732</v>
      </c>
      <c r="K448" s="83">
        <v>164.49032040814214</v>
      </c>
      <c r="L448" s="83">
        <v>162.62925494853889</v>
      </c>
      <c r="M448" s="83">
        <v>163.43538490697665</v>
      </c>
      <c r="N448" s="83">
        <v>18587585.305771325</v>
      </c>
      <c r="O448" s="83" t="s">
        <v>1783</v>
      </c>
      <c r="P448" s="84">
        <f t="shared" si="10"/>
        <v>5.4195591279992961E-3</v>
      </c>
    </row>
    <row r="449" spans="2:16" ht="15" customHeight="1">
      <c r="B449" s="83">
        <v>508.22241971550915</v>
      </c>
      <c r="C449" s="83">
        <v>513.05499392141257</v>
      </c>
      <c r="D449" s="83">
        <v>507.1529155879731</v>
      </c>
      <c r="E449" s="83">
        <v>509.98512096274442</v>
      </c>
      <c r="F449" s="83">
        <v>3521367.0551011832</v>
      </c>
      <c r="G449" s="83" t="s">
        <v>1782</v>
      </c>
      <c r="H449" s="84">
        <f t="shared" si="9"/>
        <v>-3.4563777937436369E-3</v>
      </c>
      <c r="J449" s="83">
        <v>162.6193027268298</v>
      </c>
      <c r="K449" s="83">
        <v>166.82909250978258</v>
      </c>
      <c r="L449" s="83">
        <v>161.20807768847823</v>
      </c>
      <c r="M449" s="83">
        <v>165.26659370145259</v>
      </c>
      <c r="N449" s="83">
        <v>17216085.514171228</v>
      </c>
      <c r="O449" s="83" t="s">
        <v>1782</v>
      </c>
      <c r="P449" s="84">
        <f t="shared" si="10"/>
        <v>-1.6018306636155444E-2</v>
      </c>
    </row>
    <row r="450" spans="2:16" ht="15" customHeight="1">
      <c r="B450" s="83">
        <v>508.14319718754348</v>
      </c>
      <c r="C450" s="83">
        <v>511.21307014621163</v>
      </c>
      <c r="D450" s="83">
        <v>505.2020608368195</v>
      </c>
      <c r="E450" s="83">
        <v>510.78724905839636</v>
      </c>
      <c r="F450" s="83">
        <v>3979098.4723027707</v>
      </c>
      <c r="G450" s="83" t="s">
        <v>1781</v>
      </c>
      <c r="H450" s="84">
        <f t="shared" si="9"/>
        <v>-5.1764249709189691E-3</v>
      </c>
      <c r="J450" s="83">
        <v>163.71404711483169</v>
      </c>
      <c r="K450" s="83">
        <v>166.59023918876397</v>
      </c>
      <c r="L450" s="83">
        <v>162.4998760663205</v>
      </c>
      <c r="M450" s="83">
        <v>165.98315366450839</v>
      </c>
      <c r="N450" s="83">
        <v>15281749.587713575</v>
      </c>
      <c r="O450" s="83" t="s">
        <v>1781</v>
      </c>
      <c r="P450" s="84">
        <f t="shared" si="10"/>
        <v>-1.3670703921333516E-2</v>
      </c>
    </row>
    <row r="451" spans="2:16" ht="15" customHeight="1">
      <c r="B451" s="83">
        <v>511.06452790627611</v>
      </c>
      <c r="C451" s="83">
        <v>511.569571522057</v>
      </c>
      <c r="D451" s="83">
        <v>508.17290563553058</v>
      </c>
      <c r="E451" s="83">
        <v>509.26221539505798</v>
      </c>
      <c r="F451" s="83">
        <v>3061531.1859932854</v>
      </c>
      <c r="G451" s="83" t="s">
        <v>1780</v>
      </c>
      <c r="H451" s="84">
        <f t="shared" si="9"/>
        <v>3.5390658421812216E-3</v>
      </c>
      <c r="J451" s="83">
        <v>165.58506479614405</v>
      </c>
      <c r="K451" s="83">
        <v>167.44115414489275</v>
      </c>
      <c r="L451" s="83">
        <v>165.36611591854367</v>
      </c>
      <c r="M451" s="83">
        <v>166.80918806636438</v>
      </c>
      <c r="N451" s="83">
        <v>13784019.690241715</v>
      </c>
      <c r="O451" s="83" t="s">
        <v>1780</v>
      </c>
      <c r="P451" s="84">
        <f t="shared" si="10"/>
        <v>-7.3384642921067167E-3</v>
      </c>
    </row>
    <row r="452" spans="2:16" ht="15" customHeight="1">
      <c r="B452" s="83">
        <v>510.38123360257254</v>
      </c>
      <c r="C452" s="83">
        <v>513.2530502413266</v>
      </c>
      <c r="D452" s="83">
        <v>508.88095697922341</v>
      </c>
      <c r="E452" s="83">
        <v>512.60936720160589</v>
      </c>
      <c r="F452" s="83">
        <v>3431993.4869783409</v>
      </c>
      <c r="G452" s="83" t="s">
        <v>1779</v>
      </c>
      <c r="H452" s="84">
        <f t="shared" si="9"/>
        <v>-4.3466501815934144E-3</v>
      </c>
      <c r="J452" s="83">
        <v>167.12765916105585</v>
      </c>
      <c r="K452" s="83">
        <v>168.57073130887656</v>
      </c>
      <c r="L452" s="83">
        <v>165.5253514658894</v>
      </c>
      <c r="M452" s="83">
        <v>167.35158414951078</v>
      </c>
      <c r="N452" s="83">
        <v>12047867.652532728</v>
      </c>
      <c r="O452" s="83" t="s">
        <v>1779</v>
      </c>
      <c r="P452" s="84">
        <f t="shared" si="10"/>
        <v>-1.3380512027594271E-3</v>
      </c>
    </row>
    <row r="453" spans="2:16" ht="15" customHeight="1">
      <c r="B453" s="83">
        <v>511.63889123402686</v>
      </c>
      <c r="C453" s="83">
        <v>512.52024185764446</v>
      </c>
      <c r="D453" s="83">
        <v>507.27382897128069</v>
      </c>
      <c r="E453" s="83">
        <v>509.331535107028</v>
      </c>
      <c r="F453" s="83">
        <v>5152868.6408127062</v>
      </c>
      <c r="G453" s="83" t="s">
        <v>1778</v>
      </c>
      <c r="H453" s="84">
        <f t="shared" si="9"/>
        <v>4.5301654579743555E-3</v>
      </c>
      <c r="J453" s="83">
        <v>166.63004807560043</v>
      </c>
      <c r="K453" s="83">
        <v>167.14756360447404</v>
      </c>
      <c r="L453" s="83">
        <v>164.86850483308825</v>
      </c>
      <c r="M453" s="83">
        <v>165.75425256519893</v>
      </c>
      <c r="N453" s="83">
        <v>14350183.725237358</v>
      </c>
      <c r="O453" s="83" t="s">
        <v>1778</v>
      </c>
      <c r="P453" s="84">
        <f t="shared" si="10"/>
        <v>5.2836985890121202E-3</v>
      </c>
    </row>
    <row r="454" spans="2:16" ht="15" customHeight="1">
      <c r="B454" s="83">
        <v>506.16263398840277</v>
      </c>
      <c r="C454" s="83">
        <v>512.59946438561019</v>
      </c>
      <c r="D454" s="83">
        <v>505.14264394084529</v>
      </c>
      <c r="E454" s="83">
        <v>512.02510105785927</v>
      </c>
      <c r="F454" s="83">
        <v>3713173.1030802694</v>
      </c>
      <c r="G454" s="83" t="s">
        <v>1777</v>
      </c>
      <c r="H454" s="84">
        <f t="shared" si="9"/>
        <v>-1.1449569674112592E-2</v>
      </c>
      <c r="J454" s="83">
        <v>164.69931706403344</v>
      </c>
      <c r="K454" s="83">
        <v>168.61054019571299</v>
      </c>
      <c r="L454" s="83">
        <v>164.24151486541444</v>
      </c>
      <c r="M454" s="83">
        <v>168.23235577076687</v>
      </c>
      <c r="N454" s="83">
        <v>19215586.789528459</v>
      </c>
      <c r="O454" s="83" t="s">
        <v>1777</v>
      </c>
      <c r="P454" s="84">
        <f t="shared" si="10"/>
        <v>-2.1000946521533281E-2</v>
      </c>
    </row>
    <row r="455" spans="2:16" ht="15" customHeight="1">
      <c r="B455" s="83">
        <v>510.29210825861117</v>
      </c>
      <c r="C455" s="83">
        <v>511.63879220586693</v>
      </c>
      <c r="D455" s="83">
        <v>507.86591833966384</v>
      </c>
      <c r="E455" s="83">
        <v>509.47017453096782</v>
      </c>
      <c r="F455" s="83">
        <v>3376867.7530217734</v>
      </c>
      <c r="G455" s="83" t="s">
        <v>1776</v>
      </c>
      <c r="H455" s="84">
        <f t="shared" si="9"/>
        <v>1.6133107858571361E-3</v>
      </c>
      <c r="J455" s="83">
        <v>166.82909250978258</v>
      </c>
      <c r="K455" s="83">
        <v>167.83426690240253</v>
      </c>
      <c r="L455" s="83">
        <v>165.77415700861712</v>
      </c>
      <c r="M455" s="83">
        <v>166.19215032039966</v>
      </c>
      <c r="N455" s="83">
        <v>15342855.541517179</v>
      </c>
      <c r="O455" s="83" t="s">
        <v>1776</v>
      </c>
      <c r="P455" s="84">
        <f t="shared" si="10"/>
        <v>3.8325648242409915E-3</v>
      </c>
    </row>
    <row r="456" spans="2:16" ht="15" customHeight="1">
      <c r="B456" s="83">
        <v>508.50960137938455</v>
      </c>
      <c r="C456" s="83">
        <v>510.47025991837393</v>
      </c>
      <c r="D456" s="83">
        <v>507.27174937992157</v>
      </c>
      <c r="E456" s="83">
        <v>508.92551965120407</v>
      </c>
      <c r="F456" s="83">
        <v>3186953.0862425533</v>
      </c>
      <c r="G456" s="83" t="s">
        <v>1775</v>
      </c>
      <c r="H456" s="84">
        <f t="shared" si="9"/>
        <v>-8.1724782067238433E-4</v>
      </c>
      <c r="J456" s="83">
        <v>168.15273799709402</v>
      </c>
      <c r="K456" s="83">
        <v>169.59581014491471</v>
      </c>
      <c r="L456" s="83">
        <v>167.85417134582076</v>
      </c>
      <c r="M456" s="83">
        <v>167.93378911949364</v>
      </c>
      <c r="N456" s="83">
        <v>12683120.78342047</v>
      </c>
      <c r="O456" s="83" t="s">
        <v>1775</v>
      </c>
      <c r="P456" s="84">
        <f t="shared" si="10"/>
        <v>1.3037809647979959E-3</v>
      </c>
    </row>
    <row r="457" spans="2:16" ht="15" customHeight="1">
      <c r="B457" s="83">
        <v>509.35134073901935</v>
      </c>
      <c r="C457" s="83">
        <v>509.35134073901935</v>
      </c>
      <c r="D457" s="83">
        <v>504.1127510772921</v>
      </c>
      <c r="E457" s="83">
        <v>504.9049763569484</v>
      </c>
      <c r="F457" s="83">
        <v>3841647.6703702165</v>
      </c>
      <c r="G457" s="83" t="s">
        <v>1774</v>
      </c>
      <c r="H457" s="84">
        <f t="shared" si="9"/>
        <v>8.8063389950181481E-3</v>
      </c>
      <c r="J457" s="83">
        <v>167.59541358138395</v>
      </c>
      <c r="K457" s="83">
        <v>167.66507913334769</v>
      </c>
      <c r="L457" s="83">
        <v>165.29645036657993</v>
      </c>
      <c r="M457" s="83">
        <v>166.20210254210878</v>
      </c>
      <c r="N457" s="83">
        <v>13163655.697109455</v>
      </c>
      <c r="O457" s="83" t="s">
        <v>1774</v>
      </c>
      <c r="P457" s="84">
        <f t="shared" si="10"/>
        <v>8.3832335329341312E-3</v>
      </c>
    </row>
    <row r="458" spans="2:16" ht="15" customHeight="1">
      <c r="B458" s="83">
        <v>504.49896090112452</v>
      </c>
      <c r="C458" s="83">
        <v>505.15254675684099</v>
      </c>
      <c r="D458" s="83">
        <v>501.72617242232747</v>
      </c>
      <c r="E458" s="83">
        <v>501.91432592624585</v>
      </c>
      <c r="F458" s="83">
        <v>3483136.5154078021</v>
      </c>
      <c r="G458" s="83" t="s">
        <v>1773</v>
      </c>
      <c r="H458" s="84">
        <f t="shared" si="9"/>
        <v>5.149554099913134E-3</v>
      </c>
      <c r="J458" s="83">
        <v>163.9529004358503</v>
      </c>
      <c r="K458" s="83">
        <v>166.15234143356321</v>
      </c>
      <c r="L458" s="83">
        <v>162.30083163213834</v>
      </c>
      <c r="M458" s="83">
        <v>162.62925494853889</v>
      </c>
      <c r="N458" s="83">
        <v>16934044.972667709</v>
      </c>
      <c r="O458" s="83" t="s">
        <v>1773</v>
      </c>
      <c r="P458" s="84">
        <f t="shared" si="10"/>
        <v>8.1390367786549067E-3</v>
      </c>
    </row>
    <row r="459" spans="2:16" ht="15" customHeight="1">
      <c r="B459" s="83">
        <v>503.43935958958423</v>
      </c>
      <c r="C459" s="83">
        <v>503.64731872549402</v>
      </c>
      <c r="D459" s="83">
        <v>499.58290595637737</v>
      </c>
      <c r="E459" s="83">
        <v>500.18133312699769</v>
      </c>
      <c r="F459" s="83">
        <v>4320945.680356387</v>
      </c>
      <c r="G459" s="83" t="s">
        <v>1772</v>
      </c>
      <c r="H459" s="84">
        <f t="shared" si="9"/>
        <v>6.5136906293927765E-3</v>
      </c>
      <c r="J459" s="83">
        <v>162.39040162752028</v>
      </c>
      <c r="K459" s="83">
        <v>162.73872938733911</v>
      </c>
      <c r="L459" s="83">
        <v>160.71842838039009</v>
      </c>
      <c r="M459" s="83">
        <v>161.43498834344589</v>
      </c>
      <c r="N459" s="83">
        <v>18480749.864291266</v>
      </c>
      <c r="O459" s="83" t="s">
        <v>1772</v>
      </c>
      <c r="P459" s="84">
        <f t="shared" si="10"/>
        <v>5.9182541150359924E-3</v>
      </c>
    </row>
    <row r="460" spans="2:16" ht="15" customHeight="1">
      <c r="B460" s="83">
        <v>494.9427434652705</v>
      </c>
      <c r="C460" s="83">
        <v>495.98253914481938</v>
      </c>
      <c r="D460" s="83">
        <v>491.65302799149771</v>
      </c>
      <c r="E460" s="83">
        <v>494.07129565764859</v>
      </c>
      <c r="F460" s="83">
        <v>3736818.9024267974</v>
      </c>
      <c r="G460" s="83" t="s">
        <v>1771</v>
      </c>
      <c r="H460" s="84">
        <f t="shared" si="9"/>
        <v>1.7638098292311888E-3</v>
      </c>
      <c r="J460" s="83">
        <v>161.25584835268194</v>
      </c>
      <c r="K460" s="83">
        <v>164.17184931345068</v>
      </c>
      <c r="L460" s="83">
        <v>158.76779292540488</v>
      </c>
      <c r="M460" s="83">
        <v>163.42543268526757</v>
      </c>
      <c r="N460" s="83">
        <v>22623988.550610133</v>
      </c>
      <c r="O460" s="83" t="s">
        <v>1771</v>
      </c>
      <c r="P460" s="84">
        <f t="shared" si="10"/>
        <v>-1.3275683575909025E-2</v>
      </c>
    </row>
    <row r="461" spans="2:16" ht="15" customHeight="1">
      <c r="B461" s="83">
        <v>493.36819572195355</v>
      </c>
      <c r="C461" s="83">
        <v>493.53654359388054</v>
      </c>
      <c r="D461" s="83">
        <v>488.12960606022637</v>
      </c>
      <c r="E461" s="83">
        <v>488.3474680121318</v>
      </c>
      <c r="F461" s="83">
        <v>3279761.0310128825</v>
      </c>
      <c r="G461" s="83" t="s">
        <v>1770</v>
      </c>
      <c r="H461" s="84">
        <f t="shared" si="9"/>
        <v>1.0281056089548546E-2</v>
      </c>
      <c r="J461" s="83">
        <v>165.1372148192342</v>
      </c>
      <c r="K461" s="83">
        <v>165.74430034348978</v>
      </c>
      <c r="L461" s="83">
        <v>163.98275710097764</v>
      </c>
      <c r="M461" s="83">
        <v>164.39577430190562</v>
      </c>
      <c r="N461" s="83">
        <v>12778682.360302303</v>
      </c>
      <c r="O461" s="83" t="s">
        <v>1770</v>
      </c>
      <c r="P461" s="84">
        <f t="shared" si="10"/>
        <v>4.510094742258719E-3</v>
      </c>
    </row>
    <row r="462" spans="2:16" ht="15" customHeight="1">
      <c r="B462" s="83">
        <v>485.3073035014508</v>
      </c>
      <c r="C462" s="83">
        <v>487.56514554847126</v>
      </c>
      <c r="D462" s="83">
        <v>483.23761495834873</v>
      </c>
      <c r="E462" s="83">
        <v>486.16884849307701</v>
      </c>
      <c r="F462" s="83">
        <v>3613249.0006401851</v>
      </c>
      <c r="G462" s="83" t="s">
        <v>1769</v>
      </c>
      <c r="H462" s="84">
        <f t="shared" si="9"/>
        <v>-1.7721106448852497E-3</v>
      </c>
      <c r="J462" s="83">
        <v>163.16667492083073</v>
      </c>
      <c r="K462" s="83">
        <v>165.90353589083551</v>
      </c>
      <c r="L462" s="83">
        <v>162.76858605246642</v>
      </c>
      <c r="M462" s="83">
        <v>165.20190426034338</v>
      </c>
      <c r="N462" s="83">
        <v>12494666.380492177</v>
      </c>
      <c r="O462" s="83" t="s">
        <v>1769</v>
      </c>
      <c r="P462" s="84">
        <f t="shared" si="10"/>
        <v>-1.2319648182174237E-2</v>
      </c>
    </row>
    <row r="463" spans="2:16" ht="15" customHeight="1">
      <c r="B463" s="83">
        <v>485.05973310155821</v>
      </c>
      <c r="C463" s="83">
        <v>486.43622452496101</v>
      </c>
      <c r="D463" s="83">
        <v>481.09860670327669</v>
      </c>
      <c r="E463" s="83">
        <v>482.19781927879984</v>
      </c>
      <c r="F463" s="83">
        <v>7736517.5757318391</v>
      </c>
      <c r="G463" s="83" t="s">
        <v>1768</v>
      </c>
      <c r="H463" s="84">
        <f t="shared" si="9"/>
        <v>5.9351446819870812E-3</v>
      </c>
      <c r="J463" s="83">
        <v>164.59979484694233</v>
      </c>
      <c r="K463" s="83">
        <v>164.72917372916075</v>
      </c>
      <c r="L463" s="83">
        <v>160.16110396468002</v>
      </c>
      <c r="M463" s="83">
        <v>160.8726878168813</v>
      </c>
      <c r="N463" s="83">
        <v>13614276.687184023</v>
      </c>
      <c r="O463" s="83" t="s">
        <v>1768</v>
      </c>
      <c r="P463" s="84">
        <f t="shared" si="10"/>
        <v>2.3168053450462356E-2</v>
      </c>
    </row>
    <row r="464" spans="2:16" ht="15" customHeight="1">
      <c r="B464" s="83">
        <v>482.99004455845613</v>
      </c>
      <c r="C464" s="83">
        <v>483.52479662222407</v>
      </c>
      <c r="D464" s="83">
        <v>474.97866641793183</v>
      </c>
      <c r="E464" s="83">
        <v>476.81068737713701</v>
      </c>
      <c r="F464" s="83">
        <v>4218228.4330157014</v>
      </c>
      <c r="G464" s="83" t="s">
        <v>1767</v>
      </c>
      <c r="H464" s="84">
        <f t="shared" si="9"/>
        <v>1.295977071174903E-2</v>
      </c>
      <c r="J464" s="83">
        <v>163.05720048203054</v>
      </c>
      <c r="K464" s="83">
        <v>164.70926928574252</v>
      </c>
      <c r="L464" s="83">
        <v>161.25584835268194</v>
      </c>
      <c r="M464" s="83">
        <v>161.56834811434794</v>
      </c>
      <c r="N464" s="83">
        <v>15809145.3947419</v>
      </c>
      <c r="O464" s="83" t="s">
        <v>1767</v>
      </c>
      <c r="P464" s="84">
        <f t="shared" si="10"/>
        <v>9.2150002463904368E-3</v>
      </c>
    </row>
    <row r="465" spans="2:16" ht="15" customHeight="1">
      <c r="B465" s="83">
        <v>471.97811317123364</v>
      </c>
      <c r="C465" s="83">
        <v>483.80207547010383</v>
      </c>
      <c r="D465" s="83">
        <v>471.48297237144845</v>
      </c>
      <c r="E465" s="83">
        <v>480.97977291132827</v>
      </c>
      <c r="F465" s="83">
        <v>6035001.5617707362</v>
      </c>
      <c r="G465" s="83" t="s">
        <v>1766</v>
      </c>
      <c r="H465" s="84">
        <f t="shared" si="9"/>
        <v>-1.8715256331068519E-2</v>
      </c>
      <c r="J465" s="83">
        <v>159.98196397391607</v>
      </c>
      <c r="K465" s="83">
        <v>164.00266154439583</v>
      </c>
      <c r="L465" s="83">
        <v>159.47440066675156</v>
      </c>
      <c r="M465" s="83">
        <v>162.46006717948407</v>
      </c>
      <c r="N465" s="83">
        <v>19427065.197216444</v>
      </c>
      <c r="O465" s="83" t="s">
        <v>1766</v>
      </c>
      <c r="P465" s="84">
        <f t="shared" si="10"/>
        <v>-1.5253614310218322E-2</v>
      </c>
    </row>
    <row r="466" spans="2:16" ht="15" customHeight="1">
      <c r="B466" s="83">
        <v>475.27575089780294</v>
      </c>
      <c r="C466" s="83">
        <v>482.12849956682993</v>
      </c>
      <c r="D466" s="83">
        <v>471.31462449952147</v>
      </c>
      <c r="E466" s="83">
        <v>472.75053281889848</v>
      </c>
      <c r="F466" s="83">
        <v>8336053.1020483728</v>
      </c>
      <c r="G466" s="83" t="s">
        <v>1765</v>
      </c>
      <c r="H466" s="84">
        <f t="shared" si="9"/>
        <v>5.3415446490290286E-3</v>
      </c>
      <c r="J466" s="83">
        <v>159.7729673180248</v>
      </c>
      <c r="K466" s="83">
        <v>161.5743194473734</v>
      </c>
      <c r="L466" s="83">
        <v>157.3744818861297</v>
      </c>
      <c r="M466" s="83">
        <v>160.17603229724369</v>
      </c>
      <c r="N466" s="83">
        <v>36320072.096985698</v>
      </c>
      <c r="O466" s="83" t="s">
        <v>1765</v>
      </c>
      <c r="P466" s="84">
        <f t="shared" si="10"/>
        <v>-2.5163875858212892E-3</v>
      </c>
    </row>
    <row r="467" spans="2:16" ht="15" customHeight="1">
      <c r="B467" s="83">
        <v>470.58181611583939</v>
      </c>
      <c r="C467" s="83">
        <v>476.50370008127021</v>
      </c>
      <c r="D467" s="83">
        <v>464.33313922255036</v>
      </c>
      <c r="E467" s="83">
        <v>465.60069967000044</v>
      </c>
      <c r="F467" s="83">
        <v>15393879.888926227</v>
      </c>
      <c r="G467" s="83" t="s">
        <v>1764</v>
      </c>
      <c r="H467" s="84">
        <f t="shared" si="9"/>
        <v>1.0698258076865752E-2</v>
      </c>
      <c r="J467" s="83">
        <v>159.87248953511588</v>
      </c>
      <c r="K467" s="83">
        <v>165.14716704094329</v>
      </c>
      <c r="L467" s="83">
        <v>155.85179196463613</v>
      </c>
      <c r="M467" s="83">
        <v>156.61811303623747</v>
      </c>
      <c r="N467" s="83">
        <v>35075399.262912564</v>
      </c>
      <c r="O467" s="83" t="s">
        <v>1764</v>
      </c>
      <c r="P467" s="84">
        <f t="shared" si="10"/>
        <v>2.0779055728537665E-2</v>
      </c>
    </row>
    <row r="468" spans="2:16" ht="15" customHeight="1">
      <c r="B468" s="83">
        <v>485.14885844551952</v>
      </c>
      <c r="C468" s="83">
        <v>488.72377501996851</v>
      </c>
      <c r="D468" s="83">
        <v>481.07880107128534</v>
      </c>
      <c r="E468" s="83">
        <v>487.62456244444547</v>
      </c>
      <c r="F468" s="83">
        <v>8645183.3536180388</v>
      </c>
      <c r="G468" s="83" t="s">
        <v>1763</v>
      </c>
      <c r="H468" s="84">
        <f t="shared" si="9"/>
        <v>-5.0770699214069959E-3</v>
      </c>
      <c r="J468" s="83">
        <v>167.59541358138395</v>
      </c>
      <c r="K468" s="83">
        <v>169.39676571073255</v>
      </c>
      <c r="L468" s="83">
        <v>165.59501701785317</v>
      </c>
      <c r="M468" s="83">
        <v>167.38641692549265</v>
      </c>
      <c r="N468" s="83">
        <v>18998544.799997307</v>
      </c>
      <c r="O468" s="83" t="s">
        <v>1763</v>
      </c>
      <c r="P468" s="84">
        <f t="shared" si="10"/>
        <v>1.2485879065344818E-3</v>
      </c>
    </row>
    <row r="469" spans="2:16" ht="15" customHeight="1">
      <c r="B469" s="83">
        <v>494.18022663360125</v>
      </c>
      <c r="C469" s="83">
        <v>504.9445876209312</v>
      </c>
      <c r="D469" s="83">
        <v>490.93210298701047</v>
      </c>
      <c r="E469" s="83">
        <v>502.90460752581623</v>
      </c>
      <c r="F469" s="83">
        <v>7007316.9116850803</v>
      </c>
      <c r="G469" s="83" t="s">
        <v>1762</v>
      </c>
      <c r="H469" s="84">
        <f t="shared" si="9"/>
        <v>-1.7347983616887275E-2</v>
      </c>
      <c r="J469" s="83">
        <v>171.6260633735728</v>
      </c>
      <c r="K469" s="83">
        <v>174.84063098561478</v>
      </c>
      <c r="L469" s="83">
        <v>169.69533236200579</v>
      </c>
      <c r="M469" s="83">
        <v>171.1583089532447</v>
      </c>
      <c r="N469" s="83">
        <v>17260299.762292057</v>
      </c>
      <c r="O469" s="83" t="s">
        <v>1762</v>
      </c>
      <c r="P469" s="84">
        <f t="shared" si="10"/>
        <v>2.7328759158042892E-3</v>
      </c>
    </row>
    <row r="470" spans="2:16" ht="15" customHeight="1">
      <c r="B470" s="83">
        <v>501.01316967063684</v>
      </c>
      <c r="C470" s="83">
        <v>503.7099045225869</v>
      </c>
      <c r="D470" s="83">
        <v>498.41368047176462</v>
      </c>
      <c r="E470" s="83">
        <v>499.57726135125984</v>
      </c>
      <c r="F470" s="83">
        <v>5420263.289077281</v>
      </c>
      <c r="G470" s="83" t="s">
        <v>1761</v>
      </c>
      <c r="H470" s="84">
        <f t="shared" si="9"/>
        <v>2.8742467491278401E-3</v>
      </c>
      <c r="J470" s="83">
        <v>172.32271889321038</v>
      </c>
      <c r="K470" s="83">
        <v>175.06953208492428</v>
      </c>
      <c r="L470" s="83">
        <v>170.89955118880789</v>
      </c>
      <c r="M470" s="83">
        <v>174.08426213572255</v>
      </c>
      <c r="N470" s="83">
        <v>15725286.732385514</v>
      </c>
      <c r="O470" s="83" t="s">
        <v>1761</v>
      </c>
      <c r="P470" s="84">
        <f t="shared" si="10"/>
        <v>-1.0118911502401073E-2</v>
      </c>
    </row>
    <row r="471" spans="2:16" ht="15" customHeight="1">
      <c r="B471" s="83">
        <v>493.23945911400943</v>
      </c>
      <c r="C471" s="83">
        <v>498.12154739989137</v>
      </c>
      <c r="D471" s="83">
        <v>490.10521785136922</v>
      </c>
      <c r="E471" s="83">
        <v>497.1708770643038</v>
      </c>
      <c r="F471" s="83">
        <v>3855267.0287485314</v>
      </c>
      <c r="G471" s="83" t="s">
        <v>1760</v>
      </c>
      <c r="H471" s="84">
        <f t="shared" si="9"/>
        <v>-7.9075789264017038E-3</v>
      </c>
      <c r="J471" s="83">
        <v>171.03888229273542</v>
      </c>
      <c r="K471" s="83">
        <v>172.12367445902819</v>
      </c>
      <c r="L471" s="83">
        <v>169.30719571535056</v>
      </c>
      <c r="M471" s="83">
        <v>171.00902562760811</v>
      </c>
      <c r="N471" s="83">
        <v>13747099.290883679</v>
      </c>
      <c r="O471" s="83" t="s">
        <v>1760</v>
      </c>
      <c r="P471" s="84">
        <f t="shared" si="10"/>
        <v>1.7459116568696587E-4</v>
      </c>
    </row>
    <row r="472" spans="2:16" ht="15" customHeight="1">
      <c r="B472" s="83">
        <v>495.8339969048838</v>
      </c>
      <c r="C472" s="83">
        <v>497.87892840799663</v>
      </c>
      <c r="D472" s="83">
        <v>493.92730871307106</v>
      </c>
      <c r="E472" s="83">
        <v>496.9431122964026</v>
      </c>
      <c r="F472" s="83">
        <v>3126563.1930788858</v>
      </c>
      <c r="G472" s="83" t="s">
        <v>1759</v>
      </c>
      <c r="H472" s="84">
        <f t="shared" si="9"/>
        <v>-2.2318759714637926E-3</v>
      </c>
      <c r="J472" s="83">
        <v>170.31237010797051</v>
      </c>
      <c r="K472" s="83">
        <v>171.33744894400866</v>
      </c>
      <c r="L472" s="83">
        <v>168.90910684698622</v>
      </c>
      <c r="M472" s="83">
        <v>169.68538014029667</v>
      </c>
      <c r="N472" s="83">
        <v>13835032.420347532</v>
      </c>
      <c r="O472" s="83" t="s">
        <v>1759</v>
      </c>
      <c r="P472" s="84">
        <f t="shared" si="10"/>
        <v>3.6950146627565683E-3</v>
      </c>
    </row>
    <row r="473" spans="2:16" ht="15" customHeight="1">
      <c r="B473" s="83">
        <v>495.46759271304273</v>
      </c>
      <c r="C473" s="83">
        <v>497.99776219994504</v>
      </c>
      <c r="D473" s="83">
        <v>492.83344365818562</v>
      </c>
      <c r="E473" s="83">
        <v>493.51673796188913</v>
      </c>
      <c r="F473" s="83">
        <v>3671666.7275020173</v>
      </c>
      <c r="G473" s="83" t="s">
        <v>1758</v>
      </c>
      <c r="H473" s="84">
        <f t="shared" si="9"/>
        <v>3.9529657275865215E-3</v>
      </c>
      <c r="J473" s="83">
        <v>167.87407578923899</v>
      </c>
      <c r="K473" s="83">
        <v>169.02853350749552</v>
      </c>
      <c r="L473" s="83">
        <v>165.07252537812499</v>
      </c>
      <c r="M473" s="83">
        <v>167.96364578462095</v>
      </c>
      <c r="N473" s="83">
        <v>25270855.830093216</v>
      </c>
      <c r="O473" s="83" t="s">
        <v>1758</v>
      </c>
      <c r="P473" s="84">
        <f t="shared" si="10"/>
        <v>-5.3327013094739417E-4</v>
      </c>
    </row>
    <row r="474" spans="2:16" ht="15" customHeight="1">
      <c r="B474" s="83">
        <v>489.97152983542719</v>
      </c>
      <c r="C474" s="83">
        <v>498.25028400783549</v>
      </c>
      <c r="D474" s="83">
        <v>489.11988765979675</v>
      </c>
      <c r="E474" s="83">
        <v>492.71460986623714</v>
      </c>
      <c r="F474" s="83">
        <v>5702015.4695894197</v>
      </c>
      <c r="G474" s="83" t="s">
        <v>1757</v>
      </c>
      <c r="H474" s="84">
        <f t="shared" si="9"/>
        <v>-5.5672796703849503E-3</v>
      </c>
      <c r="J474" s="83">
        <v>168.35178243127618</v>
      </c>
      <c r="K474" s="83">
        <v>174.36292434357759</v>
      </c>
      <c r="L474" s="83">
        <v>168.24230799247599</v>
      </c>
      <c r="M474" s="83">
        <v>173.41746328121229</v>
      </c>
      <c r="N474" s="83">
        <v>29106948.022961035</v>
      </c>
      <c r="O474" s="83" t="s">
        <v>1757</v>
      </c>
      <c r="P474" s="84">
        <f t="shared" si="10"/>
        <v>-2.9210903873744587E-2</v>
      </c>
    </row>
    <row r="475" spans="2:16" ht="15" customHeight="1">
      <c r="B475" s="83">
        <v>492.45713665034884</v>
      </c>
      <c r="C475" s="83">
        <v>499.79512330316527</v>
      </c>
      <c r="D475" s="83">
        <v>491.71937685866897</v>
      </c>
      <c r="E475" s="83">
        <v>499.52774727128127</v>
      </c>
      <c r="F475" s="83">
        <v>6217829.3554796651</v>
      </c>
      <c r="G475" s="83" t="s">
        <v>1756</v>
      </c>
      <c r="H475" s="84">
        <f t="shared" si="9"/>
        <v>-1.4154590329679029E-2</v>
      </c>
      <c r="J475" s="83">
        <v>173.5368899417216</v>
      </c>
      <c r="K475" s="83">
        <v>177.09978531358237</v>
      </c>
      <c r="L475" s="83">
        <v>172.74071220499292</v>
      </c>
      <c r="M475" s="83">
        <v>174.55201655605063</v>
      </c>
      <c r="N475" s="83">
        <v>31400710.226741895</v>
      </c>
      <c r="O475" s="83" t="s">
        <v>1756</v>
      </c>
      <c r="P475" s="84">
        <f t="shared" si="10"/>
        <v>-5.8156109242258891E-3</v>
      </c>
    </row>
    <row r="476" spans="2:16" ht="15" customHeight="1">
      <c r="B476" s="83">
        <v>503.99391728534363</v>
      </c>
      <c r="C476" s="83">
        <v>506.67758042017931</v>
      </c>
      <c r="D476" s="83">
        <v>503.548290565537</v>
      </c>
      <c r="E476" s="83">
        <v>504.70692003703437</v>
      </c>
      <c r="F476" s="83">
        <v>3146625.1633392838</v>
      </c>
      <c r="G476" s="83" t="s">
        <v>1755</v>
      </c>
      <c r="H476" s="84">
        <f t="shared" si="9"/>
        <v>-1.4127065102226277E-3</v>
      </c>
      <c r="J476" s="83">
        <v>182.72279057922856</v>
      </c>
      <c r="K476" s="83">
        <v>184.33505049610412</v>
      </c>
      <c r="L476" s="83">
        <v>182.45408059308267</v>
      </c>
      <c r="M476" s="83">
        <v>182.96164390024717</v>
      </c>
      <c r="N476" s="83">
        <v>23886728.707262646</v>
      </c>
      <c r="O476" s="83" t="s">
        <v>1755</v>
      </c>
      <c r="P476" s="84">
        <f t="shared" si="10"/>
        <v>-1.3054830287206887E-3</v>
      </c>
    </row>
    <row r="477" spans="2:16" ht="15" customHeight="1">
      <c r="B477" s="83">
        <v>504.83565664497849</v>
      </c>
      <c r="C477" s="83">
        <v>505.36050589275072</v>
      </c>
      <c r="D477" s="83">
        <v>501.51821328641773</v>
      </c>
      <c r="E477" s="83">
        <v>503.33042861363151</v>
      </c>
      <c r="F477" s="83">
        <v>4385549.5264015486</v>
      </c>
      <c r="G477" s="83" t="s">
        <v>1754</v>
      </c>
      <c r="H477" s="84">
        <f t="shared" si="9"/>
        <v>2.9905365258622307E-3</v>
      </c>
      <c r="J477" s="83">
        <v>182.47398503650086</v>
      </c>
      <c r="K477" s="83">
        <v>183.41944609886616</v>
      </c>
      <c r="L477" s="83">
        <v>181.03091288868015</v>
      </c>
      <c r="M477" s="83">
        <v>181.47876286559003</v>
      </c>
      <c r="N477" s="83">
        <v>16382167.194967747</v>
      </c>
      <c r="O477" s="83" t="s">
        <v>1754</v>
      </c>
      <c r="P477" s="84">
        <f t="shared" si="10"/>
        <v>5.4839594187003904E-3</v>
      </c>
    </row>
    <row r="478" spans="2:16" ht="15" customHeight="1">
      <c r="B478" s="83">
        <v>499.64658106322975</v>
      </c>
      <c r="C478" s="83">
        <v>504.25139050123192</v>
      </c>
      <c r="D478" s="83">
        <v>498.66620227965507</v>
      </c>
      <c r="E478" s="83">
        <v>502.70655120590214</v>
      </c>
      <c r="F478" s="83">
        <v>4079079.1243142341</v>
      </c>
      <c r="G478" s="83" t="s">
        <v>1753</v>
      </c>
      <c r="H478" s="84">
        <f t="shared" si="9"/>
        <v>-6.0869907808682733E-3</v>
      </c>
      <c r="J478" s="83">
        <v>178.53290523969395</v>
      </c>
      <c r="K478" s="83">
        <v>181.10057844064391</v>
      </c>
      <c r="L478" s="83">
        <v>178.00543748911124</v>
      </c>
      <c r="M478" s="83">
        <v>179.50822296718658</v>
      </c>
      <c r="N478" s="83">
        <v>14555442.416181758</v>
      </c>
      <c r="O478" s="83" t="s">
        <v>1753</v>
      </c>
      <c r="P478" s="84">
        <f t="shared" si="10"/>
        <v>-5.4332760436881511E-3</v>
      </c>
    </row>
    <row r="479" spans="2:16" ht="15" customHeight="1">
      <c r="B479" s="83">
        <v>503.0036356857733</v>
      </c>
      <c r="C479" s="83">
        <v>509.19289568308812</v>
      </c>
      <c r="D479" s="83">
        <v>500.95474305626215</v>
      </c>
      <c r="E479" s="83">
        <v>508.26203097949195</v>
      </c>
      <c r="F479" s="83">
        <v>5105466.9724182151</v>
      </c>
      <c r="G479" s="83" t="s">
        <v>1752</v>
      </c>
      <c r="H479" s="84">
        <f t="shared" si="9"/>
        <v>-1.0345835362883582E-2</v>
      </c>
      <c r="J479" s="83">
        <v>178.36371747063913</v>
      </c>
      <c r="K479" s="83">
        <v>183.17064055613847</v>
      </c>
      <c r="L479" s="83">
        <v>177.35854307801921</v>
      </c>
      <c r="M479" s="83">
        <v>182.66307724897391</v>
      </c>
      <c r="N479" s="83">
        <v>17963021.245435804</v>
      </c>
      <c r="O479" s="83" t="s">
        <v>1752</v>
      </c>
      <c r="P479" s="84">
        <f t="shared" si="10"/>
        <v>-2.3537103628636702E-2</v>
      </c>
    </row>
    <row r="480" spans="2:16" ht="15" customHeight="1">
      <c r="B480" s="83">
        <v>506.81621984411925</v>
      </c>
      <c r="C480" s="83">
        <v>510.10395475469284</v>
      </c>
      <c r="D480" s="83">
        <v>506.588455076218</v>
      </c>
      <c r="E480" s="83">
        <v>508.5690182753587</v>
      </c>
      <c r="F480" s="83">
        <v>5033220.8557267217</v>
      </c>
      <c r="G480" s="83" t="s">
        <v>1751</v>
      </c>
      <c r="H480" s="84">
        <f t="shared" si="9"/>
        <v>-3.4465301035904172E-3</v>
      </c>
      <c r="J480" s="83">
        <v>181.74747285173595</v>
      </c>
      <c r="K480" s="83">
        <v>184.3450027178132</v>
      </c>
      <c r="L480" s="83">
        <v>180.75225068082511</v>
      </c>
      <c r="M480" s="83">
        <v>183.79763052381227</v>
      </c>
      <c r="N480" s="83">
        <v>17459983.818584856</v>
      </c>
      <c r="O480" s="83" t="s">
        <v>1751</v>
      </c>
      <c r="P480" s="84">
        <f t="shared" si="10"/>
        <v>-1.1154429283084299E-2</v>
      </c>
    </row>
    <row r="481" spans="2:16" ht="15" customHeight="1">
      <c r="B481" s="83">
        <v>513.99576144100433</v>
      </c>
      <c r="C481" s="83">
        <v>514.3522628168497</v>
      </c>
      <c r="D481" s="83">
        <v>511.57947433805271</v>
      </c>
      <c r="E481" s="83">
        <v>512.30237990573903</v>
      </c>
      <c r="F481" s="83">
        <v>4205167.5016547516</v>
      </c>
      <c r="G481" s="83" t="s">
        <v>1750</v>
      </c>
      <c r="H481" s="84">
        <f t="shared" si="9"/>
        <v>3.3054336690312436E-3</v>
      </c>
      <c r="J481" s="83">
        <v>184.61371270395915</v>
      </c>
      <c r="K481" s="83">
        <v>189.43058801116757</v>
      </c>
      <c r="L481" s="83">
        <v>184.23552827901304</v>
      </c>
      <c r="M481" s="83">
        <v>188.05718141531062</v>
      </c>
      <c r="N481" s="83">
        <v>12821360.268051412</v>
      </c>
      <c r="O481" s="83" t="s">
        <v>1750</v>
      </c>
      <c r="P481" s="84">
        <f t="shared" si="10"/>
        <v>-1.8310753598645202E-2</v>
      </c>
    </row>
    <row r="482" spans="2:16" ht="15" customHeight="1">
      <c r="B482" s="83">
        <v>511.09423635426322</v>
      </c>
      <c r="C482" s="83">
        <v>514.07498396897006</v>
      </c>
      <c r="D482" s="83">
        <v>509.34143792302365</v>
      </c>
      <c r="E482" s="83">
        <v>511.5596687060613</v>
      </c>
      <c r="F482" s="83">
        <v>7847791.9849986648</v>
      </c>
      <c r="G482" s="83" t="s">
        <v>1749</v>
      </c>
      <c r="H482" s="84">
        <f t="shared" si="9"/>
        <v>-9.0983003600608736E-4</v>
      </c>
      <c r="J482" s="83">
        <v>187.29086034370928</v>
      </c>
      <c r="K482" s="83">
        <v>188.99269025596681</v>
      </c>
      <c r="L482" s="83">
        <v>185.59898265316087</v>
      </c>
      <c r="M482" s="83">
        <v>185.59898265316087</v>
      </c>
      <c r="N482" s="83">
        <v>12244517.210511211</v>
      </c>
      <c r="O482" s="83" t="s">
        <v>1749</v>
      </c>
      <c r="P482" s="84">
        <f t="shared" si="10"/>
        <v>9.1157702825888087E-3</v>
      </c>
    </row>
    <row r="483" spans="2:16" ht="15" customHeight="1">
      <c r="B483" s="83">
        <v>509.54939705893338</v>
      </c>
      <c r="C483" s="83">
        <v>512.99557702543825</v>
      </c>
      <c r="D483" s="83">
        <v>507.1925268519559</v>
      </c>
      <c r="E483" s="83">
        <v>507.50941696381847</v>
      </c>
      <c r="F483" s="83">
        <v>5289576.2198071387</v>
      </c>
      <c r="G483" s="83" t="s">
        <v>1748</v>
      </c>
      <c r="H483" s="84">
        <f t="shared" si="9"/>
        <v>4.0195906261584202E-3</v>
      </c>
      <c r="J483" s="83">
        <v>185.88759708272502</v>
      </c>
      <c r="K483" s="83">
        <v>187.7884714291647</v>
      </c>
      <c r="L483" s="83">
        <v>185.25065489334207</v>
      </c>
      <c r="M483" s="83">
        <v>186.02692818665253</v>
      </c>
      <c r="N483" s="83">
        <v>14518479.815191535</v>
      </c>
      <c r="O483" s="83" t="s">
        <v>1748</v>
      </c>
      <c r="P483" s="84">
        <f t="shared" si="10"/>
        <v>-7.4898352236241195E-4</v>
      </c>
    </row>
    <row r="484" spans="2:16" ht="15" customHeight="1">
      <c r="B484" s="83">
        <v>506.42010720429101</v>
      </c>
      <c r="C484" s="83">
        <v>511.76762784197103</v>
      </c>
      <c r="D484" s="83">
        <v>505.86059810053376</v>
      </c>
      <c r="E484" s="83">
        <v>510.98530537831044</v>
      </c>
      <c r="F484" s="83">
        <v>5600738.2166913431</v>
      </c>
      <c r="G484" s="83" t="s">
        <v>1747</v>
      </c>
      <c r="H484" s="84">
        <f t="shared" si="9"/>
        <v>-8.9341085271318343E-3</v>
      </c>
      <c r="J484" s="83">
        <v>186.40511261159867</v>
      </c>
      <c r="K484" s="83">
        <v>191.49069790495298</v>
      </c>
      <c r="L484" s="83">
        <v>185.92740596956145</v>
      </c>
      <c r="M484" s="83">
        <v>190.42581018207841</v>
      </c>
      <c r="N484" s="83">
        <v>16530963.116449753</v>
      </c>
      <c r="O484" s="83" t="s">
        <v>1747</v>
      </c>
      <c r="P484" s="84">
        <f t="shared" si="10"/>
        <v>-2.1114246890352129E-2</v>
      </c>
    </row>
    <row r="485" spans="2:16" ht="15" customHeight="1">
      <c r="B485" s="83">
        <v>510.79715187439206</v>
      </c>
      <c r="C485" s="83">
        <v>511.16850747423092</v>
      </c>
      <c r="D485" s="83">
        <v>506.71719168416217</v>
      </c>
      <c r="E485" s="83">
        <v>507.00437334803757</v>
      </c>
      <c r="F485" s="83">
        <v>3480750.3254583725</v>
      </c>
      <c r="G485" s="83" t="s">
        <v>1746</v>
      </c>
      <c r="H485" s="84">
        <f t="shared" si="9"/>
        <v>7.480760967225164E-3</v>
      </c>
      <c r="J485" s="83">
        <v>191.7395034476807</v>
      </c>
      <c r="K485" s="83">
        <v>192.38639785877274</v>
      </c>
      <c r="L485" s="83">
        <v>189.70925021902261</v>
      </c>
      <c r="M485" s="83">
        <v>189.838629101241</v>
      </c>
      <c r="N485" s="83">
        <v>12110769.185305765</v>
      </c>
      <c r="O485" s="83" t="s">
        <v>1746</v>
      </c>
      <c r="P485" s="84">
        <f t="shared" si="10"/>
        <v>1.0013106159895147E-2</v>
      </c>
    </row>
    <row r="486" spans="2:16" ht="15" customHeight="1">
      <c r="B486" s="83">
        <v>505.92496640450588</v>
      </c>
      <c r="C486" s="83">
        <v>507.03408179602468</v>
      </c>
      <c r="D486" s="83">
        <v>505.57836784465627</v>
      </c>
      <c r="E486" s="83">
        <v>506.24185651636839</v>
      </c>
      <c r="F486" s="83">
        <v>3176695.3979199519</v>
      </c>
      <c r="G486" s="83" t="s">
        <v>1745</v>
      </c>
      <c r="H486" s="84">
        <f t="shared" si="9"/>
        <v>-6.2596584573848535E-4</v>
      </c>
      <c r="J486" s="83">
        <v>189.53011022825865</v>
      </c>
      <c r="K486" s="83">
        <v>191.93854788186289</v>
      </c>
      <c r="L486" s="83">
        <v>189.32111357236738</v>
      </c>
      <c r="M486" s="83">
        <v>190.83385127215183</v>
      </c>
      <c r="N486" s="83">
        <v>10274012.475668736</v>
      </c>
      <c r="O486" s="83" t="s">
        <v>1745</v>
      </c>
      <c r="P486" s="84">
        <f t="shared" si="10"/>
        <v>-6.831812255541081E-3</v>
      </c>
    </row>
    <row r="487" spans="2:16" ht="15" customHeight="1">
      <c r="B487" s="83">
        <v>505.37040870874642</v>
      </c>
      <c r="C487" s="83">
        <v>506.23690510837054</v>
      </c>
      <c r="D487" s="83">
        <v>504.3702242931804</v>
      </c>
      <c r="E487" s="83">
        <v>505.53875658067341</v>
      </c>
      <c r="F487" s="83">
        <v>3174227.4130547778</v>
      </c>
      <c r="G487" s="83" t="s">
        <v>1744</v>
      </c>
      <c r="H487" s="84">
        <f t="shared" si="9"/>
        <v>-3.330068560235544E-4</v>
      </c>
      <c r="J487" s="83">
        <v>189.56991911509508</v>
      </c>
      <c r="K487" s="83">
        <v>190.76329002023428</v>
      </c>
      <c r="L487" s="83">
        <v>188.41546139683851</v>
      </c>
      <c r="M487" s="83">
        <v>190.45069073635119</v>
      </c>
      <c r="N487" s="83">
        <v>12155688.803564556</v>
      </c>
      <c r="O487" s="83" t="s">
        <v>1744</v>
      </c>
      <c r="P487" s="84">
        <f t="shared" si="10"/>
        <v>-4.6246701329920592E-3</v>
      </c>
    </row>
    <row r="488" spans="2:16" ht="15" customHeight="1">
      <c r="B488" s="83">
        <v>504.88517072495694</v>
      </c>
      <c r="C488" s="83">
        <v>505.14264394084529</v>
      </c>
      <c r="D488" s="83">
        <v>501.56772736639624</v>
      </c>
      <c r="E488" s="83">
        <v>502.20150759012125</v>
      </c>
      <c r="F488" s="83">
        <v>3187903.3210044717</v>
      </c>
      <c r="G488" s="83" t="s">
        <v>1743</v>
      </c>
      <c r="H488" s="84">
        <f t="shared" si="9"/>
        <v>5.3437974483860895E-3</v>
      </c>
      <c r="J488" s="83">
        <v>191.04284792804313</v>
      </c>
      <c r="K488" s="83">
        <v>191.34141457931636</v>
      </c>
      <c r="L488" s="83">
        <v>186.42501705501687</v>
      </c>
      <c r="M488" s="83">
        <v>186.42501705501687</v>
      </c>
      <c r="N488" s="83">
        <v>14372028.093897378</v>
      </c>
      <c r="O488" s="83" t="s">
        <v>1743</v>
      </c>
      <c r="P488" s="84">
        <f t="shared" si="10"/>
        <v>2.4770446295109938E-2</v>
      </c>
    </row>
    <row r="489" spans="2:16" ht="15" customHeight="1">
      <c r="B489" s="83">
        <v>501.88461747825875</v>
      </c>
      <c r="C489" s="83">
        <v>502.21141040611695</v>
      </c>
      <c r="D489" s="83">
        <v>499.31978813537154</v>
      </c>
      <c r="E489" s="83">
        <v>499.31978813537154</v>
      </c>
      <c r="F489" s="83">
        <v>2151999.9977022349</v>
      </c>
      <c r="G489" s="83" t="s">
        <v>1742</v>
      </c>
      <c r="H489" s="84">
        <f t="shared" si="9"/>
        <v>5.1366467018363338E-3</v>
      </c>
      <c r="J489" s="83">
        <v>186.4946826069806</v>
      </c>
      <c r="K489" s="83">
        <v>186.7235837062901</v>
      </c>
      <c r="L489" s="83">
        <v>184.4992621543044</v>
      </c>
      <c r="M489" s="83">
        <v>185.40989044068783</v>
      </c>
      <c r="N489" s="83">
        <v>7444675.3866216214</v>
      </c>
      <c r="O489" s="83" t="s">
        <v>1742</v>
      </c>
      <c r="P489" s="84">
        <f t="shared" si="10"/>
        <v>5.8507783145462788E-3</v>
      </c>
    </row>
    <row r="490" spans="2:16" ht="15" customHeight="1">
      <c r="B490" s="83">
        <v>499.62677543123829</v>
      </c>
      <c r="C490" s="83">
        <v>499.70599795920396</v>
      </c>
      <c r="D490" s="83">
        <v>494.75458996135211</v>
      </c>
      <c r="E490" s="83">
        <v>494.83381248931772</v>
      </c>
      <c r="F490" s="83">
        <v>4251399.8056982309</v>
      </c>
      <c r="G490" s="83" t="s">
        <v>1741</v>
      </c>
      <c r="H490" s="84">
        <f t="shared" si="9"/>
        <v>9.6860053233003285E-3</v>
      </c>
      <c r="J490" s="83">
        <v>185.71840931367018</v>
      </c>
      <c r="K490" s="83">
        <v>186.05678485177984</v>
      </c>
      <c r="L490" s="83">
        <v>182.18537060693671</v>
      </c>
      <c r="M490" s="83">
        <v>182.59341169701017</v>
      </c>
      <c r="N490" s="83">
        <v>12615821.237693207</v>
      </c>
      <c r="O490" s="83" t="s">
        <v>1741</v>
      </c>
      <c r="P490" s="84">
        <f t="shared" si="10"/>
        <v>1.7114514634545275E-2</v>
      </c>
    </row>
    <row r="491" spans="2:16" ht="15" customHeight="1">
      <c r="B491" s="83">
        <v>496.40836023263461</v>
      </c>
      <c r="C491" s="83">
        <v>496.8043738443028</v>
      </c>
      <c r="D491" s="83">
        <v>493.75440554578603</v>
      </c>
      <c r="E491" s="83">
        <v>496.6163193685444</v>
      </c>
      <c r="F491" s="83">
        <v>4411397.7295905249</v>
      </c>
      <c r="G491" s="83" t="s">
        <v>1740</v>
      </c>
      <c r="H491" s="84">
        <f t="shared" si="9"/>
        <v>-4.1875211868636075E-4</v>
      </c>
      <c r="J491" s="83">
        <v>183.60853831133923</v>
      </c>
      <c r="K491" s="83">
        <v>184.45447715661342</v>
      </c>
      <c r="L491" s="83">
        <v>181.85694729053614</v>
      </c>
      <c r="M491" s="83">
        <v>183.59858608963009</v>
      </c>
      <c r="N491" s="83">
        <v>11872587.192451792</v>
      </c>
      <c r="O491" s="83" t="s">
        <v>1740</v>
      </c>
      <c r="P491" s="84">
        <f t="shared" si="10"/>
        <v>5.4206418039992599E-5</v>
      </c>
    </row>
    <row r="492" spans="2:16" ht="15" customHeight="1">
      <c r="B492" s="83">
        <v>495.2695363931287</v>
      </c>
      <c r="C492" s="83">
        <v>500.81511335072275</v>
      </c>
      <c r="D492" s="83">
        <v>494.16042100160985</v>
      </c>
      <c r="E492" s="83">
        <v>498.08193613590856</v>
      </c>
      <c r="F492" s="83">
        <v>5653514.1139943674</v>
      </c>
      <c r="G492" s="83" t="s">
        <v>1739</v>
      </c>
      <c r="H492" s="84">
        <f t="shared" si="9"/>
        <v>-5.6464600274370724E-3</v>
      </c>
      <c r="J492" s="83">
        <v>182.5436505884646</v>
      </c>
      <c r="K492" s="83">
        <v>185.68855264854287</v>
      </c>
      <c r="L492" s="83">
        <v>182.44910448222808</v>
      </c>
      <c r="M492" s="83">
        <v>184.83266158155953</v>
      </c>
      <c r="N492" s="83">
        <v>23142934.987994388</v>
      </c>
      <c r="O492" s="83" t="s">
        <v>1739</v>
      </c>
      <c r="P492" s="84">
        <f t="shared" si="10"/>
        <v>-1.2384234331251465E-2</v>
      </c>
    </row>
    <row r="493" spans="2:16" ht="15" customHeight="1">
      <c r="B493" s="83">
        <v>497.18721671069676</v>
      </c>
      <c r="C493" s="83">
        <v>497.80888575213316</v>
      </c>
      <c r="D493" s="83">
        <v>495.67744903863684</v>
      </c>
      <c r="E493" s="83">
        <v>496.34845689288568</v>
      </c>
      <c r="F493" s="83">
        <v>3668161.832107625</v>
      </c>
      <c r="G493" s="83" t="s">
        <v>1738</v>
      </c>
      <c r="H493" s="84">
        <f t="shared" si="9"/>
        <v>1.6898608349902311E-3</v>
      </c>
      <c r="J493" s="83">
        <v>185.9672148563979</v>
      </c>
      <c r="K493" s="83">
        <v>186.60415704578082</v>
      </c>
      <c r="L493" s="83">
        <v>184.56395159541358</v>
      </c>
      <c r="M493" s="83">
        <v>184.75801991874124</v>
      </c>
      <c r="N493" s="83">
        <v>13088189.130753459</v>
      </c>
      <c r="O493" s="83" t="s">
        <v>1738</v>
      </c>
      <c r="P493" s="84">
        <f t="shared" si="10"/>
        <v>6.5447493872714535E-3</v>
      </c>
    </row>
    <row r="494" spans="2:16" ht="15" customHeight="1">
      <c r="B494" s="83">
        <v>496.41753123082304</v>
      </c>
      <c r="C494" s="83">
        <v>497.10827461019687</v>
      </c>
      <c r="D494" s="83">
        <v>494.26635899220179</v>
      </c>
      <c r="E494" s="83">
        <v>494.83868922082587</v>
      </c>
      <c r="F494" s="83">
        <v>3245619.2371071526</v>
      </c>
      <c r="G494" s="83" t="s">
        <v>1737</v>
      </c>
      <c r="H494" s="84">
        <f t="shared" si="9"/>
        <v>3.1906195784392466E-3</v>
      </c>
      <c r="J494" s="83">
        <v>184.48433382174073</v>
      </c>
      <c r="K494" s="83">
        <v>185.0416582374508</v>
      </c>
      <c r="L494" s="83">
        <v>183.11092722588381</v>
      </c>
      <c r="M494" s="83">
        <v>183.31992388177505</v>
      </c>
      <c r="N494" s="83">
        <v>13439928.68221424</v>
      </c>
      <c r="O494" s="83" t="s">
        <v>1737</v>
      </c>
      <c r="P494" s="84">
        <f t="shared" si="10"/>
        <v>6.3517915309445616E-3</v>
      </c>
    </row>
    <row r="495" spans="2:16" ht="15" customHeight="1">
      <c r="B495" s="83">
        <v>495.86493652732401</v>
      </c>
      <c r="C495" s="83">
        <v>496.18070492932344</v>
      </c>
      <c r="D495" s="83">
        <v>493.70389652614028</v>
      </c>
      <c r="E495" s="83">
        <v>495.07551552232536</v>
      </c>
      <c r="F495" s="83">
        <v>6421642.1502602752</v>
      </c>
      <c r="G495" s="83" t="s">
        <v>1736</v>
      </c>
      <c r="H495" s="84">
        <f t="shared" si="9"/>
        <v>1.5945466504554417E-3</v>
      </c>
      <c r="J495" s="83">
        <v>184.69333047763203</v>
      </c>
      <c r="K495" s="83">
        <v>184.86251824668685</v>
      </c>
      <c r="L495" s="83">
        <v>180.23971126280603</v>
      </c>
      <c r="M495" s="83">
        <v>180.27952014964248</v>
      </c>
      <c r="N495" s="83">
        <v>19008553.620430723</v>
      </c>
      <c r="O495" s="83" t="s">
        <v>1736</v>
      </c>
      <c r="P495" s="84">
        <f t="shared" si="10"/>
        <v>2.4483148858649217E-2</v>
      </c>
    </row>
    <row r="496" spans="2:16" ht="15" customHeight="1">
      <c r="B496" s="83">
        <v>493.81244191432762</v>
      </c>
      <c r="C496" s="83">
        <v>497.76892131375513</v>
      </c>
      <c r="D496" s="83">
        <v>493.81244191432762</v>
      </c>
      <c r="E496" s="83">
        <v>495.39128392432485</v>
      </c>
      <c r="F496" s="83">
        <v>7116956.8131896658</v>
      </c>
      <c r="G496" s="83" t="s">
        <v>1735</v>
      </c>
      <c r="H496" s="84">
        <f t="shared" ref="H496:H559" si="11">B496/E496-1</f>
        <v>-3.1870605342310121E-3</v>
      </c>
      <c r="J496" s="83">
        <v>179.92621627896912</v>
      </c>
      <c r="K496" s="83">
        <v>181.21005287944411</v>
      </c>
      <c r="L496" s="83">
        <v>179.36889186325905</v>
      </c>
      <c r="M496" s="83">
        <v>180.41387514271545</v>
      </c>
      <c r="N496" s="83">
        <v>18285647.699492935</v>
      </c>
      <c r="O496" s="83" t="s">
        <v>1735</v>
      </c>
      <c r="P496" s="84">
        <f t="shared" ref="P496:P559" si="12">J496/M496-1</f>
        <v>-2.7030008826126606E-3</v>
      </c>
    </row>
    <row r="497" spans="2:16" ht="15" customHeight="1">
      <c r="B497" s="83">
        <v>495.14458986026278</v>
      </c>
      <c r="C497" s="83">
        <v>496.56130453135847</v>
      </c>
      <c r="D497" s="83">
        <v>494.22688794195193</v>
      </c>
      <c r="E497" s="83">
        <v>495.46035826226228</v>
      </c>
      <c r="F497" s="83">
        <v>4406103.1793878563</v>
      </c>
      <c r="G497" s="83" t="s">
        <v>1734</v>
      </c>
      <c r="H497" s="84">
        <f t="shared" si="11"/>
        <v>-6.3732324238208182E-4</v>
      </c>
      <c r="J497" s="83">
        <v>179.39874852838639</v>
      </c>
      <c r="K497" s="83">
        <v>181.63969029062631</v>
      </c>
      <c r="L497" s="83">
        <v>177.20925975238256</v>
      </c>
      <c r="M497" s="83">
        <v>177.63720528587424</v>
      </c>
      <c r="N497" s="83">
        <v>60014759.262584254</v>
      </c>
      <c r="O497" s="83" t="s">
        <v>1734</v>
      </c>
      <c r="P497" s="84">
        <f t="shared" si="12"/>
        <v>9.9165219340018318E-3</v>
      </c>
    </row>
    <row r="498" spans="2:16" ht="15" customHeight="1">
      <c r="B498" s="83">
        <v>496.23004374213588</v>
      </c>
      <c r="C498" s="83">
        <v>499.05222383500598</v>
      </c>
      <c r="D498" s="83">
        <v>494.56239186907629</v>
      </c>
      <c r="E498" s="83">
        <v>498.46015808125702</v>
      </c>
      <c r="F498" s="83">
        <v>4875337.2099678321</v>
      </c>
      <c r="G498" s="83" t="s">
        <v>1733</v>
      </c>
      <c r="H498" s="84">
        <f t="shared" si="11"/>
        <v>-4.4740072059231695E-3</v>
      </c>
      <c r="J498" s="83">
        <v>176.86093199256379</v>
      </c>
      <c r="K498" s="83">
        <v>177.88601082860194</v>
      </c>
      <c r="L498" s="83">
        <v>175.61690427892523</v>
      </c>
      <c r="M498" s="83">
        <v>175.86570982165296</v>
      </c>
      <c r="N498" s="83">
        <v>16833594.035256911</v>
      </c>
      <c r="O498" s="83" t="s">
        <v>1733</v>
      </c>
      <c r="P498" s="84">
        <f t="shared" si="12"/>
        <v>5.6589893045102535E-3</v>
      </c>
    </row>
    <row r="499" spans="2:16" ht="15" customHeight="1">
      <c r="B499" s="83">
        <v>497.61153050088348</v>
      </c>
      <c r="C499" s="83">
        <v>497.68573607535336</v>
      </c>
      <c r="D499" s="83">
        <v>495.98334967807381</v>
      </c>
      <c r="E499" s="83">
        <v>496.39779570569812</v>
      </c>
      <c r="F499" s="83">
        <v>3477652.5866635391</v>
      </c>
      <c r="G499" s="83" t="s">
        <v>1732</v>
      </c>
      <c r="H499" s="84">
        <f t="shared" si="11"/>
        <v>2.4450849816122222E-3</v>
      </c>
      <c r="J499" s="83">
        <v>175.60695205721612</v>
      </c>
      <c r="K499" s="83">
        <v>178.05519859765676</v>
      </c>
      <c r="L499" s="83">
        <v>174.78091765536016</v>
      </c>
      <c r="M499" s="83">
        <v>177.93577193714745</v>
      </c>
      <c r="N499" s="83">
        <v>15715342.219201146</v>
      </c>
      <c r="O499" s="83" t="s">
        <v>1732</v>
      </c>
      <c r="P499" s="84">
        <f t="shared" si="12"/>
        <v>-1.3087980312097902E-2</v>
      </c>
    </row>
    <row r="500" spans="2:16" ht="15" customHeight="1">
      <c r="B500" s="83">
        <v>496.28925031751078</v>
      </c>
      <c r="C500" s="83">
        <v>497.51285287525866</v>
      </c>
      <c r="D500" s="83">
        <v>491.32576574858194</v>
      </c>
      <c r="E500" s="83">
        <v>491.88822821464345</v>
      </c>
      <c r="F500" s="83">
        <v>4671311.2225920837</v>
      </c>
      <c r="G500" s="83" t="s">
        <v>1731</v>
      </c>
      <c r="H500" s="84">
        <f t="shared" si="11"/>
        <v>8.9471994864387394E-3</v>
      </c>
      <c r="J500" s="83">
        <v>177.92581971543837</v>
      </c>
      <c r="K500" s="83">
        <v>179.0603729902767</v>
      </c>
      <c r="L500" s="83">
        <v>175.64676094405257</v>
      </c>
      <c r="M500" s="83">
        <v>176.13441980779885</v>
      </c>
      <c r="N500" s="83">
        <v>15346185.451256797</v>
      </c>
      <c r="O500" s="83" t="s">
        <v>1731</v>
      </c>
      <c r="P500" s="84">
        <f t="shared" si="12"/>
        <v>1.0170640750367443E-2</v>
      </c>
    </row>
    <row r="501" spans="2:16" ht="15" customHeight="1">
      <c r="B501" s="83">
        <v>492.38161634276764</v>
      </c>
      <c r="C501" s="83">
        <v>492.44082291814249</v>
      </c>
      <c r="D501" s="83">
        <v>489.72718821345973</v>
      </c>
      <c r="E501" s="83">
        <v>490.68436118202055</v>
      </c>
      <c r="F501" s="83">
        <v>5889932.9642338268</v>
      </c>
      <c r="G501" s="83" t="s">
        <v>1730</v>
      </c>
      <c r="H501" s="84">
        <f t="shared" si="11"/>
        <v>3.4589550738044483E-3</v>
      </c>
      <c r="J501" s="83">
        <v>177.51777862536494</v>
      </c>
      <c r="K501" s="83">
        <v>177.8760586068928</v>
      </c>
      <c r="L501" s="83">
        <v>175.01180919901145</v>
      </c>
      <c r="M501" s="83">
        <v>175.01180919901145</v>
      </c>
      <c r="N501" s="83">
        <v>12420916.013845075</v>
      </c>
      <c r="O501" s="83" t="s">
        <v>1730</v>
      </c>
      <c r="P501" s="84">
        <f t="shared" si="12"/>
        <v>1.4318859040556964E-2</v>
      </c>
    </row>
    <row r="502" spans="2:16" ht="15" customHeight="1">
      <c r="B502" s="83">
        <v>491.98690584026826</v>
      </c>
      <c r="C502" s="83">
        <v>492.84540118320427</v>
      </c>
      <c r="D502" s="83">
        <v>489.50022967452264</v>
      </c>
      <c r="E502" s="83">
        <v>492.69738474476708</v>
      </c>
      <c r="F502" s="83">
        <v>8926926.3870325722</v>
      </c>
      <c r="G502" s="83" t="s">
        <v>1729</v>
      </c>
      <c r="H502" s="84">
        <f t="shared" si="11"/>
        <v>-1.4420188263569722E-3</v>
      </c>
      <c r="J502" s="83">
        <v>175.89556648678027</v>
      </c>
      <c r="K502" s="83">
        <v>177.65710972929244</v>
      </c>
      <c r="L502" s="83">
        <v>175.81594871310739</v>
      </c>
      <c r="M502" s="83">
        <v>176.99031087478218</v>
      </c>
      <c r="N502" s="83">
        <v>16033546.545085656</v>
      </c>
      <c r="O502" s="83" t="s">
        <v>1729</v>
      </c>
      <c r="P502" s="84">
        <f t="shared" si="12"/>
        <v>-6.1853351327035844E-3</v>
      </c>
    </row>
    <row r="503" spans="2:16" ht="15" customHeight="1">
      <c r="B503" s="83">
        <v>491.05933615939489</v>
      </c>
      <c r="C503" s="83">
        <v>493.53614456257804</v>
      </c>
      <c r="D503" s="83">
        <v>490.14163424108398</v>
      </c>
      <c r="E503" s="83">
        <v>491.34550127370693</v>
      </c>
      <c r="F503" s="83">
        <v>3748354.2764423308</v>
      </c>
      <c r="G503" s="83" t="s">
        <v>1728</v>
      </c>
      <c r="H503" s="84">
        <f t="shared" si="11"/>
        <v>-5.8241118229473976E-4</v>
      </c>
      <c r="J503" s="83">
        <v>178.70209300874882</v>
      </c>
      <c r="K503" s="83">
        <v>181.21005287944411</v>
      </c>
      <c r="L503" s="83">
        <v>176.93059754452753</v>
      </c>
      <c r="M503" s="83">
        <v>178.89118522122186</v>
      </c>
      <c r="N503" s="83">
        <v>18689717.274864189</v>
      </c>
      <c r="O503" s="83" t="s">
        <v>1728</v>
      </c>
      <c r="P503" s="84">
        <f t="shared" si="12"/>
        <v>-1.0570236439498837E-3</v>
      </c>
    </row>
    <row r="504" spans="2:16" ht="15" customHeight="1">
      <c r="B504" s="83">
        <v>487.00368574621444</v>
      </c>
      <c r="C504" s="83">
        <v>487.13196665952677</v>
      </c>
      <c r="D504" s="83">
        <v>482.64114791734079</v>
      </c>
      <c r="E504" s="83">
        <v>484.49727405534384</v>
      </c>
      <c r="F504" s="83">
        <v>4082407.7134932731</v>
      </c>
      <c r="G504" s="83" t="s">
        <v>1727</v>
      </c>
      <c r="H504" s="84">
        <f t="shared" si="11"/>
        <v>5.1732214505386676E-3</v>
      </c>
      <c r="J504" s="83">
        <v>177.33863863460098</v>
      </c>
      <c r="K504" s="83">
        <v>177.53768306878314</v>
      </c>
      <c r="L504" s="83">
        <v>174.6017776645962</v>
      </c>
      <c r="M504" s="83">
        <v>176.87088421427288</v>
      </c>
      <c r="N504" s="83">
        <v>14471543.561794719</v>
      </c>
      <c r="O504" s="83" t="s">
        <v>1727</v>
      </c>
      <c r="P504" s="84">
        <f t="shared" si="12"/>
        <v>2.6446094980869805E-3</v>
      </c>
    </row>
    <row r="505" spans="2:16" ht="15" customHeight="1">
      <c r="B505" s="83">
        <v>485.89849633921642</v>
      </c>
      <c r="C505" s="83">
        <v>486.17479369096588</v>
      </c>
      <c r="D505" s="83">
        <v>483.08618400890879</v>
      </c>
      <c r="E505" s="83">
        <v>483.68811752522026</v>
      </c>
      <c r="F505" s="83">
        <v>3511659.2824950577</v>
      </c>
      <c r="G505" s="83" t="s">
        <v>1726</v>
      </c>
      <c r="H505" s="84">
        <f t="shared" si="11"/>
        <v>4.5698431156537822E-3</v>
      </c>
      <c r="J505" s="83">
        <v>175.78609204798008</v>
      </c>
      <c r="K505" s="83">
        <v>177.61730084245602</v>
      </c>
      <c r="L505" s="83">
        <v>173.54684216343071</v>
      </c>
      <c r="M505" s="83">
        <v>175.60695205721612</v>
      </c>
      <c r="N505" s="83">
        <v>17204446.906894825</v>
      </c>
      <c r="O505" s="83" t="s">
        <v>1726</v>
      </c>
      <c r="P505" s="84">
        <f t="shared" si="12"/>
        <v>1.0201190138849903E-3</v>
      </c>
    </row>
    <row r="506" spans="2:16" ht="15" customHeight="1">
      <c r="B506" s="83">
        <v>484.30978656665667</v>
      </c>
      <c r="C506" s="83">
        <v>487.00368574621444</v>
      </c>
      <c r="D506" s="83">
        <v>483.06644848378386</v>
      </c>
      <c r="E506" s="83">
        <v>484.0630925025946</v>
      </c>
      <c r="F506" s="83">
        <v>3104641.9901181473</v>
      </c>
      <c r="G506" s="83" t="s">
        <v>1725</v>
      </c>
      <c r="H506" s="84">
        <f t="shared" si="11"/>
        <v>5.0963204566301101E-4</v>
      </c>
      <c r="J506" s="83">
        <v>174.9102965375786</v>
      </c>
      <c r="K506" s="83">
        <v>178.35979201348312</v>
      </c>
      <c r="L506" s="83">
        <v>174.75124199113921</v>
      </c>
      <c r="M506" s="83">
        <v>177.40546473484673</v>
      </c>
      <c r="N506" s="83">
        <v>14803746.593292726</v>
      </c>
      <c r="O506" s="83" t="s">
        <v>1725</v>
      </c>
      <c r="P506" s="84">
        <f t="shared" si="12"/>
        <v>-1.4064776420486536E-2</v>
      </c>
    </row>
    <row r="507" spans="2:16" ht="15" customHeight="1">
      <c r="B507" s="83">
        <v>484.94132337065554</v>
      </c>
      <c r="C507" s="83">
        <v>485.67153780027928</v>
      </c>
      <c r="D507" s="83">
        <v>483.16522478703428</v>
      </c>
      <c r="E507" s="83">
        <v>485.33603387315486</v>
      </c>
      <c r="F507" s="83">
        <v>21629993.491280023</v>
      </c>
      <c r="G507" s="83" t="s">
        <v>1724</v>
      </c>
      <c r="H507" s="84">
        <f t="shared" si="11"/>
        <v>-8.1327260897856579E-4</v>
      </c>
      <c r="J507" s="83">
        <v>177.29611473416961</v>
      </c>
      <c r="K507" s="83">
        <v>177.6539874636583</v>
      </c>
      <c r="L507" s="83">
        <v>176.16285109078891</v>
      </c>
      <c r="M507" s="83">
        <v>176.38155109214307</v>
      </c>
      <c r="N507" s="83">
        <v>14340557.570097663</v>
      </c>
      <c r="O507" s="83" t="s">
        <v>1724</v>
      </c>
      <c r="P507" s="84">
        <f t="shared" si="12"/>
        <v>5.1851434368481719E-3</v>
      </c>
    </row>
    <row r="508" spans="2:16" ht="15" customHeight="1">
      <c r="B508" s="83">
        <v>485.04986875884288</v>
      </c>
      <c r="C508" s="83">
        <v>485.04986875884288</v>
      </c>
      <c r="D508" s="83">
        <v>479.63246711203982</v>
      </c>
      <c r="E508" s="83">
        <v>481.4185321358492</v>
      </c>
      <c r="F508" s="83">
        <v>3066699.244979193</v>
      </c>
      <c r="G508" s="83" t="s">
        <v>1723</v>
      </c>
      <c r="H508" s="84">
        <f t="shared" si="11"/>
        <v>7.5429930104331522E-3</v>
      </c>
      <c r="J508" s="83">
        <v>176.02367836265441</v>
      </c>
      <c r="K508" s="83">
        <v>176.91836018637605</v>
      </c>
      <c r="L508" s="83">
        <v>174.25419653351608</v>
      </c>
      <c r="M508" s="83">
        <v>175.49183972299767</v>
      </c>
      <c r="N508" s="83">
        <v>15324414.262679668</v>
      </c>
      <c r="O508" s="83" t="s">
        <v>1723</v>
      </c>
      <c r="P508" s="84">
        <f t="shared" si="12"/>
        <v>3.0305605120797274E-3</v>
      </c>
    </row>
    <row r="509" spans="2:16" ht="15" customHeight="1">
      <c r="B509" s="83">
        <v>479.31669871004038</v>
      </c>
      <c r="C509" s="83">
        <v>479.9778388017267</v>
      </c>
      <c r="D509" s="83">
        <v>476.17875021517079</v>
      </c>
      <c r="E509" s="83">
        <v>477.59970802416836</v>
      </c>
      <c r="F509" s="83">
        <v>2594579.0484806858</v>
      </c>
      <c r="G509" s="83" t="s">
        <v>1722</v>
      </c>
      <c r="H509" s="84">
        <f t="shared" si="11"/>
        <v>3.5950413223140298E-3</v>
      </c>
      <c r="J509" s="83">
        <v>174.09514198707669</v>
      </c>
      <c r="K509" s="83">
        <v>174.15478744199146</v>
      </c>
      <c r="L509" s="83">
        <v>172.19642833895634</v>
      </c>
      <c r="M509" s="83">
        <v>173.41916016470921</v>
      </c>
      <c r="N509" s="83">
        <v>14150216.830535499</v>
      </c>
      <c r="O509" s="83" t="s">
        <v>1722</v>
      </c>
      <c r="P509" s="84">
        <f t="shared" si="12"/>
        <v>3.897965032960915E-3</v>
      </c>
    </row>
    <row r="510" spans="2:16" ht="15" customHeight="1">
      <c r="B510" s="83">
        <v>478.73450071885384</v>
      </c>
      <c r="C510" s="83">
        <v>479.9778388017267</v>
      </c>
      <c r="D510" s="83">
        <v>474.04731350167452</v>
      </c>
      <c r="E510" s="83">
        <v>479.86929341353942</v>
      </c>
      <c r="F510" s="83">
        <v>4267690.8502147933</v>
      </c>
      <c r="G510" s="83" t="s">
        <v>1721</v>
      </c>
      <c r="H510" s="84">
        <f t="shared" si="11"/>
        <v>-2.3647953937899757E-3</v>
      </c>
      <c r="J510" s="83">
        <v>173.38933743725184</v>
      </c>
      <c r="K510" s="83">
        <v>174.82082835520646</v>
      </c>
      <c r="L510" s="83">
        <v>171.43097833421672</v>
      </c>
      <c r="M510" s="83">
        <v>172.85252834301886</v>
      </c>
      <c r="N510" s="83">
        <v>20866097.538836893</v>
      </c>
      <c r="O510" s="83" t="s">
        <v>1721</v>
      </c>
      <c r="P510" s="84">
        <f t="shared" si="12"/>
        <v>3.1055900621117516E-3</v>
      </c>
    </row>
    <row r="511" spans="2:16" ht="15" customHeight="1">
      <c r="B511" s="83">
        <v>478.21150930304231</v>
      </c>
      <c r="C511" s="83">
        <v>478.49767441735429</v>
      </c>
      <c r="D511" s="83">
        <v>470.17421669590004</v>
      </c>
      <c r="E511" s="83">
        <v>474.87620555692308</v>
      </c>
      <c r="F511" s="83">
        <v>5405451.3028918337</v>
      </c>
      <c r="G511" s="83" t="s">
        <v>1720</v>
      </c>
      <c r="H511" s="84">
        <f t="shared" si="11"/>
        <v>7.0235225667028001E-3</v>
      </c>
      <c r="J511" s="83">
        <v>172.93205561623859</v>
      </c>
      <c r="K511" s="83">
        <v>173.38933743725184</v>
      </c>
      <c r="L511" s="83">
        <v>169.95972377965225</v>
      </c>
      <c r="M511" s="83">
        <v>172.37536470370065</v>
      </c>
      <c r="N511" s="83">
        <v>28252095.023967475</v>
      </c>
      <c r="O511" s="83" t="s">
        <v>1720</v>
      </c>
      <c r="P511" s="84">
        <f t="shared" si="12"/>
        <v>3.2295271049598284E-3</v>
      </c>
    </row>
    <row r="512" spans="2:16" ht="15" customHeight="1">
      <c r="B512" s="83">
        <v>474.08678455192444</v>
      </c>
      <c r="C512" s="83">
        <v>476.36663241436048</v>
      </c>
      <c r="D512" s="83">
        <v>472.86318199417656</v>
      </c>
      <c r="E512" s="83">
        <v>475.74456866242156</v>
      </c>
      <c r="F512" s="83">
        <v>3439066.3319184515</v>
      </c>
      <c r="G512" s="83" t="s">
        <v>1719</v>
      </c>
      <c r="H512" s="84">
        <f t="shared" si="11"/>
        <v>-3.4846096407533667E-3</v>
      </c>
      <c r="J512" s="83">
        <v>172.53441925014008</v>
      </c>
      <c r="K512" s="83">
        <v>175.64592381486085</v>
      </c>
      <c r="L512" s="83">
        <v>172.20636924810879</v>
      </c>
      <c r="M512" s="83">
        <v>175.64592381486085</v>
      </c>
      <c r="N512" s="83">
        <v>18956048.899543531</v>
      </c>
      <c r="O512" s="83" t="s">
        <v>1719</v>
      </c>
      <c r="P512" s="84">
        <f t="shared" si="12"/>
        <v>-1.7714641462448388E-2</v>
      </c>
    </row>
    <row r="513" spans="2:16" ht="15" customHeight="1">
      <c r="B513" s="83">
        <v>477.29380738473139</v>
      </c>
      <c r="C513" s="83">
        <v>478.27071587841715</v>
      </c>
      <c r="D513" s="83">
        <v>476.57346071767012</v>
      </c>
      <c r="E513" s="83">
        <v>476.80041925660726</v>
      </c>
      <c r="F513" s="83">
        <v>5680072.8275627885</v>
      </c>
      <c r="G513" s="83" t="s">
        <v>1718</v>
      </c>
      <c r="H513" s="84">
        <f t="shared" si="11"/>
        <v>1.0347896272686619E-3</v>
      </c>
      <c r="J513" s="83">
        <v>176.3517283646857</v>
      </c>
      <c r="K513" s="83">
        <v>177.17682382434006</v>
      </c>
      <c r="L513" s="83">
        <v>175.21846472130494</v>
      </c>
      <c r="M513" s="83">
        <v>175.7652147246904</v>
      </c>
      <c r="N513" s="83">
        <v>15113151.89544641</v>
      </c>
      <c r="O513" s="83" t="s">
        <v>1718</v>
      </c>
      <c r="P513" s="84">
        <f t="shared" si="12"/>
        <v>3.3369153328433043E-3</v>
      </c>
    </row>
    <row r="514" spans="2:16" ht="15" customHeight="1">
      <c r="B514" s="83">
        <v>480.678449943663</v>
      </c>
      <c r="C514" s="83">
        <v>481.19650747819333</v>
      </c>
      <c r="D514" s="83">
        <v>478.11776555869864</v>
      </c>
      <c r="E514" s="83">
        <v>480.95474729541246</v>
      </c>
      <c r="F514" s="83">
        <v>4088785.0457001971</v>
      </c>
      <c r="G514" s="83" t="s">
        <v>1717</v>
      </c>
      <c r="H514" s="84">
        <f t="shared" si="11"/>
        <v>-5.7447681575695242E-4</v>
      </c>
      <c r="J514" s="83">
        <v>176.96806473213837</v>
      </c>
      <c r="K514" s="83">
        <v>177.45516928060903</v>
      </c>
      <c r="L514" s="83">
        <v>174.64189199046214</v>
      </c>
      <c r="M514" s="83">
        <v>174.70153744537691</v>
      </c>
      <c r="N514" s="83">
        <v>15748398.622194303</v>
      </c>
      <c r="O514" s="83" t="s">
        <v>1717</v>
      </c>
      <c r="P514" s="84">
        <f t="shared" si="12"/>
        <v>1.2973711164219859E-2</v>
      </c>
    </row>
    <row r="515" spans="2:16" ht="15" customHeight="1">
      <c r="B515" s="83">
        <v>480.29360720372614</v>
      </c>
      <c r="C515" s="83">
        <v>480.95474729541246</v>
      </c>
      <c r="D515" s="83">
        <v>477.92534418873026</v>
      </c>
      <c r="E515" s="83">
        <v>478.76410400654134</v>
      </c>
      <c r="F515" s="83">
        <v>2589483.6684812554</v>
      </c>
      <c r="G515" s="83" t="s">
        <v>1716</v>
      </c>
      <c r="H515" s="84">
        <f t="shared" si="11"/>
        <v>3.1946906302815492E-3</v>
      </c>
      <c r="J515" s="83">
        <v>175.28805108537219</v>
      </c>
      <c r="K515" s="83">
        <v>176.25669327318812</v>
      </c>
      <c r="L515" s="83">
        <v>174.16472835114391</v>
      </c>
      <c r="M515" s="83">
        <v>175.47692835926898</v>
      </c>
      <c r="N515" s="83">
        <v>11471345.150735153</v>
      </c>
      <c r="O515" s="83" t="s">
        <v>1716</v>
      </c>
      <c r="P515" s="84">
        <f t="shared" si="12"/>
        <v>-1.0763652843870375E-3</v>
      </c>
    </row>
    <row r="516" spans="2:16" ht="15" customHeight="1">
      <c r="B516" s="83">
        <v>477.04711332066933</v>
      </c>
      <c r="C516" s="83">
        <v>483.51049779909556</v>
      </c>
      <c r="D516" s="83">
        <v>475.9123206259838</v>
      </c>
      <c r="E516" s="83">
        <v>483.43155569859573</v>
      </c>
      <c r="F516" s="83">
        <v>3862382.1518472382</v>
      </c>
      <c r="G516" s="83" t="s">
        <v>1715</v>
      </c>
      <c r="H516" s="84">
        <f t="shared" si="11"/>
        <v>-1.320650731767059E-2</v>
      </c>
      <c r="J516" s="83">
        <v>174.02555562300944</v>
      </c>
      <c r="K516" s="83">
        <v>178.84689656195377</v>
      </c>
      <c r="L516" s="83">
        <v>173.50862834708138</v>
      </c>
      <c r="M516" s="83">
        <v>177.72357382772552</v>
      </c>
      <c r="N516" s="83">
        <v>15017100.318537727</v>
      </c>
      <c r="O516" s="83" t="s">
        <v>1715</v>
      </c>
      <c r="P516" s="84">
        <f t="shared" si="12"/>
        <v>-2.0807696610359194E-2</v>
      </c>
    </row>
    <row r="517" spans="2:16" ht="15" customHeight="1">
      <c r="B517" s="83">
        <v>480.6192433682881</v>
      </c>
      <c r="C517" s="83">
        <v>481.97112683934824</v>
      </c>
      <c r="D517" s="83">
        <v>478.52727770504174</v>
      </c>
      <c r="E517" s="83">
        <v>481.33959003534937</v>
      </c>
      <c r="F517" s="83">
        <v>3294141.8882115106</v>
      </c>
      <c r="G517" s="83" t="s">
        <v>1714</v>
      </c>
      <c r="H517" s="84">
        <f t="shared" si="11"/>
        <v>-1.4965456446421888E-3</v>
      </c>
      <c r="J517" s="83">
        <v>176.94818291383345</v>
      </c>
      <c r="K517" s="83">
        <v>177.79514837362325</v>
      </c>
      <c r="L517" s="83">
        <v>175.73549140632454</v>
      </c>
      <c r="M517" s="83">
        <v>177.34581927993193</v>
      </c>
      <c r="N517" s="83">
        <v>16285637.210545855</v>
      </c>
      <c r="O517" s="83" t="s">
        <v>1714</v>
      </c>
      <c r="P517" s="84">
        <f t="shared" si="12"/>
        <v>-2.2421524663676085E-3</v>
      </c>
    </row>
    <row r="518" spans="2:16" ht="15" customHeight="1">
      <c r="B518" s="83">
        <v>482.02046565216068</v>
      </c>
      <c r="C518" s="83">
        <v>482.11914327778544</v>
      </c>
      <c r="D518" s="83">
        <v>479.9186322263518</v>
      </c>
      <c r="E518" s="83">
        <v>480.09625195247645</v>
      </c>
      <c r="F518" s="83">
        <v>2486456.2604378862</v>
      </c>
      <c r="G518" s="83" t="s">
        <v>1713</v>
      </c>
      <c r="H518" s="84">
        <f t="shared" si="11"/>
        <v>4.0079748422503503E-3</v>
      </c>
      <c r="J518" s="83">
        <v>178.47908292331266</v>
      </c>
      <c r="K518" s="83">
        <v>178.75742837958163</v>
      </c>
      <c r="L518" s="83">
        <v>176.26226018231353</v>
      </c>
      <c r="M518" s="83">
        <v>177.34581927993193</v>
      </c>
      <c r="N518" s="83">
        <v>14793436.671088617</v>
      </c>
      <c r="O518" s="83" t="s">
        <v>1713</v>
      </c>
      <c r="P518" s="84">
        <f t="shared" si="12"/>
        <v>6.3901345291479394E-3</v>
      </c>
    </row>
    <row r="519" spans="2:16" ht="15" customHeight="1">
      <c r="B519" s="83">
        <v>480.72778875647543</v>
      </c>
      <c r="C519" s="83">
        <v>482.14864788784729</v>
      </c>
      <c r="D519" s="83">
        <v>480.01730985197662</v>
      </c>
      <c r="E519" s="83">
        <v>480.34294601653852</v>
      </c>
      <c r="F519" s="83">
        <v>2634421.9204094037</v>
      </c>
      <c r="G519" s="83" t="s">
        <v>1712</v>
      </c>
      <c r="H519" s="84">
        <f t="shared" si="11"/>
        <v>8.0118328608413947E-4</v>
      </c>
      <c r="J519" s="83">
        <v>177.40546473484673</v>
      </c>
      <c r="K519" s="83">
        <v>178.88666019856362</v>
      </c>
      <c r="L519" s="83">
        <v>176.17776245451759</v>
      </c>
      <c r="M519" s="83">
        <v>176.26226018231353</v>
      </c>
      <c r="N519" s="83">
        <v>17599116.672005925</v>
      </c>
      <c r="O519" s="83" t="s">
        <v>1712</v>
      </c>
      <c r="P519" s="84">
        <f t="shared" si="12"/>
        <v>6.4858158028313628E-3</v>
      </c>
    </row>
    <row r="520" spans="2:16" ht="15" customHeight="1">
      <c r="B520" s="83">
        <v>480.25413615347622</v>
      </c>
      <c r="C520" s="83">
        <v>480.29360720372614</v>
      </c>
      <c r="D520" s="83">
        <v>478.29045140354214</v>
      </c>
      <c r="E520" s="83">
        <v>479.66207039972721</v>
      </c>
      <c r="F520" s="83">
        <v>3317910.1941993055</v>
      </c>
      <c r="G520" s="83" t="s">
        <v>1711</v>
      </c>
      <c r="H520" s="84">
        <f t="shared" si="11"/>
        <v>1.2343393198790409E-3</v>
      </c>
      <c r="J520" s="83">
        <v>176.24237836400857</v>
      </c>
      <c r="K520" s="83">
        <v>176.44616700163408</v>
      </c>
      <c r="L520" s="83">
        <v>173.94602834978974</v>
      </c>
      <c r="M520" s="83">
        <v>174.51266017148012</v>
      </c>
      <c r="N520" s="83">
        <v>16644707.990215516</v>
      </c>
      <c r="O520" s="83" t="s">
        <v>1711</v>
      </c>
      <c r="P520" s="84">
        <f t="shared" si="12"/>
        <v>9.9117060666475965E-3</v>
      </c>
    </row>
    <row r="521" spans="2:16" ht="15" customHeight="1">
      <c r="B521" s="83">
        <v>479.54365724897747</v>
      </c>
      <c r="C521" s="83">
        <v>482.10927551522298</v>
      </c>
      <c r="D521" s="83">
        <v>479.40550857310268</v>
      </c>
      <c r="E521" s="83">
        <v>480.60937560572563</v>
      </c>
      <c r="F521" s="83">
        <v>3392239.1006110399</v>
      </c>
      <c r="G521" s="83" t="s">
        <v>1710</v>
      </c>
      <c r="H521" s="84">
        <f t="shared" si="11"/>
        <v>-2.2174314752079205E-3</v>
      </c>
      <c r="J521" s="83">
        <v>174.39336926165058</v>
      </c>
      <c r="K521" s="83">
        <v>175.29799199452466</v>
      </c>
      <c r="L521" s="83">
        <v>173.02152379861073</v>
      </c>
      <c r="M521" s="83">
        <v>173.56827380199616</v>
      </c>
      <c r="N521" s="83">
        <v>17349832.631482717</v>
      </c>
      <c r="O521" s="83" t="s">
        <v>1710</v>
      </c>
      <c r="P521" s="84">
        <f t="shared" si="12"/>
        <v>4.7537227949601135E-3</v>
      </c>
    </row>
    <row r="522" spans="2:16" ht="15" customHeight="1">
      <c r="B522" s="83">
        <v>480.46135916728832</v>
      </c>
      <c r="C522" s="83">
        <v>480.78699533185028</v>
      </c>
      <c r="D522" s="83">
        <v>476.35143606001429</v>
      </c>
      <c r="E522" s="83">
        <v>476.94843569504445</v>
      </c>
      <c r="F522" s="83">
        <v>4458442.2984870141</v>
      </c>
      <c r="G522" s="83" t="s">
        <v>1709</v>
      </c>
      <c r="H522" s="84">
        <f t="shared" si="11"/>
        <v>7.3654156494393774E-3</v>
      </c>
      <c r="J522" s="83">
        <v>172.85252834301886</v>
      </c>
      <c r="K522" s="83">
        <v>173.01744802585822</v>
      </c>
      <c r="L522" s="83">
        <v>171.01346014981328</v>
      </c>
      <c r="M522" s="83">
        <v>171.2818646969298</v>
      </c>
      <c r="N522" s="83">
        <v>21082825.200960863</v>
      </c>
      <c r="O522" s="83" t="s">
        <v>1709</v>
      </c>
      <c r="P522" s="84">
        <f t="shared" si="12"/>
        <v>9.170052234474646E-3</v>
      </c>
    </row>
    <row r="523" spans="2:16" ht="15" customHeight="1">
      <c r="B523" s="83">
        <v>474.67885030567345</v>
      </c>
      <c r="C523" s="83">
        <v>475.10316409586022</v>
      </c>
      <c r="D523" s="83">
        <v>472.15270308967786</v>
      </c>
      <c r="E523" s="83">
        <v>472.646091217802</v>
      </c>
      <c r="F523" s="83">
        <v>3301380.6112297941</v>
      </c>
      <c r="G523" s="83" t="s">
        <v>1708</v>
      </c>
      <c r="H523" s="84">
        <f t="shared" si="11"/>
        <v>4.3008058791598192E-3</v>
      </c>
      <c r="J523" s="83">
        <v>170.91405105828866</v>
      </c>
      <c r="K523" s="83">
        <v>171.75902833624798</v>
      </c>
      <c r="L523" s="83">
        <v>169.4129737762668</v>
      </c>
      <c r="M523" s="83">
        <v>170.57606014710495</v>
      </c>
      <c r="N523" s="83">
        <v>18840794.853617948</v>
      </c>
      <c r="O523" s="83" t="s">
        <v>1708</v>
      </c>
      <c r="P523" s="84">
        <f t="shared" si="12"/>
        <v>1.9814674514830877E-3</v>
      </c>
    </row>
    <row r="524" spans="2:16" ht="15" customHeight="1">
      <c r="B524" s="83">
        <v>472.43886820398978</v>
      </c>
      <c r="C524" s="83">
        <v>474.06704902679951</v>
      </c>
      <c r="D524" s="83">
        <v>471.41262089749165</v>
      </c>
      <c r="E524" s="83">
        <v>473.99797468886214</v>
      </c>
      <c r="F524" s="83">
        <v>3150098.0899340655</v>
      </c>
      <c r="G524" s="83" t="s">
        <v>1707</v>
      </c>
      <c r="H524" s="84">
        <f t="shared" si="11"/>
        <v>-3.2892682419071173E-3</v>
      </c>
      <c r="J524" s="83">
        <v>169.89013741558503</v>
      </c>
      <c r="K524" s="83">
        <v>169.93984196134733</v>
      </c>
      <c r="L524" s="83">
        <v>164.78051011121926</v>
      </c>
      <c r="M524" s="83">
        <v>164.8669960208457</v>
      </c>
      <c r="N524" s="83">
        <v>19765380.307426579</v>
      </c>
      <c r="O524" s="83" t="s">
        <v>1707</v>
      </c>
      <c r="P524" s="84">
        <f t="shared" si="12"/>
        <v>3.046784084125731E-2</v>
      </c>
    </row>
    <row r="525" spans="2:16" ht="15" customHeight="1">
      <c r="B525" s="83">
        <v>472.40926491630239</v>
      </c>
      <c r="C525" s="83">
        <v>474.037445739112</v>
      </c>
      <c r="D525" s="83">
        <v>471.2744722216168</v>
      </c>
      <c r="E525" s="83">
        <v>473.34670235973823</v>
      </c>
      <c r="F525" s="83">
        <v>3392014.1255991319</v>
      </c>
      <c r="G525" s="83" t="s">
        <v>1706</v>
      </c>
      <c r="H525" s="84">
        <f t="shared" si="11"/>
        <v>-1.9804457045174972E-3</v>
      </c>
      <c r="J525" s="83">
        <v>169.2837419572848</v>
      </c>
      <c r="K525" s="83">
        <v>170.32753741829339</v>
      </c>
      <c r="L525" s="83">
        <v>166.91780557899872</v>
      </c>
      <c r="M525" s="83">
        <v>168.68728740813705</v>
      </c>
      <c r="N525" s="83">
        <v>18851855.210202411</v>
      </c>
      <c r="O525" s="83" t="s">
        <v>1706</v>
      </c>
      <c r="P525" s="84">
        <f t="shared" si="12"/>
        <v>3.5358595085155375E-3</v>
      </c>
    </row>
    <row r="526" spans="2:16" ht="15" customHeight="1">
      <c r="B526" s="83">
        <v>471.82706692511584</v>
      </c>
      <c r="C526" s="83">
        <v>471.82706692511584</v>
      </c>
      <c r="D526" s="83">
        <v>468.65951514255892</v>
      </c>
      <c r="E526" s="83">
        <v>469.30091970912025</v>
      </c>
      <c r="F526" s="83">
        <v>3532765.3841752745</v>
      </c>
      <c r="G526" s="83" t="s">
        <v>1705</v>
      </c>
      <c r="H526" s="84">
        <f t="shared" si="11"/>
        <v>5.382787695283664E-3</v>
      </c>
      <c r="J526" s="83">
        <v>170.56611923795248</v>
      </c>
      <c r="K526" s="83">
        <v>171.42103742506424</v>
      </c>
      <c r="L526" s="83">
        <v>168.92586922779617</v>
      </c>
      <c r="M526" s="83">
        <v>170.1386601443966</v>
      </c>
      <c r="N526" s="83">
        <v>12008664.214623472</v>
      </c>
      <c r="O526" s="83" t="s">
        <v>1705</v>
      </c>
      <c r="P526" s="84">
        <f t="shared" si="12"/>
        <v>2.5124160093483727E-3</v>
      </c>
    </row>
    <row r="527" spans="2:16" ht="15" customHeight="1">
      <c r="B527" s="83">
        <v>469.13316774555813</v>
      </c>
      <c r="C527" s="83">
        <v>469.56734929830736</v>
      </c>
      <c r="D527" s="83">
        <v>467.2385573335614</v>
      </c>
      <c r="E527" s="83">
        <v>467.3273671966237</v>
      </c>
      <c r="F527" s="83">
        <v>3257960.4339315477</v>
      </c>
      <c r="G527" s="83" t="s">
        <v>1704</v>
      </c>
      <c r="H527" s="84">
        <f t="shared" si="11"/>
        <v>3.8641018602589838E-3</v>
      </c>
      <c r="J527" s="83">
        <v>170.14860105354904</v>
      </c>
      <c r="K527" s="83">
        <v>170.89337396725153</v>
      </c>
      <c r="L527" s="83">
        <v>169.51437104962193</v>
      </c>
      <c r="M527" s="83">
        <v>169.74102377829809</v>
      </c>
      <c r="N527" s="83">
        <v>14656464.28967794</v>
      </c>
      <c r="O527" s="83" t="s">
        <v>1704</v>
      </c>
      <c r="P527" s="84">
        <f t="shared" si="12"/>
        <v>2.4011713030747117E-3</v>
      </c>
    </row>
    <row r="528" spans="2:16" ht="15" customHeight="1">
      <c r="B528" s="83">
        <v>469.11343222043308</v>
      </c>
      <c r="C528" s="83">
        <v>470.33703477818096</v>
      </c>
      <c r="D528" s="83">
        <v>468.43255660362178</v>
      </c>
      <c r="E528" s="83">
        <v>469.40946509730759</v>
      </c>
      <c r="F528" s="83">
        <v>3497552.7412078525</v>
      </c>
      <c r="G528" s="83" t="s">
        <v>1703</v>
      </c>
      <c r="H528" s="84">
        <f t="shared" si="11"/>
        <v>-6.3064956905611869E-4</v>
      </c>
      <c r="J528" s="83">
        <v>171.95784651929722</v>
      </c>
      <c r="K528" s="83">
        <v>172.4449510677679</v>
      </c>
      <c r="L528" s="83">
        <v>168.99545559186339</v>
      </c>
      <c r="M528" s="83">
        <v>169.11474650169296</v>
      </c>
      <c r="N528" s="83">
        <v>21227871.290597726</v>
      </c>
      <c r="O528" s="83" t="s">
        <v>1703</v>
      </c>
      <c r="P528" s="84">
        <f t="shared" si="12"/>
        <v>1.6811662355983747E-2</v>
      </c>
    </row>
    <row r="529" spans="2:16" ht="15" customHeight="1">
      <c r="B529" s="83">
        <v>468.4424243661843</v>
      </c>
      <c r="C529" s="83">
        <v>468.53123422924665</v>
      </c>
      <c r="D529" s="83">
        <v>465.58077322306428</v>
      </c>
      <c r="E529" s="83">
        <v>465.97548372556361</v>
      </c>
      <c r="F529" s="83">
        <v>4846632.6279304698</v>
      </c>
      <c r="G529" s="83" t="s">
        <v>1702</v>
      </c>
      <c r="H529" s="84">
        <f t="shared" si="11"/>
        <v>5.2941425606709558E-3</v>
      </c>
      <c r="J529" s="83">
        <v>168.82646013627155</v>
      </c>
      <c r="K529" s="83">
        <v>168.89604650033877</v>
      </c>
      <c r="L529" s="83">
        <v>166.89792376069377</v>
      </c>
      <c r="M529" s="83">
        <v>168.22006467797132</v>
      </c>
      <c r="N529" s="83">
        <v>15237948.328144187</v>
      </c>
      <c r="O529" s="83" t="s">
        <v>1702</v>
      </c>
      <c r="P529" s="84">
        <f t="shared" si="12"/>
        <v>3.6047748493086562E-3</v>
      </c>
    </row>
    <row r="530" spans="2:16" ht="15" customHeight="1">
      <c r="B530" s="83">
        <v>463.76510491156745</v>
      </c>
      <c r="C530" s="83">
        <v>464.77161669294065</v>
      </c>
      <c r="D530" s="83">
        <v>461.25879189832239</v>
      </c>
      <c r="E530" s="83">
        <v>463.54801413519277</v>
      </c>
      <c r="F530" s="83">
        <v>4648327.2889431035</v>
      </c>
      <c r="G530" s="83" t="s">
        <v>1701</v>
      </c>
      <c r="H530" s="84">
        <f t="shared" si="11"/>
        <v>4.6832425068132899E-4</v>
      </c>
      <c r="J530" s="83">
        <v>167.99142376746468</v>
      </c>
      <c r="K530" s="83">
        <v>168.84634195457645</v>
      </c>
      <c r="L530" s="83">
        <v>164.00511919732719</v>
      </c>
      <c r="M530" s="83">
        <v>168.53817377085011</v>
      </c>
      <c r="N530" s="83">
        <v>22902388.152657211</v>
      </c>
      <c r="O530" s="83" t="s">
        <v>1701</v>
      </c>
      <c r="P530" s="84">
        <f t="shared" si="12"/>
        <v>-3.2440721953520546E-3</v>
      </c>
    </row>
    <row r="531" spans="2:16" ht="15" customHeight="1">
      <c r="B531" s="83">
        <v>458.08127367557734</v>
      </c>
      <c r="C531" s="83">
        <v>458.80162034263856</v>
      </c>
      <c r="D531" s="83">
        <v>453.08818581896105</v>
      </c>
      <c r="E531" s="83">
        <v>457.23264609520379</v>
      </c>
      <c r="F531" s="83">
        <v>4025658.2734399545</v>
      </c>
      <c r="G531" s="83" t="s">
        <v>1700</v>
      </c>
      <c r="H531" s="84">
        <f t="shared" si="11"/>
        <v>1.8560082872929318E-3</v>
      </c>
      <c r="J531" s="83">
        <v>167.46455558238418</v>
      </c>
      <c r="K531" s="83">
        <v>167.5341419464514</v>
      </c>
      <c r="L531" s="83">
        <v>164.71092374715204</v>
      </c>
      <c r="M531" s="83">
        <v>165.68513284409335</v>
      </c>
      <c r="N531" s="83">
        <v>17142414.983018521</v>
      </c>
      <c r="O531" s="83" t="s">
        <v>1700</v>
      </c>
      <c r="P531" s="84">
        <f t="shared" si="12"/>
        <v>1.0739785204296082E-2</v>
      </c>
    </row>
    <row r="532" spans="2:16" ht="15" customHeight="1">
      <c r="B532" s="83">
        <v>453.84800353627219</v>
      </c>
      <c r="C532" s="83">
        <v>460.89358600588491</v>
      </c>
      <c r="D532" s="83">
        <v>453.36448317071051</v>
      </c>
      <c r="E532" s="83">
        <v>454.67689559152075</v>
      </c>
      <c r="F532" s="83">
        <v>6197328.889175579</v>
      </c>
      <c r="G532" s="83" t="s">
        <v>1699</v>
      </c>
      <c r="H532" s="84">
        <f t="shared" si="11"/>
        <v>-1.8230353538641886E-3</v>
      </c>
      <c r="J532" s="83">
        <v>164.59163283732246</v>
      </c>
      <c r="K532" s="83">
        <v>167.81248740272036</v>
      </c>
      <c r="L532" s="83">
        <v>163.92559192410749</v>
      </c>
      <c r="M532" s="83">
        <v>165.19802829562269</v>
      </c>
      <c r="N532" s="83">
        <v>25373177.254870821</v>
      </c>
      <c r="O532" s="83" t="s">
        <v>1699</v>
      </c>
      <c r="P532" s="84">
        <f t="shared" si="12"/>
        <v>-3.6707184980142582E-3</v>
      </c>
    </row>
    <row r="533" spans="2:16" ht="15" customHeight="1">
      <c r="B533" s="83">
        <v>455.3281679206446</v>
      </c>
      <c r="C533" s="83">
        <v>462.14679185132024</v>
      </c>
      <c r="D533" s="83">
        <v>455.25909358270724</v>
      </c>
      <c r="E533" s="83">
        <v>461.23895769557186</v>
      </c>
      <c r="F533" s="83">
        <v>4423328.9688131372</v>
      </c>
      <c r="G533" s="83" t="s">
        <v>1698</v>
      </c>
      <c r="H533" s="84">
        <f t="shared" si="11"/>
        <v>-1.2815027170424931E-2</v>
      </c>
      <c r="J533" s="83">
        <v>163.66712828614345</v>
      </c>
      <c r="K533" s="83">
        <v>168.8662237728814</v>
      </c>
      <c r="L533" s="83">
        <v>163.52795555800898</v>
      </c>
      <c r="M533" s="83">
        <v>166.39093739391819</v>
      </c>
      <c r="N533" s="83">
        <v>29595638.134075411</v>
      </c>
      <c r="O533" s="83" t="s">
        <v>1698</v>
      </c>
      <c r="P533" s="84">
        <f t="shared" si="12"/>
        <v>-1.6369936671047913E-2</v>
      </c>
    </row>
    <row r="534" spans="2:16" ht="15" customHeight="1">
      <c r="B534" s="83">
        <v>462.64017997944438</v>
      </c>
      <c r="C534" s="83">
        <v>463.21251020806841</v>
      </c>
      <c r="D534" s="83">
        <v>460.04495842551137</v>
      </c>
      <c r="E534" s="83">
        <v>462.64017997944438</v>
      </c>
      <c r="F534" s="83">
        <v>3296801.0523162251</v>
      </c>
      <c r="G534" s="83" t="s">
        <v>1697</v>
      </c>
      <c r="H534" s="84">
        <f t="shared" si="11"/>
        <v>0</v>
      </c>
      <c r="J534" s="83">
        <v>166.90786466984628</v>
      </c>
      <c r="K534" s="83">
        <v>170.36730105490321</v>
      </c>
      <c r="L534" s="83">
        <v>166.07282830103941</v>
      </c>
      <c r="M534" s="83">
        <v>169.76090559660301</v>
      </c>
      <c r="N534" s="83">
        <v>36128044.677989319</v>
      </c>
      <c r="O534" s="83" t="s">
        <v>1697</v>
      </c>
      <c r="P534" s="84">
        <f t="shared" si="12"/>
        <v>-1.6806230602564698E-2</v>
      </c>
    </row>
    <row r="535" spans="2:16" ht="15" customHeight="1">
      <c r="B535" s="83">
        <v>461.03173468175964</v>
      </c>
      <c r="C535" s="83">
        <v>462.43295696563223</v>
      </c>
      <c r="D535" s="83">
        <v>458.66347166676383</v>
      </c>
      <c r="E535" s="83">
        <v>459.17659532001289</v>
      </c>
      <c r="F535" s="83">
        <v>4972872.9982385458</v>
      </c>
      <c r="G535" s="83" t="s">
        <v>1696</v>
      </c>
      <c r="H535" s="84">
        <f t="shared" si="11"/>
        <v>4.0401435540369235E-3</v>
      </c>
      <c r="J535" s="83">
        <v>172.66365106912207</v>
      </c>
      <c r="K535" s="83">
        <v>175.37751926774433</v>
      </c>
      <c r="L535" s="83">
        <v>170.38718287320816</v>
      </c>
      <c r="M535" s="83">
        <v>174.95006017418848</v>
      </c>
      <c r="N535" s="83">
        <v>56836639.520041965</v>
      </c>
      <c r="O535" s="83" t="s">
        <v>1696</v>
      </c>
      <c r="P535" s="84">
        <f t="shared" si="12"/>
        <v>-1.3068924370703061E-2</v>
      </c>
    </row>
    <row r="536" spans="2:16" ht="15" customHeight="1">
      <c r="B536" s="83">
        <v>456.46296061533013</v>
      </c>
      <c r="C536" s="83">
        <v>457.33132372082861</v>
      </c>
      <c r="D536" s="83">
        <v>451.21331093208926</v>
      </c>
      <c r="E536" s="83">
        <v>452.70334307902419</v>
      </c>
      <c r="F536" s="83">
        <v>4941574.1097575594</v>
      </c>
      <c r="G536" s="83" t="s">
        <v>1695</v>
      </c>
      <c r="H536" s="84">
        <f t="shared" si="11"/>
        <v>8.3048150489350991E-3</v>
      </c>
      <c r="J536" s="83">
        <v>157.01666006314602</v>
      </c>
      <c r="K536" s="83">
        <v>157.34471006517728</v>
      </c>
      <c r="L536" s="83">
        <v>151.86528094033991</v>
      </c>
      <c r="M536" s="83">
        <v>152.45378276216573</v>
      </c>
      <c r="N536" s="83">
        <v>36412956.244583644</v>
      </c>
      <c r="O536" s="83" t="s">
        <v>1695</v>
      </c>
      <c r="P536" s="84">
        <f t="shared" si="12"/>
        <v>2.9929577464788526E-2</v>
      </c>
    </row>
    <row r="537" spans="2:16" ht="15" customHeight="1">
      <c r="B537" s="83">
        <v>458.35757102732686</v>
      </c>
      <c r="C537" s="83">
        <v>460.14363605113624</v>
      </c>
      <c r="D537" s="83">
        <v>456.3248119394554</v>
      </c>
      <c r="E537" s="83">
        <v>459.4134216215125</v>
      </c>
      <c r="F537" s="83">
        <v>7790861.3541524773</v>
      </c>
      <c r="G537" s="83" t="s">
        <v>1694</v>
      </c>
      <c r="H537" s="84">
        <f t="shared" si="11"/>
        <v>-2.298258049272861E-3</v>
      </c>
      <c r="J537" s="83">
        <v>160.14804644617172</v>
      </c>
      <c r="K537" s="83">
        <v>160.43633281159313</v>
      </c>
      <c r="L537" s="83">
        <v>157.88151915941026</v>
      </c>
      <c r="M537" s="83">
        <v>158.14992370652675</v>
      </c>
      <c r="N537" s="83">
        <v>19601521.049181927</v>
      </c>
      <c r="O537" s="83" t="s">
        <v>1694</v>
      </c>
      <c r="P537" s="84">
        <f t="shared" si="12"/>
        <v>1.2634357910616512E-2</v>
      </c>
    </row>
    <row r="538" spans="2:16" ht="15" customHeight="1">
      <c r="B538" s="83">
        <v>458.69307495445122</v>
      </c>
      <c r="C538" s="83">
        <v>458.97924006876326</v>
      </c>
      <c r="D538" s="83">
        <v>454.57821796589593</v>
      </c>
      <c r="E538" s="83">
        <v>455.08147385658253</v>
      </c>
      <c r="F538" s="83">
        <v>4314453.2238611141</v>
      </c>
      <c r="G538" s="83" t="s">
        <v>1693</v>
      </c>
      <c r="H538" s="84">
        <f t="shared" si="11"/>
        <v>7.9361637538488683E-3</v>
      </c>
      <c r="J538" s="83">
        <v>158.97501916618114</v>
      </c>
      <c r="K538" s="83">
        <v>159.53171007871904</v>
      </c>
      <c r="L538" s="83">
        <v>157.03157142687471</v>
      </c>
      <c r="M538" s="83">
        <v>157.65287824890362</v>
      </c>
      <c r="N538" s="83">
        <v>16211201.362812884</v>
      </c>
      <c r="O538" s="83" t="s">
        <v>1693</v>
      </c>
      <c r="P538" s="84">
        <f t="shared" si="12"/>
        <v>8.3864051957878161E-3</v>
      </c>
    </row>
    <row r="539" spans="2:16" ht="15" customHeight="1">
      <c r="B539" s="83">
        <v>452.97964043077371</v>
      </c>
      <c r="C539" s="83">
        <v>455.62410211989345</v>
      </c>
      <c r="D539" s="83">
        <v>449.32856828265511</v>
      </c>
      <c r="E539" s="83">
        <v>451.4994760464013</v>
      </c>
      <c r="F539" s="83">
        <v>5896055.932801161</v>
      </c>
      <c r="G539" s="83" t="s">
        <v>1692</v>
      </c>
      <c r="H539" s="84">
        <f t="shared" si="11"/>
        <v>3.2783302371326428E-3</v>
      </c>
      <c r="J539" s="83">
        <v>157.01666006314602</v>
      </c>
      <c r="K539" s="83">
        <v>158.24436234347513</v>
      </c>
      <c r="L539" s="83">
        <v>154.74019186723208</v>
      </c>
      <c r="M539" s="83">
        <v>155.08812368756827</v>
      </c>
      <c r="N539" s="83">
        <v>17346371.177457511</v>
      </c>
      <c r="O539" s="83" t="s">
        <v>1692</v>
      </c>
      <c r="P539" s="84">
        <f t="shared" si="12"/>
        <v>1.243510031408257E-2</v>
      </c>
    </row>
    <row r="540" spans="2:16" ht="15" customHeight="1">
      <c r="B540" s="83">
        <v>449.08187421859304</v>
      </c>
      <c r="C540" s="83">
        <v>453.85787129883465</v>
      </c>
      <c r="D540" s="83">
        <v>447.89774271109502</v>
      </c>
      <c r="E540" s="83">
        <v>452.92043385539881</v>
      </c>
      <c r="F540" s="83">
        <v>9918615.2261221297</v>
      </c>
      <c r="G540" s="83" t="s">
        <v>1691</v>
      </c>
      <c r="H540" s="84">
        <f t="shared" si="11"/>
        <v>-8.4751301771279763E-3</v>
      </c>
      <c r="J540" s="83">
        <v>154.79983732214686</v>
      </c>
      <c r="K540" s="83">
        <v>157.05642369975587</v>
      </c>
      <c r="L540" s="83">
        <v>153.00053276555116</v>
      </c>
      <c r="M540" s="83">
        <v>156.81784188009678</v>
      </c>
      <c r="N540" s="83">
        <v>21607561.914675605</v>
      </c>
      <c r="O540" s="83" t="s">
        <v>1691</v>
      </c>
      <c r="P540" s="84">
        <f t="shared" si="12"/>
        <v>-1.2868462757527843E-2</v>
      </c>
    </row>
    <row r="541" spans="2:16" ht="15" customHeight="1">
      <c r="B541" s="83">
        <v>452.87109504258638</v>
      </c>
      <c r="C541" s="83">
        <v>457.17343951982895</v>
      </c>
      <c r="D541" s="83">
        <v>452.15074837552515</v>
      </c>
      <c r="E541" s="83">
        <v>455.25909358270724</v>
      </c>
      <c r="F541" s="83">
        <v>5712831.0134183131</v>
      </c>
      <c r="G541" s="83" t="s">
        <v>1690</v>
      </c>
      <c r="H541" s="84">
        <f t="shared" si="11"/>
        <v>-5.245361539795379E-3</v>
      </c>
      <c r="J541" s="83">
        <v>156.52955551467537</v>
      </c>
      <c r="K541" s="83">
        <v>157.54849870280279</v>
      </c>
      <c r="L541" s="83">
        <v>155.28694187061754</v>
      </c>
      <c r="M541" s="83">
        <v>155.99771687501863</v>
      </c>
      <c r="N541" s="83">
        <v>14099379.428015348</v>
      </c>
      <c r="O541" s="83" t="s">
        <v>1690</v>
      </c>
      <c r="P541" s="84">
        <f t="shared" si="12"/>
        <v>3.4092719451968012E-3</v>
      </c>
    </row>
    <row r="542" spans="2:16" ht="15" customHeight="1">
      <c r="B542" s="83">
        <v>453.90721011164709</v>
      </c>
      <c r="C542" s="83">
        <v>459.0877854569506</v>
      </c>
      <c r="D542" s="83">
        <v>452.66387202877428</v>
      </c>
      <c r="E542" s="83">
        <v>458.95950454363833</v>
      </c>
      <c r="F542" s="83">
        <v>7252129.2995110629</v>
      </c>
      <c r="G542" s="83" t="s">
        <v>1689</v>
      </c>
      <c r="H542" s="84">
        <f t="shared" si="11"/>
        <v>-1.1008148610006319E-2</v>
      </c>
      <c r="J542" s="83">
        <v>155.95298278383251</v>
      </c>
      <c r="K542" s="83">
        <v>157.74334052219103</v>
      </c>
      <c r="L542" s="83">
        <v>155.21238505197405</v>
      </c>
      <c r="M542" s="83">
        <v>156.26115096755885</v>
      </c>
      <c r="N542" s="83">
        <v>16334272.60119121</v>
      </c>
      <c r="O542" s="83" t="s">
        <v>1689</v>
      </c>
      <c r="P542" s="84">
        <f t="shared" si="12"/>
        <v>-1.9721356320376859E-3</v>
      </c>
    </row>
    <row r="543" spans="2:16" ht="15" customHeight="1">
      <c r="B543" s="83">
        <v>456.66031586657977</v>
      </c>
      <c r="C543" s="83">
        <v>459.3542150461376</v>
      </c>
      <c r="D543" s="83">
        <v>455.48605212164432</v>
      </c>
      <c r="E543" s="83">
        <v>457.91352171201515</v>
      </c>
      <c r="F543" s="83">
        <v>6852028.4686488919</v>
      </c>
      <c r="G543" s="83" t="s">
        <v>1688</v>
      </c>
      <c r="H543" s="84">
        <f t="shared" si="11"/>
        <v>-2.736774054520108E-3</v>
      </c>
      <c r="J543" s="83">
        <v>155.07818277841582</v>
      </c>
      <c r="K543" s="83">
        <v>156.3009146041687</v>
      </c>
      <c r="L543" s="83">
        <v>154.13379640893189</v>
      </c>
      <c r="M543" s="83">
        <v>154.72031004892716</v>
      </c>
      <c r="N543" s="83">
        <v>15504820.297227902</v>
      </c>
      <c r="O543" s="83" t="s">
        <v>1688</v>
      </c>
      <c r="P543" s="84">
        <f t="shared" si="12"/>
        <v>2.3130300693909867E-3</v>
      </c>
    </row>
    <row r="544" spans="2:16" ht="15" customHeight="1">
      <c r="B544" s="83">
        <v>457.47934015926592</v>
      </c>
      <c r="C544" s="83">
        <v>467.3273671966237</v>
      </c>
      <c r="D544" s="83">
        <v>456.72939020451719</v>
      </c>
      <c r="E544" s="83">
        <v>467.20895404587395</v>
      </c>
      <c r="F544" s="83">
        <v>9657755.6864138376</v>
      </c>
      <c r="G544" s="83" t="s">
        <v>1687</v>
      </c>
      <c r="H544" s="84">
        <f t="shared" si="11"/>
        <v>-2.0824973071155495E-2</v>
      </c>
      <c r="J544" s="83">
        <v>155.40623278044708</v>
      </c>
      <c r="K544" s="83">
        <v>159.87964189905526</v>
      </c>
      <c r="L544" s="83">
        <v>155.22729641570277</v>
      </c>
      <c r="M544" s="83">
        <v>159.3328918956698</v>
      </c>
      <c r="N544" s="83">
        <v>21266614.225885954</v>
      </c>
      <c r="O544" s="83" t="s">
        <v>1687</v>
      </c>
      <c r="P544" s="84">
        <f t="shared" si="12"/>
        <v>-2.4644372348390342E-2</v>
      </c>
    </row>
    <row r="545" spans="2:16" ht="15" customHeight="1">
      <c r="B545" s="83">
        <v>463.3605266465056</v>
      </c>
      <c r="C545" s="83">
        <v>467.78128427449792</v>
      </c>
      <c r="D545" s="83">
        <v>461.72247806113353</v>
      </c>
      <c r="E545" s="83">
        <v>466.51821066650012</v>
      </c>
      <c r="F545" s="83">
        <v>7052989.9315381097</v>
      </c>
      <c r="G545" s="83" t="s">
        <v>1686</v>
      </c>
      <c r="H545" s="84">
        <f t="shared" si="11"/>
        <v>-6.7686189902066429E-3</v>
      </c>
      <c r="J545" s="83">
        <v>158.24933279805137</v>
      </c>
      <c r="K545" s="83">
        <v>160.74450099531947</v>
      </c>
      <c r="L545" s="83">
        <v>157.66281915805607</v>
      </c>
      <c r="M545" s="83">
        <v>158.46306234482932</v>
      </c>
      <c r="N545" s="83">
        <v>17090755.724079132</v>
      </c>
      <c r="O545" s="83" t="s">
        <v>1686</v>
      </c>
      <c r="P545" s="84">
        <f t="shared" si="12"/>
        <v>-1.3487657225307315E-3</v>
      </c>
    </row>
    <row r="546" spans="2:16" ht="15" customHeight="1">
      <c r="B546" s="83">
        <v>469.764704549557</v>
      </c>
      <c r="C546" s="83">
        <v>471.11658802061714</v>
      </c>
      <c r="D546" s="83">
        <v>464.44598052837875</v>
      </c>
      <c r="E546" s="83">
        <v>467.71220993656055</v>
      </c>
      <c r="F546" s="83">
        <v>5178378.5510079227</v>
      </c>
      <c r="G546" s="83" t="s">
        <v>1685</v>
      </c>
      <c r="H546" s="84">
        <f t="shared" si="11"/>
        <v>4.3883708173340086E-3</v>
      </c>
      <c r="J546" s="83">
        <v>159.83987826244538</v>
      </c>
      <c r="K546" s="83">
        <v>160.16782885538512</v>
      </c>
      <c r="L546" s="83">
        <v>156.9967782448411</v>
      </c>
      <c r="M546" s="83">
        <v>157.40435552009205</v>
      </c>
      <c r="N546" s="83">
        <v>17947757.822110537</v>
      </c>
      <c r="O546" s="83" t="s">
        <v>1685</v>
      </c>
      <c r="P546" s="84">
        <f t="shared" si="12"/>
        <v>1.5473032714412138E-2</v>
      </c>
    </row>
    <row r="547" spans="2:16" ht="15" customHeight="1">
      <c r="B547" s="83">
        <v>466.39979751575032</v>
      </c>
      <c r="C547" s="83">
        <v>468.11678820162234</v>
      </c>
      <c r="D547" s="83">
        <v>464.44598052837875</v>
      </c>
      <c r="E547" s="83">
        <v>465.66958308612664</v>
      </c>
      <c r="F547" s="83">
        <v>7026302.0174002824</v>
      </c>
      <c r="G547" s="83" t="s">
        <v>1684</v>
      </c>
      <c r="H547" s="84">
        <f t="shared" si="11"/>
        <v>1.5680956114512146E-3</v>
      </c>
      <c r="J547" s="83">
        <v>156.72837369772461</v>
      </c>
      <c r="K547" s="83">
        <v>157.22541915534774</v>
      </c>
      <c r="L547" s="83">
        <v>155.27700096146506</v>
      </c>
      <c r="M547" s="83">
        <v>156.94707369907877</v>
      </c>
      <c r="N547" s="83">
        <v>16436297.474816451</v>
      </c>
      <c r="O547" s="83" t="s">
        <v>1684</v>
      </c>
      <c r="P547" s="84">
        <f t="shared" si="12"/>
        <v>-1.3934633899163051E-3</v>
      </c>
    </row>
    <row r="548" spans="2:16" ht="15" customHeight="1">
      <c r="B548" s="83">
        <v>470.95870381961737</v>
      </c>
      <c r="C548" s="83">
        <v>472.27111624042766</v>
      </c>
      <c r="D548" s="83">
        <v>466.48860737881267</v>
      </c>
      <c r="E548" s="83">
        <v>472.05402546405298</v>
      </c>
      <c r="F548" s="83">
        <v>5324602.174738585</v>
      </c>
      <c r="G548" s="83" t="s">
        <v>1683</v>
      </c>
      <c r="H548" s="84">
        <f t="shared" si="11"/>
        <v>-2.3203311175217234E-3</v>
      </c>
      <c r="J548" s="83">
        <v>157.20553733704278</v>
      </c>
      <c r="K548" s="83">
        <v>158.94519643872374</v>
      </c>
      <c r="L548" s="83">
        <v>155.71440096417342</v>
      </c>
      <c r="M548" s="83">
        <v>156.42020551399827</v>
      </c>
      <c r="N548" s="83">
        <v>21666167.218382228</v>
      </c>
      <c r="O548" s="83" t="s">
        <v>1683</v>
      </c>
      <c r="P548" s="84">
        <f t="shared" si="12"/>
        <v>5.0206545916744449E-3</v>
      </c>
    </row>
    <row r="549" spans="2:16" ht="15" customHeight="1">
      <c r="B549" s="83">
        <v>470.37650582843094</v>
      </c>
      <c r="C549" s="83">
        <v>471.74812482461601</v>
      </c>
      <c r="D549" s="83">
        <v>469.67589468649464</v>
      </c>
      <c r="E549" s="83">
        <v>470.84029066886757</v>
      </c>
      <c r="F549" s="83">
        <v>4800255.3466468742</v>
      </c>
      <c r="G549" s="83" t="s">
        <v>1682</v>
      </c>
      <c r="H549" s="84">
        <f t="shared" si="11"/>
        <v>-9.8501519438320972E-4</v>
      </c>
      <c r="J549" s="83">
        <v>155.21735550655029</v>
      </c>
      <c r="K549" s="83">
        <v>155.72931232790211</v>
      </c>
      <c r="L549" s="83">
        <v>153.08006003877085</v>
      </c>
      <c r="M549" s="83">
        <v>153.10491231165199</v>
      </c>
      <c r="N549" s="83">
        <v>16740450.742251854</v>
      </c>
      <c r="O549" s="83" t="s">
        <v>1682</v>
      </c>
      <c r="P549" s="84">
        <f t="shared" si="12"/>
        <v>1.379735740025323E-2</v>
      </c>
    </row>
    <row r="550" spans="2:16" ht="15" customHeight="1">
      <c r="B550" s="83">
        <v>470.18901833974377</v>
      </c>
      <c r="C550" s="83">
        <v>472.00468665124055</v>
      </c>
      <c r="D550" s="83">
        <v>466.17283897681324</v>
      </c>
      <c r="E550" s="83">
        <v>466.59715276700001</v>
      </c>
      <c r="F550" s="83">
        <v>5663046.6781255519</v>
      </c>
      <c r="G550" s="83" t="s">
        <v>1681</v>
      </c>
      <c r="H550" s="84">
        <f t="shared" si="11"/>
        <v>7.6980014803849084E-3</v>
      </c>
      <c r="J550" s="83">
        <v>153.03035549300853</v>
      </c>
      <c r="K550" s="83">
        <v>153.92503731673017</v>
      </c>
      <c r="L550" s="83">
        <v>150.18824956631948</v>
      </c>
      <c r="M550" s="83">
        <v>150.78371002455199</v>
      </c>
      <c r="N550" s="83">
        <v>16394193.679923978</v>
      </c>
      <c r="O550" s="83" t="s">
        <v>1681</v>
      </c>
      <c r="P550" s="84">
        <f t="shared" si="12"/>
        <v>1.4899789029535926E-2</v>
      </c>
    </row>
    <row r="551" spans="2:16" ht="15" customHeight="1">
      <c r="B551" s="83">
        <v>465.24526929593986</v>
      </c>
      <c r="C551" s="83">
        <v>475.11303185842269</v>
      </c>
      <c r="D551" s="83">
        <v>465.03804628212771</v>
      </c>
      <c r="E551" s="83">
        <v>474.83673450667311</v>
      </c>
      <c r="F551" s="83">
        <v>6963270.5048297672</v>
      </c>
      <c r="G551" s="83" t="s">
        <v>1680</v>
      </c>
      <c r="H551" s="84">
        <f t="shared" si="11"/>
        <v>-2.0199501246882634E-2</v>
      </c>
      <c r="J551" s="83">
        <v>151.04217366251603</v>
      </c>
      <c r="K551" s="83">
        <v>155.25711914316014</v>
      </c>
      <c r="L551" s="83">
        <v>150.98252820760123</v>
      </c>
      <c r="M551" s="83">
        <v>154.16361913638929</v>
      </c>
      <c r="N551" s="83">
        <v>24328601.769797839</v>
      </c>
      <c r="O551" s="83" t="s">
        <v>1680</v>
      </c>
      <c r="P551" s="84">
        <f t="shared" si="12"/>
        <v>-2.0247614134640268E-2</v>
      </c>
    </row>
    <row r="552" spans="2:16" ht="15" customHeight="1">
      <c r="B552" s="83">
        <v>471.04751368267978</v>
      </c>
      <c r="C552" s="83">
        <v>472.47044504418977</v>
      </c>
      <c r="D552" s="83">
        <v>469.49827496036994</v>
      </c>
      <c r="E552" s="83">
        <v>469.54761377318232</v>
      </c>
      <c r="F552" s="83">
        <v>6308230.4226357285</v>
      </c>
      <c r="G552" s="83" t="s">
        <v>1679</v>
      </c>
      <c r="H552" s="84">
        <f t="shared" si="11"/>
        <v>3.194351042367316E-3</v>
      </c>
      <c r="J552" s="83">
        <v>155.44599641705693</v>
      </c>
      <c r="K552" s="83">
        <v>155.62493278180128</v>
      </c>
      <c r="L552" s="83">
        <v>153.22132035782735</v>
      </c>
      <c r="M552" s="83">
        <v>154.00456458994987</v>
      </c>
      <c r="N552" s="83">
        <v>17368808.76305246</v>
      </c>
      <c r="O552" s="83" t="s">
        <v>1679</v>
      </c>
      <c r="P552" s="84">
        <f t="shared" si="12"/>
        <v>9.3596695068423053E-3</v>
      </c>
    </row>
    <row r="553" spans="2:16" ht="15" customHeight="1">
      <c r="B553" s="83">
        <v>470.62319989249301</v>
      </c>
      <c r="C553" s="83">
        <v>470.68240646786791</v>
      </c>
      <c r="D553" s="83">
        <v>468.43255660362178</v>
      </c>
      <c r="E553" s="83">
        <v>470.03113413874399</v>
      </c>
      <c r="F553" s="83">
        <v>4882385.4136066614</v>
      </c>
      <c r="G553" s="83" t="s">
        <v>1678</v>
      </c>
      <c r="H553" s="84">
        <f t="shared" si="11"/>
        <v>1.259630928138078E-3</v>
      </c>
      <c r="J553" s="83">
        <v>154.9489509594338</v>
      </c>
      <c r="K553" s="83">
        <v>155.06824186926337</v>
      </c>
      <c r="L553" s="83">
        <v>152.55319185369035</v>
      </c>
      <c r="M553" s="83">
        <v>153.835569134358</v>
      </c>
      <c r="N553" s="83">
        <v>17702670.580829747</v>
      </c>
      <c r="O553" s="83" t="s">
        <v>1678</v>
      </c>
      <c r="P553" s="84">
        <f t="shared" si="12"/>
        <v>7.23747980613898E-3</v>
      </c>
    </row>
    <row r="554" spans="2:16" ht="15" customHeight="1">
      <c r="B554" s="83">
        <v>473.72167733711257</v>
      </c>
      <c r="C554" s="83">
        <v>475.58668446142184</v>
      </c>
      <c r="D554" s="83">
        <v>472.49807477936469</v>
      </c>
      <c r="E554" s="83">
        <v>475.07356080817272</v>
      </c>
      <c r="F554" s="83">
        <v>5810800.5372975701</v>
      </c>
      <c r="G554" s="83" t="s">
        <v>1677</v>
      </c>
      <c r="H554" s="84">
        <f t="shared" si="11"/>
        <v>-2.8456297773347128E-3</v>
      </c>
      <c r="J554" s="83">
        <v>155.57522823603895</v>
      </c>
      <c r="K554" s="83">
        <v>156.07227369366208</v>
      </c>
      <c r="L554" s="83">
        <v>150.75388729709462</v>
      </c>
      <c r="M554" s="83">
        <v>150.93282366183894</v>
      </c>
      <c r="N554" s="83">
        <v>24615268.709037907</v>
      </c>
      <c r="O554" s="83" t="s">
        <v>1677</v>
      </c>
      <c r="P554" s="84">
        <f t="shared" si="12"/>
        <v>3.0758084699993526E-2</v>
      </c>
    </row>
    <row r="555" spans="2:16" ht="15" customHeight="1">
      <c r="B555" s="83">
        <v>474.34334637854897</v>
      </c>
      <c r="C555" s="83">
        <v>475.78384235742027</v>
      </c>
      <c r="D555" s="83">
        <v>474.14934616657058</v>
      </c>
      <c r="E555" s="83">
        <v>474.51109834211121</v>
      </c>
      <c r="F555" s="83">
        <v>4119493.1214246862</v>
      </c>
      <c r="G555" s="83" t="s">
        <v>1676</v>
      </c>
      <c r="H555" s="84">
        <f t="shared" si="11"/>
        <v>-3.5352590097126324E-4</v>
      </c>
      <c r="J555" s="83">
        <v>151.36028275539482</v>
      </c>
      <c r="K555" s="83">
        <v>151.76786003064578</v>
      </c>
      <c r="L555" s="83">
        <v>150.43577820421581</v>
      </c>
      <c r="M555" s="83">
        <v>151.10181911743081</v>
      </c>
      <c r="N555" s="83">
        <v>21231084.276403163</v>
      </c>
      <c r="O555" s="83" t="s">
        <v>1676</v>
      </c>
      <c r="P555" s="84">
        <f t="shared" si="12"/>
        <v>1.7105263157894957E-3</v>
      </c>
    </row>
    <row r="556" spans="2:16" ht="15" customHeight="1">
      <c r="B556" s="83">
        <v>474.40255295392387</v>
      </c>
      <c r="C556" s="83">
        <v>474.51109834211121</v>
      </c>
      <c r="D556" s="83">
        <v>471.13632354574207</v>
      </c>
      <c r="E556" s="83">
        <v>473.16908263361353</v>
      </c>
      <c r="F556" s="83">
        <v>5017782.8749399669</v>
      </c>
      <c r="G556" s="83" t="s">
        <v>1675</v>
      </c>
      <c r="H556" s="84">
        <f t="shared" si="11"/>
        <v>2.6068278033826164E-3</v>
      </c>
      <c r="J556" s="83">
        <v>151.04217366251603</v>
      </c>
      <c r="K556" s="83">
        <v>151.7877418489507</v>
      </c>
      <c r="L556" s="83">
        <v>149.24286910592031</v>
      </c>
      <c r="M556" s="83">
        <v>151.24596230014151</v>
      </c>
      <c r="N556" s="83">
        <v>16720768.437846977</v>
      </c>
      <c r="O556" s="83" t="s">
        <v>1675</v>
      </c>
      <c r="P556" s="84">
        <f t="shared" si="12"/>
        <v>-1.3473988629267852E-3</v>
      </c>
    </row>
    <row r="557" spans="2:16" ht="15" customHeight="1">
      <c r="B557" s="83">
        <v>470.29756372793105</v>
      </c>
      <c r="C557" s="83">
        <v>473.0309339577388</v>
      </c>
      <c r="D557" s="83">
        <v>470.12981176436887</v>
      </c>
      <c r="E557" s="83">
        <v>472.72503331830183</v>
      </c>
      <c r="F557" s="83">
        <v>8181694.6332853744</v>
      </c>
      <c r="G557" s="83" t="s">
        <v>1674</v>
      </c>
      <c r="H557" s="84">
        <f t="shared" si="11"/>
        <v>-5.1350561516302351E-3</v>
      </c>
      <c r="J557" s="83">
        <v>150.80359184285692</v>
      </c>
      <c r="K557" s="83">
        <v>152.29472821572628</v>
      </c>
      <c r="L557" s="83">
        <v>150.13755092964195</v>
      </c>
      <c r="M557" s="83">
        <v>150.34631002184366</v>
      </c>
      <c r="N557" s="83">
        <v>19427492.700922508</v>
      </c>
      <c r="O557" s="83" t="s">
        <v>1674</v>
      </c>
      <c r="P557" s="84">
        <f t="shared" si="12"/>
        <v>3.041523406505986E-3</v>
      </c>
    </row>
    <row r="558" spans="2:16" ht="15" customHeight="1">
      <c r="B558" s="83">
        <v>471.61984391130375</v>
      </c>
      <c r="C558" s="83">
        <v>472.45860372911483</v>
      </c>
      <c r="D558" s="83">
        <v>471.23500117136695</v>
      </c>
      <c r="E558" s="83">
        <v>471.41262089749165</v>
      </c>
      <c r="F558" s="83">
        <v>6162771.9166257447</v>
      </c>
      <c r="G558" s="83" t="s">
        <v>1673</v>
      </c>
      <c r="H558" s="84">
        <f t="shared" si="11"/>
        <v>4.3957884160494842E-4</v>
      </c>
      <c r="J558" s="83">
        <v>150.25684183947149</v>
      </c>
      <c r="K558" s="83">
        <v>150.56103365953683</v>
      </c>
      <c r="L558" s="83">
        <v>147.92072818864278</v>
      </c>
      <c r="M558" s="83">
        <v>150.05802365642222</v>
      </c>
      <c r="N558" s="83">
        <v>15204573.111158343</v>
      </c>
      <c r="O558" s="83" t="s">
        <v>1673</v>
      </c>
      <c r="P558" s="84">
        <f t="shared" si="12"/>
        <v>1.3249420337861917E-3</v>
      </c>
    </row>
    <row r="559" spans="2:16" ht="15" customHeight="1">
      <c r="B559" s="83">
        <v>472.84344646905163</v>
      </c>
      <c r="C559" s="83">
        <v>473.96837140117464</v>
      </c>
      <c r="D559" s="83">
        <v>472.48820701680222</v>
      </c>
      <c r="E559" s="83">
        <v>473.52432208586293</v>
      </c>
      <c r="F559" s="83">
        <v>5960320.7543333527</v>
      </c>
      <c r="G559" s="83" t="s">
        <v>1672</v>
      </c>
      <c r="H559" s="84">
        <f t="shared" si="11"/>
        <v>-1.4378894283868515E-3</v>
      </c>
      <c r="J559" s="83">
        <v>150.87317820692417</v>
      </c>
      <c r="K559" s="83">
        <v>151.65851002996871</v>
      </c>
      <c r="L559" s="83">
        <v>149.20310546931046</v>
      </c>
      <c r="M559" s="83">
        <v>149.3522191065974</v>
      </c>
      <c r="N559" s="83">
        <v>19367368.421459403</v>
      </c>
      <c r="O559" s="83" t="s">
        <v>1672</v>
      </c>
      <c r="P559" s="84">
        <f t="shared" si="12"/>
        <v>1.0183706070287402E-2</v>
      </c>
    </row>
    <row r="560" spans="2:16" ht="15" customHeight="1">
      <c r="B560" s="83">
        <v>473.46225385934514</v>
      </c>
      <c r="C560" s="83">
        <v>475.31636489814201</v>
      </c>
      <c r="D560" s="83">
        <v>473.32454799969969</v>
      </c>
      <c r="E560" s="83">
        <v>474.71144272898545</v>
      </c>
      <c r="F560" s="83">
        <v>5128722.9303001203</v>
      </c>
      <c r="G560" s="83" t="s">
        <v>1671</v>
      </c>
      <c r="H560" s="84">
        <f t="shared" ref="H560:H623" si="13">B560/E560-1</f>
        <v>-2.6314698934979397E-3</v>
      </c>
      <c r="J560" s="83">
        <v>147.86108273372801</v>
      </c>
      <c r="K560" s="83">
        <v>150.41092593133465</v>
      </c>
      <c r="L560" s="83">
        <v>147.13549577468976</v>
      </c>
      <c r="M560" s="83">
        <v>149.43174637981707</v>
      </c>
      <c r="N560" s="83">
        <v>19961871.389886189</v>
      </c>
      <c r="O560" s="83" t="s">
        <v>1671</v>
      </c>
      <c r="P560" s="84">
        <f t="shared" ref="P560:P623" si="14">J560/M560-1</f>
        <v>-1.0510910058541656E-2</v>
      </c>
    </row>
    <row r="561" spans="2:16" ht="15" customHeight="1">
      <c r="B561" s="83">
        <v>471.88847260625494</v>
      </c>
      <c r="C561" s="83">
        <v>472.1540481927139</v>
      </c>
      <c r="D561" s="83">
        <v>467.14745658132085</v>
      </c>
      <c r="E561" s="83">
        <v>467.74746068406148</v>
      </c>
      <c r="F561" s="83">
        <v>6282302.3089051498</v>
      </c>
      <c r="G561" s="83" t="s">
        <v>1670</v>
      </c>
      <c r="H561" s="84">
        <f t="shared" si="13"/>
        <v>8.8530933254824529E-3</v>
      </c>
      <c r="J561" s="83">
        <v>148.7955281940595</v>
      </c>
      <c r="K561" s="83">
        <v>148.87505546727917</v>
      </c>
      <c r="L561" s="83">
        <v>146.79243499983826</v>
      </c>
      <c r="M561" s="83">
        <v>147.91078727949031</v>
      </c>
      <c r="N561" s="83">
        <v>17835386.81228964</v>
      </c>
      <c r="O561" s="83" t="s">
        <v>1670</v>
      </c>
      <c r="P561" s="84">
        <f t="shared" si="14"/>
        <v>5.9815847839237435E-3</v>
      </c>
    </row>
    <row r="562" spans="2:16" ht="15" customHeight="1">
      <c r="B562" s="83">
        <v>467.80647748105235</v>
      </c>
      <c r="C562" s="83">
        <v>467.94418334069775</v>
      </c>
      <c r="D562" s="83">
        <v>463.56710423054074</v>
      </c>
      <c r="E562" s="83">
        <v>464.46219231823574</v>
      </c>
      <c r="F562" s="83">
        <v>4626053.8341683242</v>
      </c>
      <c r="G562" s="83" t="s">
        <v>1669</v>
      </c>
      <c r="H562" s="84">
        <f t="shared" si="13"/>
        <v>7.2003388394747958E-3</v>
      </c>
      <c r="J562" s="83">
        <v>147.04592818322607</v>
      </c>
      <c r="K562" s="83">
        <v>148.73588273914473</v>
      </c>
      <c r="L562" s="83">
        <v>146.14130545035198</v>
      </c>
      <c r="M562" s="83">
        <v>148.0996645533871</v>
      </c>
      <c r="N562" s="83">
        <v>17853867.013364054</v>
      </c>
      <c r="O562" s="83" t="s">
        <v>1669</v>
      </c>
      <c r="P562" s="84">
        <f t="shared" si="14"/>
        <v>-7.115048999865814E-3</v>
      </c>
    </row>
    <row r="563" spans="2:16" ht="15" customHeight="1">
      <c r="B563" s="83">
        <v>465.1999022806217</v>
      </c>
      <c r="C563" s="83">
        <v>467.49073761715113</v>
      </c>
      <c r="D563" s="83">
        <v>464.75727630319011</v>
      </c>
      <c r="E563" s="83">
        <v>466.1835155638031</v>
      </c>
      <c r="F563" s="83">
        <v>4004729.366056887</v>
      </c>
      <c r="G563" s="83" t="s">
        <v>1668</v>
      </c>
      <c r="H563" s="84">
        <f t="shared" si="13"/>
        <v>-2.1099272075114639E-3</v>
      </c>
      <c r="J563" s="83">
        <v>147.60261909576397</v>
      </c>
      <c r="K563" s="83">
        <v>152.02632366860982</v>
      </c>
      <c r="L563" s="83">
        <v>147.26462818458023</v>
      </c>
      <c r="M563" s="83">
        <v>148.48736001033316</v>
      </c>
      <c r="N563" s="83">
        <v>47960089.232069463</v>
      </c>
      <c r="O563" s="83" t="s">
        <v>1668</v>
      </c>
      <c r="P563" s="84">
        <f t="shared" si="14"/>
        <v>-5.9583584387763455E-3</v>
      </c>
    </row>
    <row r="564" spans="2:16" ht="15" customHeight="1">
      <c r="B564" s="83">
        <v>462.30807922806855</v>
      </c>
      <c r="C564" s="83">
        <v>464.05045179789602</v>
      </c>
      <c r="D564" s="83">
        <v>461.03931645409295</v>
      </c>
      <c r="E564" s="83">
        <v>462.70152454134114</v>
      </c>
      <c r="F564" s="83">
        <v>6920491.128366488</v>
      </c>
      <c r="G564" s="83" t="s">
        <v>1667</v>
      </c>
      <c r="H564" s="84">
        <f t="shared" si="13"/>
        <v>-8.5032205948010198E-4</v>
      </c>
      <c r="J564" s="83">
        <v>141.3299054205601</v>
      </c>
      <c r="K564" s="83">
        <v>143.48708270664449</v>
      </c>
      <c r="L564" s="83">
        <v>140.29615027779553</v>
      </c>
      <c r="M564" s="83">
        <v>142.56257815546547</v>
      </c>
      <c r="N564" s="83">
        <v>41283441.353886366</v>
      </c>
      <c r="O564" s="83" t="s">
        <v>1667</v>
      </c>
      <c r="P564" s="84">
        <f t="shared" si="14"/>
        <v>-8.6465378983335839E-3</v>
      </c>
    </row>
    <row r="565" spans="2:16" ht="15" customHeight="1">
      <c r="B565" s="83">
        <v>465.51465853123977</v>
      </c>
      <c r="C565" s="83">
        <v>467.53598382817745</v>
      </c>
      <c r="D565" s="83">
        <v>462.74086907266832</v>
      </c>
      <c r="E565" s="83">
        <v>467.37368763645253</v>
      </c>
      <c r="F565" s="83">
        <v>5238827.1774181742</v>
      </c>
      <c r="G565" s="83" t="s">
        <v>1666</v>
      </c>
      <c r="H565" s="84">
        <f t="shared" si="13"/>
        <v>-3.9776075427224722E-3</v>
      </c>
      <c r="J565" s="83">
        <v>143.48708270664449</v>
      </c>
      <c r="K565" s="83">
        <v>143.87477816359052</v>
      </c>
      <c r="L565" s="83">
        <v>140.64895314361644</v>
      </c>
      <c r="M565" s="83">
        <v>141.45913723954214</v>
      </c>
      <c r="N565" s="83">
        <v>36332605.44489827</v>
      </c>
      <c r="O565" s="83" t="s">
        <v>1666</v>
      </c>
      <c r="P565" s="84">
        <f t="shared" si="14"/>
        <v>1.4335910049191769E-2</v>
      </c>
    </row>
    <row r="566" spans="2:16" ht="15" customHeight="1">
      <c r="B566" s="83">
        <v>466.5376163457484</v>
      </c>
      <c r="C566" s="83">
        <v>467.67860775423878</v>
      </c>
      <c r="D566" s="83">
        <v>465.15072161646265</v>
      </c>
      <c r="E566" s="83">
        <v>467.52122962892975</v>
      </c>
      <c r="F566" s="83">
        <v>3603576.792431822</v>
      </c>
      <c r="G566" s="83" t="s">
        <v>1665</v>
      </c>
      <c r="H566" s="84">
        <f t="shared" si="13"/>
        <v>-2.1038900927815574E-3</v>
      </c>
      <c r="J566" s="83">
        <v>139.93817813921535</v>
      </c>
      <c r="K566" s="83">
        <v>141.34978723886502</v>
      </c>
      <c r="L566" s="83">
        <v>139.18266904362818</v>
      </c>
      <c r="M566" s="83">
        <v>139.23237358939051</v>
      </c>
      <c r="N566" s="83">
        <v>19753725.437814247</v>
      </c>
      <c r="O566" s="83" t="s">
        <v>1665</v>
      </c>
      <c r="P566" s="84">
        <f t="shared" si="14"/>
        <v>5.0692560331286884E-3</v>
      </c>
    </row>
    <row r="567" spans="2:16" ht="15" customHeight="1">
      <c r="B567" s="83">
        <v>467.2458179096389</v>
      </c>
      <c r="C567" s="83">
        <v>467.75729681689324</v>
      </c>
      <c r="D567" s="83">
        <v>461.87528938346873</v>
      </c>
      <c r="E567" s="83">
        <v>464.18678059894495</v>
      </c>
      <c r="F567" s="83">
        <v>4891186.4878841415</v>
      </c>
      <c r="G567" s="83" t="s">
        <v>1664</v>
      </c>
      <c r="H567" s="84">
        <f t="shared" si="13"/>
        <v>6.5901000169519275E-3</v>
      </c>
      <c r="J567" s="83">
        <v>138.79497358668218</v>
      </c>
      <c r="K567" s="83">
        <v>139.4510735907447</v>
      </c>
      <c r="L567" s="83">
        <v>137.39330539618496</v>
      </c>
      <c r="M567" s="83">
        <v>137.43306903279478</v>
      </c>
      <c r="N567" s="83">
        <v>19132753.059400465</v>
      </c>
      <c r="O567" s="83" t="s">
        <v>1664</v>
      </c>
      <c r="P567" s="84">
        <f t="shared" si="14"/>
        <v>9.9095840867995388E-3</v>
      </c>
    </row>
    <row r="568" spans="2:16" ht="15" customHeight="1">
      <c r="B568" s="83">
        <v>462.29824309523673</v>
      </c>
      <c r="C568" s="83">
        <v>462.74578713908426</v>
      </c>
      <c r="D568" s="83">
        <v>459.73101242613342</v>
      </c>
      <c r="E568" s="83">
        <v>461.51135246869165</v>
      </c>
      <c r="F568" s="83">
        <v>5412560.0894497139</v>
      </c>
      <c r="G568" s="83" t="s">
        <v>1663</v>
      </c>
      <c r="H568" s="84">
        <f t="shared" si="13"/>
        <v>1.7050298380221207E-3</v>
      </c>
      <c r="J568" s="83">
        <v>138.1189917643147</v>
      </c>
      <c r="K568" s="83">
        <v>139.15284631617081</v>
      </c>
      <c r="L568" s="83">
        <v>136.2600417528042</v>
      </c>
      <c r="M568" s="83">
        <v>136.2600417528042</v>
      </c>
      <c r="N568" s="83">
        <v>22670325.877002217</v>
      </c>
      <c r="O568" s="83" t="s">
        <v>1663</v>
      </c>
      <c r="P568" s="84">
        <f t="shared" si="14"/>
        <v>1.3642664332093046E-2</v>
      </c>
    </row>
    <row r="569" spans="2:16" ht="15" customHeight="1">
      <c r="B569" s="83">
        <v>462.68185227567744</v>
      </c>
      <c r="C569" s="83">
        <v>468.49441661130936</v>
      </c>
      <c r="D569" s="83">
        <v>462.1211927042641</v>
      </c>
      <c r="E569" s="83">
        <v>466.00646517283042</v>
      </c>
      <c r="F569" s="83">
        <v>6390341.7201423468</v>
      </c>
      <c r="G569" s="83" t="s">
        <v>1662</v>
      </c>
      <c r="H569" s="84">
        <f t="shared" si="13"/>
        <v>-7.1342634611731848E-3</v>
      </c>
      <c r="J569" s="83">
        <v>135.48465083891213</v>
      </c>
      <c r="K569" s="83">
        <v>138.16372585550081</v>
      </c>
      <c r="L569" s="83">
        <v>134.00345537519522</v>
      </c>
      <c r="M569" s="83">
        <v>134.23706674027807</v>
      </c>
      <c r="N569" s="83">
        <v>26652652.784214053</v>
      </c>
      <c r="O569" s="83" t="s">
        <v>1662</v>
      </c>
      <c r="P569" s="84">
        <f t="shared" si="14"/>
        <v>9.2938867700966821E-3</v>
      </c>
    </row>
    <row r="570" spans="2:16" ht="15" customHeight="1">
      <c r="B570" s="83">
        <v>465.50482239840795</v>
      </c>
      <c r="C570" s="83">
        <v>466.4195827517666</v>
      </c>
      <c r="D570" s="83">
        <v>463.06546145611816</v>
      </c>
      <c r="E570" s="83">
        <v>463.90153274682234</v>
      </c>
      <c r="F570" s="83">
        <v>7268915.6625406686</v>
      </c>
      <c r="G570" s="83" t="s">
        <v>1661</v>
      </c>
      <c r="H570" s="84">
        <f t="shared" si="13"/>
        <v>3.4560990607044317E-3</v>
      </c>
      <c r="J570" s="83">
        <v>134.44085537790357</v>
      </c>
      <c r="K570" s="83">
        <v>135.01742810874637</v>
      </c>
      <c r="L570" s="83">
        <v>131.87610081656823</v>
      </c>
      <c r="M570" s="83">
        <v>133.0988326423211</v>
      </c>
      <c r="N570" s="83">
        <v>24250580.736901883</v>
      </c>
      <c r="O570" s="83" t="s">
        <v>1661</v>
      </c>
      <c r="P570" s="84">
        <f t="shared" si="14"/>
        <v>1.0082903876316607E-2</v>
      </c>
    </row>
    <row r="571" spans="2:16" ht="15" customHeight="1">
      <c r="B571" s="83">
        <v>460.94085676444649</v>
      </c>
      <c r="C571" s="83">
        <v>462.94742786213646</v>
      </c>
      <c r="D571" s="83">
        <v>459.66206113498242</v>
      </c>
      <c r="E571" s="83">
        <v>461.56053313285071</v>
      </c>
      <c r="F571" s="83">
        <v>5413763.8145520939</v>
      </c>
      <c r="G571" s="83" t="s">
        <v>1660</v>
      </c>
      <c r="H571" s="84">
        <f t="shared" si="13"/>
        <v>-1.3425679275438362E-3</v>
      </c>
      <c r="J571" s="83">
        <v>131.77669172504361</v>
      </c>
      <c r="K571" s="83">
        <v>133.94380992028044</v>
      </c>
      <c r="L571" s="83">
        <v>131.17029626674338</v>
      </c>
      <c r="M571" s="83">
        <v>133.44676446265731</v>
      </c>
      <c r="N571" s="83">
        <v>23312958.246136937</v>
      </c>
      <c r="O571" s="83" t="s">
        <v>1660</v>
      </c>
      <c r="P571" s="84">
        <f t="shared" si="14"/>
        <v>-1.2514898688915421E-2</v>
      </c>
    </row>
    <row r="572" spans="2:16" ht="15" customHeight="1">
      <c r="B572" s="83">
        <v>458.51133195498852</v>
      </c>
      <c r="C572" s="83">
        <v>461.68840285966428</v>
      </c>
      <c r="D572" s="83">
        <v>456.4555801931395</v>
      </c>
      <c r="E572" s="83">
        <v>461.26544914789633</v>
      </c>
      <c r="F572" s="83">
        <v>4693412.6235755878</v>
      </c>
      <c r="G572" s="83" t="s">
        <v>1659</v>
      </c>
      <c r="H572" s="84">
        <f t="shared" si="13"/>
        <v>-5.9707857980595413E-3</v>
      </c>
      <c r="J572" s="83">
        <v>132.98948264164403</v>
      </c>
      <c r="K572" s="83">
        <v>133.22806446130315</v>
      </c>
      <c r="L572" s="83">
        <v>130.7726599006449</v>
      </c>
      <c r="M572" s="83">
        <v>131.95562808978792</v>
      </c>
      <c r="N572" s="83">
        <v>28616648.19957941</v>
      </c>
      <c r="O572" s="83" t="s">
        <v>1659</v>
      </c>
      <c r="P572" s="84">
        <f t="shared" si="14"/>
        <v>7.8348651499171584E-3</v>
      </c>
    </row>
    <row r="573" spans="2:16" ht="15" customHeight="1">
      <c r="B573" s="83">
        <v>463.1539866516045</v>
      </c>
      <c r="C573" s="83">
        <v>464.85563763150827</v>
      </c>
      <c r="D573" s="83">
        <v>462.88841106514559</v>
      </c>
      <c r="E573" s="83">
        <v>462.89824719797735</v>
      </c>
      <c r="F573" s="83">
        <v>4036385.0995981134</v>
      </c>
      <c r="G573" s="83" t="s">
        <v>1658</v>
      </c>
      <c r="H573" s="84">
        <f t="shared" si="13"/>
        <v>5.5247444805672785E-4</v>
      </c>
      <c r="J573" s="83">
        <v>133.40700082604744</v>
      </c>
      <c r="K573" s="83">
        <v>135.82264175009584</v>
      </c>
      <c r="L573" s="83">
        <v>132.07491899961749</v>
      </c>
      <c r="M573" s="83">
        <v>135.7331735677237</v>
      </c>
      <c r="N573" s="83">
        <v>43830508.187680706</v>
      </c>
      <c r="O573" s="83" t="s">
        <v>1658</v>
      </c>
      <c r="P573" s="84">
        <f t="shared" si="14"/>
        <v>-1.7137835066647344E-2</v>
      </c>
    </row>
    <row r="574" spans="2:16" ht="15" customHeight="1">
      <c r="B574" s="83">
        <v>463.70481009018607</v>
      </c>
      <c r="C574" s="83">
        <v>464.03923860646773</v>
      </c>
      <c r="D574" s="83">
        <v>459.77035695746065</v>
      </c>
      <c r="E574" s="83">
        <v>460.16380227073319</v>
      </c>
      <c r="F574" s="83">
        <v>4920044.3738901056</v>
      </c>
      <c r="G574" s="83" t="s">
        <v>1657</v>
      </c>
      <c r="H574" s="84">
        <f t="shared" si="13"/>
        <v>7.6951029220015954E-3</v>
      </c>
      <c r="J574" s="83">
        <v>137.26407357720294</v>
      </c>
      <c r="K574" s="83">
        <v>139.17272813447573</v>
      </c>
      <c r="L574" s="83">
        <v>137.15969403110208</v>
      </c>
      <c r="M574" s="83">
        <v>138.7850326775297</v>
      </c>
      <c r="N574" s="83">
        <v>28721241.248771742</v>
      </c>
      <c r="O574" s="83" t="s">
        <v>1657</v>
      </c>
      <c r="P574" s="84">
        <f t="shared" si="14"/>
        <v>-1.0959100350977691E-2</v>
      </c>
    </row>
    <row r="575" spans="2:16" ht="15" customHeight="1">
      <c r="B575" s="83">
        <v>459.27855031587001</v>
      </c>
      <c r="C575" s="83">
        <v>460.81298703763292</v>
      </c>
      <c r="D575" s="83">
        <v>456.85886163924386</v>
      </c>
      <c r="E575" s="83">
        <v>459.31789484719724</v>
      </c>
      <c r="F575" s="83">
        <v>7455085.3728639456</v>
      </c>
      <c r="G575" s="83" t="s">
        <v>1656</v>
      </c>
      <c r="H575" s="84">
        <f t="shared" si="13"/>
        <v>-8.5658607619332194E-5</v>
      </c>
      <c r="J575" s="83">
        <v>138.95402813312157</v>
      </c>
      <c r="K575" s="83">
        <v>139.12302358871341</v>
      </c>
      <c r="L575" s="83">
        <v>136.75708721042733</v>
      </c>
      <c r="M575" s="83">
        <v>137.5324781243194</v>
      </c>
      <c r="N575" s="83">
        <v>35695936.313038014</v>
      </c>
      <c r="O575" s="83" t="s">
        <v>1656</v>
      </c>
      <c r="P575" s="84">
        <f t="shared" si="14"/>
        <v>1.0336104083845443E-2</v>
      </c>
    </row>
    <row r="576" spans="2:16" ht="15" customHeight="1">
      <c r="B576" s="83">
        <v>457.58673546879805</v>
      </c>
      <c r="C576" s="83">
        <v>458.1965757043705</v>
      </c>
      <c r="D576" s="83">
        <v>456.50476085729855</v>
      </c>
      <c r="E576" s="83">
        <v>456.8785339049075</v>
      </c>
      <c r="F576" s="83">
        <v>2847259.2307231338</v>
      </c>
      <c r="G576" s="83" t="s">
        <v>1655</v>
      </c>
      <c r="H576" s="84">
        <f t="shared" si="13"/>
        <v>1.55008719240457E-3</v>
      </c>
      <c r="J576" s="83">
        <v>136.61791448229286</v>
      </c>
      <c r="K576" s="83">
        <v>138.45698267549844</v>
      </c>
      <c r="L576" s="83">
        <v>135.83258265924832</v>
      </c>
      <c r="M576" s="83">
        <v>138.27804631075409</v>
      </c>
      <c r="N576" s="83">
        <v>30810765.424219459</v>
      </c>
      <c r="O576" s="83" t="s">
        <v>1655</v>
      </c>
      <c r="P576" s="84">
        <f t="shared" si="14"/>
        <v>-1.200575125808756E-2</v>
      </c>
    </row>
    <row r="577" spans="2:16" ht="15" customHeight="1">
      <c r="B577" s="83">
        <v>458.29493703268861</v>
      </c>
      <c r="C577" s="83">
        <v>458.48182355649311</v>
      </c>
      <c r="D577" s="83">
        <v>456.30803820066234</v>
      </c>
      <c r="E577" s="83">
        <v>458.0785421103887</v>
      </c>
      <c r="F577" s="83">
        <v>3646700.4475565357</v>
      </c>
      <c r="G577" s="83" t="s">
        <v>1654</v>
      </c>
      <c r="H577" s="84">
        <f t="shared" si="13"/>
        <v>4.7239698524825791E-4</v>
      </c>
      <c r="J577" s="83">
        <v>139.27213722600035</v>
      </c>
      <c r="K577" s="83">
        <v>139.65983268294642</v>
      </c>
      <c r="L577" s="83">
        <v>137.68159176160634</v>
      </c>
      <c r="M577" s="83">
        <v>138.58621449448043</v>
      </c>
      <c r="N577" s="83">
        <v>22496917.190375909</v>
      </c>
      <c r="O577" s="83" t="s">
        <v>1654</v>
      </c>
      <c r="P577" s="84">
        <f t="shared" si="14"/>
        <v>4.949429739617095E-3</v>
      </c>
    </row>
    <row r="578" spans="2:16" ht="15" customHeight="1">
      <c r="B578" s="83">
        <v>457.44902960915266</v>
      </c>
      <c r="C578" s="83">
        <v>459.92773508276963</v>
      </c>
      <c r="D578" s="83">
        <v>457.32115988233909</v>
      </c>
      <c r="E578" s="83">
        <v>459.53428976949715</v>
      </c>
      <c r="F578" s="83">
        <v>3508293.4106368246</v>
      </c>
      <c r="G578" s="83" t="s">
        <v>1653</v>
      </c>
      <c r="H578" s="84">
        <f t="shared" si="13"/>
        <v>-4.5377683597680463E-3</v>
      </c>
      <c r="J578" s="83">
        <v>137.93011449041791</v>
      </c>
      <c r="K578" s="83">
        <v>142.99003724902136</v>
      </c>
      <c r="L578" s="83">
        <v>137.92017358126546</v>
      </c>
      <c r="M578" s="83">
        <v>142.60234179207529</v>
      </c>
      <c r="N578" s="83">
        <v>33712219.361443602</v>
      </c>
      <c r="O578" s="83" t="s">
        <v>1653</v>
      </c>
      <c r="P578" s="84">
        <f t="shared" si="14"/>
        <v>-3.27640292784942E-2</v>
      </c>
    </row>
    <row r="579" spans="2:16" ht="15" customHeight="1">
      <c r="B579" s="83">
        <v>459.13100832339273</v>
      </c>
      <c r="C579" s="83">
        <v>461.18676008524181</v>
      </c>
      <c r="D579" s="83">
        <v>458.4530036872959</v>
      </c>
      <c r="E579" s="83">
        <v>460.41954172436033</v>
      </c>
      <c r="F579" s="83">
        <v>4118103.1908178921</v>
      </c>
      <c r="G579" s="83" t="s">
        <v>1652</v>
      </c>
      <c r="H579" s="84">
        <f t="shared" si="13"/>
        <v>-2.7986071054711958E-3</v>
      </c>
      <c r="J579" s="83">
        <v>144.43146907612842</v>
      </c>
      <c r="K579" s="83">
        <v>145.09253953476721</v>
      </c>
      <c r="L579" s="83">
        <v>143.93442361850529</v>
      </c>
      <c r="M579" s="83">
        <v>144.11335998324964</v>
      </c>
      <c r="N579" s="83">
        <v>14605740.558853472</v>
      </c>
      <c r="O579" s="83" t="s">
        <v>1652</v>
      </c>
      <c r="P579" s="84">
        <f t="shared" si="14"/>
        <v>2.207353245498922E-3</v>
      </c>
    </row>
    <row r="580" spans="2:16" ht="15" customHeight="1">
      <c r="B580" s="83">
        <v>458.9244495339247</v>
      </c>
      <c r="C580" s="83">
        <v>459.67199562914249</v>
      </c>
      <c r="D580" s="83">
        <v>454.73917501398802</v>
      </c>
      <c r="E580" s="83">
        <v>455.62934503526719</v>
      </c>
      <c r="F580" s="83">
        <v>4400648.1754699135</v>
      </c>
      <c r="G580" s="83" t="s">
        <v>1651</v>
      </c>
      <c r="H580" s="84">
        <f t="shared" si="13"/>
        <v>7.2319848020379052E-3</v>
      </c>
      <c r="J580" s="83">
        <v>144.46129180358579</v>
      </c>
      <c r="K580" s="83">
        <v>145.33609180900251</v>
      </c>
      <c r="L580" s="83">
        <v>143.15903270461322</v>
      </c>
      <c r="M580" s="83">
        <v>145.25656453578281</v>
      </c>
      <c r="N580" s="83">
        <v>23161570.684202805</v>
      </c>
      <c r="O580" s="83" t="s">
        <v>1651</v>
      </c>
      <c r="P580" s="84">
        <f t="shared" si="14"/>
        <v>-5.4749520941692609E-3</v>
      </c>
    </row>
    <row r="581" spans="2:16" ht="15" customHeight="1">
      <c r="B581" s="83">
        <v>449.48176201538371</v>
      </c>
      <c r="C581" s="83">
        <v>449.62930400786092</v>
      </c>
      <c r="D581" s="83">
        <v>446.16698525106256</v>
      </c>
      <c r="E581" s="83">
        <v>447.85880009813445</v>
      </c>
      <c r="F581" s="83">
        <v>4293433.275261458</v>
      </c>
      <c r="G581" s="83" t="s">
        <v>1650</v>
      </c>
      <c r="H581" s="84">
        <f t="shared" si="13"/>
        <v>3.6238250021962681E-3</v>
      </c>
      <c r="J581" s="83">
        <v>142.99003724902136</v>
      </c>
      <c r="K581" s="83">
        <v>143.12920997715582</v>
      </c>
      <c r="L581" s="83">
        <v>141.07144178259608</v>
      </c>
      <c r="M581" s="83">
        <v>141.79712815072583</v>
      </c>
      <c r="N581" s="83">
        <v>16597660.985477107</v>
      </c>
      <c r="O581" s="83" t="s">
        <v>1650</v>
      </c>
      <c r="P581" s="84">
        <f t="shared" si="14"/>
        <v>8.4127874369042122E-3</v>
      </c>
    </row>
    <row r="582" spans="2:16" ht="15" customHeight="1">
      <c r="B582" s="83">
        <v>449.02929990512024</v>
      </c>
      <c r="C582" s="83">
        <v>450.55390049405139</v>
      </c>
      <c r="D582" s="83">
        <v>446.98338427610304</v>
      </c>
      <c r="E582" s="83">
        <v>449.94406025847894</v>
      </c>
      <c r="F582" s="83">
        <v>5395193.508200678</v>
      </c>
      <c r="G582" s="83" t="s">
        <v>1649</v>
      </c>
      <c r="H582" s="84">
        <f t="shared" si="13"/>
        <v>-2.0330535152152107E-3</v>
      </c>
      <c r="J582" s="83">
        <v>141.3597281480175</v>
      </c>
      <c r="K582" s="83">
        <v>142.48155974587289</v>
      </c>
      <c r="L582" s="83">
        <v>139.96800086667275</v>
      </c>
      <c r="M582" s="83">
        <v>140.10717359480722</v>
      </c>
      <c r="N582" s="83">
        <v>18736303.404790785</v>
      </c>
      <c r="O582" s="83" t="s">
        <v>1649</v>
      </c>
      <c r="P582" s="84">
        <f t="shared" si="14"/>
        <v>8.9399744572158379E-3</v>
      </c>
    </row>
    <row r="583" spans="2:16" ht="15" customHeight="1">
      <c r="B583" s="83">
        <v>451.50800537873727</v>
      </c>
      <c r="C583" s="83">
        <v>454.5768788222631</v>
      </c>
      <c r="D583" s="83">
        <v>450.888329010333</v>
      </c>
      <c r="E583" s="83">
        <v>453.52441260925906</v>
      </c>
      <c r="F583" s="83">
        <v>5619986.1210910352</v>
      </c>
      <c r="G583" s="83" t="s">
        <v>1648</v>
      </c>
      <c r="H583" s="84">
        <f t="shared" si="13"/>
        <v>-4.4460831092218989E-3</v>
      </c>
      <c r="J583" s="83">
        <v>140.92232814530914</v>
      </c>
      <c r="K583" s="83">
        <v>143.62625543477895</v>
      </c>
      <c r="L583" s="83">
        <v>140.68374632565005</v>
      </c>
      <c r="M583" s="83">
        <v>143.35785088766247</v>
      </c>
      <c r="N583" s="83">
        <v>21995088.844146207</v>
      </c>
      <c r="O583" s="83" t="s">
        <v>1648</v>
      </c>
      <c r="P583" s="84">
        <f t="shared" si="14"/>
        <v>-1.6989113098952902E-2</v>
      </c>
    </row>
    <row r="584" spans="2:16" ht="15" customHeight="1">
      <c r="B584" s="83">
        <v>453.82933272704526</v>
      </c>
      <c r="C584" s="83">
        <v>453.97687471952253</v>
      </c>
      <c r="D584" s="83">
        <v>450.91783740882846</v>
      </c>
      <c r="E584" s="83">
        <v>451.38013565192369</v>
      </c>
      <c r="F584" s="83">
        <v>5790599.9211174203</v>
      </c>
      <c r="G584" s="83" t="s">
        <v>1647</v>
      </c>
      <c r="H584" s="84">
        <f t="shared" si="13"/>
        <v>5.4260187404662208E-3</v>
      </c>
      <c r="J584" s="83">
        <v>143.08944634054598</v>
      </c>
      <c r="K584" s="83">
        <v>143.90460089104789</v>
      </c>
      <c r="L584" s="83">
        <v>141.04161905513868</v>
      </c>
      <c r="M584" s="83">
        <v>143.60637361647403</v>
      </c>
      <c r="N584" s="83">
        <v>26883159.870121013</v>
      </c>
      <c r="O584" s="83" t="s">
        <v>1647</v>
      </c>
      <c r="P584" s="84">
        <f t="shared" si="14"/>
        <v>-3.5996123494392851E-3</v>
      </c>
    </row>
    <row r="585" spans="2:16" ht="15" customHeight="1">
      <c r="B585" s="83">
        <v>450.78013154918312</v>
      </c>
      <c r="C585" s="83">
        <v>451.15390459679202</v>
      </c>
      <c r="D585" s="83">
        <v>446.95387587760757</v>
      </c>
      <c r="E585" s="83">
        <v>449.09323476852705</v>
      </c>
      <c r="F585" s="83">
        <v>5717703.3862433787</v>
      </c>
      <c r="G585" s="83" t="s">
        <v>1646</v>
      </c>
      <c r="H585" s="84">
        <f t="shared" si="13"/>
        <v>3.7562284400154411E-3</v>
      </c>
      <c r="J585" s="83">
        <v>146.27053726933397</v>
      </c>
      <c r="K585" s="83">
        <v>146.95646000085392</v>
      </c>
      <c r="L585" s="83">
        <v>144.6949031686687</v>
      </c>
      <c r="M585" s="83">
        <v>146.49917817984064</v>
      </c>
      <c r="N585" s="83">
        <v>16750805.931945395</v>
      </c>
      <c r="O585" s="83" t="s">
        <v>1646</v>
      </c>
      <c r="P585" s="84">
        <f t="shared" si="14"/>
        <v>-1.5606975639548271E-3</v>
      </c>
    </row>
    <row r="586" spans="2:16" ht="15" customHeight="1">
      <c r="B586" s="83">
        <v>446.53092216583963</v>
      </c>
      <c r="C586" s="83">
        <v>448.23257314574334</v>
      </c>
      <c r="D586" s="83">
        <v>443.60467264837507</v>
      </c>
      <c r="E586" s="83">
        <v>447.03256494026215</v>
      </c>
      <c r="F586" s="83">
        <v>8288056.0270930398</v>
      </c>
      <c r="G586" s="83" t="s">
        <v>1645</v>
      </c>
      <c r="H586" s="84">
        <f t="shared" si="13"/>
        <v>-1.1221615912692107E-3</v>
      </c>
      <c r="J586" s="83">
        <v>145.50508726459438</v>
      </c>
      <c r="K586" s="83">
        <v>147.16521909305561</v>
      </c>
      <c r="L586" s="83">
        <v>144.25253271138411</v>
      </c>
      <c r="M586" s="83">
        <v>145.20685999002049</v>
      </c>
      <c r="N586" s="83">
        <v>18246300.938689046</v>
      </c>
      <c r="O586" s="83" t="s">
        <v>1645</v>
      </c>
      <c r="P586" s="84">
        <f t="shared" si="14"/>
        <v>2.0538098172109276E-3</v>
      </c>
    </row>
    <row r="587" spans="2:16" ht="15" customHeight="1">
      <c r="B587" s="83">
        <v>452.91457237368661</v>
      </c>
      <c r="C587" s="83">
        <v>455.15721065934014</v>
      </c>
      <c r="D587" s="83">
        <v>452.21620694262788</v>
      </c>
      <c r="E587" s="83">
        <v>453.06211436616383</v>
      </c>
      <c r="F587" s="83">
        <v>4640271.8202804755</v>
      </c>
      <c r="G587" s="83" t="s">
        <v>1644</v>
      </c>
      <c r="H587" s="84">
        <f t="shared" si="13"/>
        <v>-3.2565510952864418E-4</v>
      </c>
      <c r="J587" s="83">
        <v>147.85114182457554</v>
      </c>
      <c r="K587" s="83">
        <v>149.70015092693359</v>
      </c>
      <c r="L587" s="83">
        <v>147.68214636898369</v>
      </c>
      <c r="M587" s="83">
        <v>148.656355465925</v>
      </c>
      <c r="N587" s="83">
        <v>17338563.03850266</v>
      </c>
      <c r="O587" s="83" t="s">
        <v>1644</v>
      </c>
      <c r="P587" s="84">
        <f t="shared" si="14"/>
        <v>-5.4166109402167262E-3</v>
      </c>
    </row>
    <row r="588" spans="2:16" ht="15" customHeight="1">
      <c r="B588" s="83">
        <v>453.1211311631547</v>
      </c>
      <c r="C588" s="83">
        <v>453.47523194509995</v>
      </c>
      <c r="D588" s="83">
        <v>450.66209795520132</v>
      </c>
      <c r="E588" s="83">
        <v>451.02603486997845</v>
      </c>
      <c r="F588" s="83">
        <v>4069276.0746928803</v>
      </c>
      <c r="G588" s="83" t="s">
        <v>1643</v>
      </c>
      <c r="H588" s="84">
        <f t="shared" si="13"/>
        <v>4.6451781742049558E-3</v>
      </c>
      <c r="J588" s="83">
        <v>149.33233728829245</v>
      </c>
      <c r="K588" s="83">
        <v>149.80453047303442</v>
      </c>
      <c r="L588" s="83">
        <v>146.55882363475541</v>
      </c>
      <c r="M588" s="83">
        <v>147.07575091068347</v>
      </c>
      <c r="N588" s="83">
        <v>22007738.592581823</v>
      </c>
      <c r="O588" s="83" t="s">
        <v>1643</v>
      </c>
      <c r="P588" s="84">
        <f t="shared" si="14"/>
        <v>1.5343021290976644E-2</v>
      </c>
    </row>
    <row r="589" spans="2:16" ht="15" customHeight="1">
      <c r="B589" s="83">
        <v>450.56373662688316</v>
      </c>
      <c r="C589" s="83">
        <v>450.8194760805103</v>
      </c>
      <c r="D589" s="83">
        <v>449.54077881237453</v>
      </c>
      <c r="E589" s="83">
        <v>450.30799717325601</v>
      </c>
      <c r="F589" s="83">
        <v>4254306.1094758129</v>
      </c>
      <c r="G589" s="83" t="s">
        <v>1642</v>
      </c>
      <c r="H589" s="84">
        <f t="shared" si="13"/>
        <v>5.6792119001336516E-4</v>
      </c>
      <c r="J589" s="83">
        <v>146.3500645425537</v>
      </c>
      <c r="K589" s="83">
        <v>146.73775999949976</v>
      </c>
      <c r="L589" s="83">
        <v>145.55479181035668</v>
      </c>
      <c r="M589" s="83">
        <v>146.10154181374213</v>
      </c>
      <c r="N589" s="83">
        <v>18349749.223370861</v>
      </c>
      <c r="O589" s="83" t="s">
        <v>1642</v>
      </c>
      <c r="P589" s="84">
        <f t="shared" si="14"/>
        <v>1.7010274205619957E-3</v>
      </c>
    </row>
    <row r="590" spans="2:16" ht="15" customHeight="1">
      <c r="B590" s="83">
        <v>450.25881650909696</v>
      </c>
      <c r="C590" s="83">
        <v>450.67193408803314</v>
      </c>
      <c r="D590" s="83">
        <v>447.80961943397534</v>
      </c>
      <c r="E590" s="83">
        <v>448.67519912317493</v>
      </c>
      <c r="F590" s="83">
        <v>6876091.5652996404</v>
      </c>
      <c r="G590" s="83" t="s">
        <v>1641</v>
      </c>
      <c r="H590" s="84">
        <f t="shared" si="13"/>
        <v>3.5295407212541097E-3</v>
      </c>
      <c r="J590" s="83">
        <v>145.81325544832072</v>
      </c>
      <c r="K590" s="83">
        <v>146.13136454119953</v>
      </c>
      <c r="L590" s="83">
        <v>144.35224003018328</v>
      </c>
      <c r="M590" s="83">
        <v>145.25656453578281</v>
      </c>
      <c r="N590" s="83">
        <v>21563546.825784907</v>
      </c>
      <c r="O590" s="83" t="s">
        <v>1641</v>
      </c>
      <c r="P590" s="84">
        <f t="shared" si="14"/>
        <v>3.8324664659183938E-3</v>
      </c>
    </row>
    <row r="591" spans="2:16" ht="15" customHeight="1">
      <c r="B591" s="83">
        <v>446.5899389628305</v>
      </c>
      <c r="C591" s="83">
        <v>446.8456784164577</v>
      </c>
      <c r="D591" s="83">
        <v>444.79976278744044</v>
      </c>
      <c r="E591" s="83">
        <v>446.14731298539886</v>
      </c>
      <c r="F591" s="83">
        <v>4456630.5426680259</v>
      </c>
      <c r="G591" s="83" t="s">
        <v>1640</v>
      </c>
      <c r="H591" s="84">
        <f t="shared" si="13"/>
        <v>9.9210723576881321E-4</v>
      </c>
      <c r="J591" s="83">
        <v>144.55075998595797</v>
      </c>
      <c r="K591" s="83">
        <v>145.87290090323552</v>
      </c>
      <c r="L591" s="83">
        <v>143.66601907138883</v>
      </c>
      <c r="M591" s="83">
        <v>145.09750998934342</v>
      </c>
      <c r="N591" s="83">
        <v>21645560.451248735</v>
      </c>
      <c r="O591" s="83" t="s">
        <v>1640</v>
      </c>
      <c r="P591" s="84">
        <f t="shared" si="14"/>
        <v>-3.7681556590847265E-3</v>
      </c>
    </row>
    <row r="592" spans="2:16" ht="15" customHeight="1">
      <c r="B592" s="83">
        <v>445.2030442335448</v>
      </c>
      <c r="C592" s="83">
        <v>446.70797255681225</v>
      </c>
      <c r="D592" s="83">
        <v>443.1571286045276</v>
      </c>
      <c r="E592" s="83">
        <v>446.29485497787613</v>
      </c>
      <c r="F592" s="83">
        <v>7220171.9125122745</v>
      </c>
      <c r="G592" s="83" t="s">
        <v>1639</v>
      </c>
      <c r="H592" s="84">
        <f t="shared" si="13"/>
        <v>-2.4463888215459084E-3</v>
      </c>
      <c r="J592" s="83">
        <v>144.07359634663979</v>
      </c>
      <c r="K592" s="83">
        <v>145.80331453916824</v>
      </c>
      <c r="L592" s="83">
        <v>143.0596236130886</v>
      </c>
      <c r="M592" s="83">
        <v>143.1888554320706</v>
      </c>
      <c r="N592" s="83">
        <v>29428338.546633955</v>
      </c>
      <c r="O592" s="83" t="s">
        <v>1639</v>
      </c>
      <c r="P592" s="84">
        <f t="shared" si="14"/>
        <v>6.1788392113304447E-3</v>
      </c>
    </row>
    <row r="593" spans="2:16" ht="15" customHeight="1">
      <c r="B593" s="83">
        <v>446.83584228362582</v>
      </c>
      <c r="C593" s="83">
        <v>448.40962353671603</v>
      </c>
      <c r="D593" s="83">
        <v>442.32105731382342</v>
      </c>
      <c r="E593" s="83">
        <v>442.63581356444143</v>
      </c>
      <c r="F593" s="83">
        <v>6357663.2269279826</v>
      </c>
      <c r="G593" s="83" t="s">
        <v>1638</v>
      </c>
      <c r="H593" s="84">
        <f t="shared" si="13"/>
        <v>9.488678029377029E-3</v>
      </c>
      <c r="J593" s="83">
        <v>142.69180997444747</v>
      </c>
      <c r="K593" s="83">
        <v>143.0298008856312</v>
      </c>
      <c r="L593" s="83">
        <v>137.35354175957508</v>
      </c>
      <c r="M593" s="83">
        <v>140.0574690490449</v>
      </c>
      <c r="N593" s="83">
        <v>42386592.970283888</v>
      </c>
      <c r="O593" s="83" t="s">
        <v>1638</v>
      </c>
      <c r="P593" s="84">
        <f t="shared" si="14"/>
        <v>1.880899992902263E-2</v>
      </c>
    </row>
    <row r="594" spans="2:16" ht="15" customHeight="1">
      <c r="B594" s="83">
        <v>442.29154891532801</v>
      </c>
      <c r="C594" s="83">
        <v>442.29154891532801</v>
      </c>
      <c r="D594" s="83">
        <v>437.36384308924602</v>
      </c>
      <c r="E594" s="83">
        <v>438.05217566481639</v>
      </c>
      <c r="F594" s="83">
        <v>6240623.3272352358</v>
      </c>
      <c r="G594" s="83" t="s">
        <v>1637</v>
      </c>
      <c r="H594" s="84">
        <f t="shared" si="13"/>
        <v>9.6777815201527506E-3</v>
      </c>
      <c r="J594" s="83">
        <v>141.8667145147931</v>
      </c>
      <c r="K594" s="83">
        <v>143.76542816291345</v>
      </c>
      <c r="L594" s="83">
        <v>141.41937360293227</v>
      </c>
      <c r="M594" s="83">
        <v>142.84092361173441</v>
      </c>
      <c r="N594" s="83">
        <v>25678591.976345051</v>
      </c>
      <c r="O594" s="83" t="s">
        <v>1637</v>
      </c>
      <c r="P594" s="84">
        <f t="shared" si="14"/>
        <v>-6.8202380123876249E-3</v>
      </c>
    </row>
    <row r="595" spans="2:16" ht="15" customHeight="1">
      <c r="B595" s="83">
        <v>436.54724734154888</v>
      </c>
      <c r="C595" s="83">
        <v>442.09974432510762</v>
      </c>
      <c r="D595" s="83">
        <v>436.47839441172619</v>
      </c>
      <c r="E595" s="83">
        <v>441.68170867975556</v>
      </c>
      <c r="F595" s="83">
        <v>7226460.9695083257</v>
      </c>
      <c r="G595" s="83" t="s">
        <v>1636</v>
      </c>
      <c r="H595" s="84">
        <f t="shared" si="13"/>
        <v>-1.1624799572421129E-2</v>
      </c>
      <c r="J595" s="83">
        <v>140.96209178191901</v>
      </c>
      <c r="K595" s="83">
        <v>144.72969635070231</v>
      </c>
      <c r="L595" s="83">
        <v>140.71356905310745</v>
      </c>
      <c r="M595" s="83">
        <v>144.53087816765304</v>
      </c>
      <c r="N595" s="83">
        <v>44169585.826184727</v>
      </c>
      <c r="O595" s="83" t="s">
        <v>1636</v>
      </c>
      <c r="P595" s="84">
        <f t="shared" si="14"/>
        <v>-2.4692207166930102E-2</v>
      </c>
    </row>
    <row r="596" spans="2:16" ht="15" customHeight="1">
      <c r="B596" s="83">
        <v>443.77680497293187</v>
      </c>
      <c r="C596" s="83">
        <v>444.40631747416791</v>
      </c>
      <c r="D596" s="83">
        <v>443.05876727620944</v>
      </c>
      <c r="E596" s="83">
        <v>443.45221258948197</v>
      </c>
      <c r="F596" s="83">
        <v>3466761.8446255634</v>
      </c>
      <c r="G596" s="83" t="s">
        <v>1635</v>
      </c>
      <c r="H596" s="84">
        <f t="shared" si="13"/>
        <v>7.3196699494282313E-4</v>
      </c>
      <c r="J596" s="83">
        <v>152.14561457843939</v>
      </c>
      <c r="K596" s="83">
        <v>154.12385549977941</v>
      </c>
      <c r="L596" s="83">
        <v>151.87223957674667</v>
      </c>
      <c r="M596" s="83">
        <v>153.09994185707578</v>
      </c>
      <c r="N596" s="83">
        <v>26736924.754428413</v>
      </c>
      <c r="O596" s="83" t="s">
        <v>1635</v>
      </c>
      <c r="P596" s="84">
        <f t="shared" si="14"/>
        <v>-6.2333614700342821E-3</v>
      </c>
    </row>
    <row r="597" spans="2:16" ht="15" customHeight="1">
      <c r="B597" s="83">
        <v>444.09156122354989</v>
      </c>
      <c r="C597" s="83">
        <v>444.20939809487498</v>
      </c>
      <c r="D597" s="83">
        <v>440.37468334906418</v>
      </c>
      <c r="E597" s="83">
        <v>440.88498192037866</v>
      </c>
      <c r="F597" s="83">
        <v>4618941.2828032468</v>
      </c>
      <c r="G597" s="83" t="s">
        <v>1634</v>
      </c>
      <c r="H597" s="84">
        <f t="shared" si="13"/>
        <v>7.2730517814514339E-3</v>
      </c>
      <c r="J597" s="83">
        <v>153.92503731673017</v>
      </c>
      <c r="K597" s="83">
        <v>154.2829100462188</v>
      </c>
      <c r="L597" s="83">
        <v>152.01638275945734</v>
      </c>
      <c r="M597" s="83">
        <v>152.73212821843464</v>
      </c>
      <c r="N597" s="83">
        <v>21033547.01196558</v>
      </c>
      <c r="O597" s="83" t="s">
        <v>1634</v>
      </c>
      <c r="P597" s="84">
        <f t="shared" si="14"/>
        <v>7.8104660244728841E-3</v>
      </c>
    </row>
    <row r="598" spans="2:16" ht="15" customHeight="1">
      <c r="B598" s="83">
        <v>440.88498192037866</v>
      </c>
      <c r="C598" s="83">
        <v>442.14400692285079</v>
      </c>
      <c r="D598" s="83">
        <v>439.83251570737463</v>
      </c>
      <c r="E598" s="83">
        <v>440.75711219356509</v>
      </c>
      <c r="F598" s="83">
        <v>6510712.1970609371</v>
      </c>
      <c r="G598" s="83" t="s">
        <v>1633</v>
      </c>
      <c r="H598" s="84">
        <f t="shared" si="13"/>
        <v>2.9011381388088786E-4</v>
      </c>
      <c r="J598" s="83">
        <v>152.88124185572158</v>
      </c>
      <c r="K598" s="83">
        <v>153.1993509486004</v>
      </c>
      <c r="L598" s="83">
        <v>151.89709184962783</v>
      </c>
      <c r="M598" s="83">
        <v>151.96667821369505</v>
      </c>
      <c r="N598" s="83">
        <v>19610367.322561081</v>
      </c>
      <c r="O598" s="83" t="s">
        <v>1633</v>
      </c>
      <c r="P598" s="84">
        <f t="shared" si="14"/>
        <v>6.0181853862757428E-3</v>
      </c>
    </row>
    <row r="599" spans="2:16" ht="15" customHeight="1">
      <c r="B599" s="83">
        <v>441.15055750683763</v>
      </c>
      <c r="C599" s="83">
        <v>441.40629696046477</v>
      </c>
      <c r="D599" s="83">
        <v>438.79972176003417</v>
      </c>
      <c r="E599" s="83">
        <v>440.79645672489232</v>
      </c>
      <c r="F599" s="83">
        <v>4236476.9480565209</v>
      </c>
      <c r="G599" s="83" t="s">
        <v>1632</v>
      </c>
      <c r="H599" s="84">
        <f t="shared" si="13"/>
        <v>8.033203909492137E-4</v>
      </c>
      <c r="J599" s="83">
        <v>152.73212821843464</v>
      </c>
      <c r="K599" s="83">
        <v>153.84551004351044</v>
      </c>
      <c r="L599" s="83">
        <v>150.32642820353871</v>
      </c>
      <c r="M599" s="83">
        <v>150.84335547946679</v>
      </c>
      <c r="N599" s="83">
        <v>21622891.498485576</v>
      </c>
      <c r="O599" s="83" t="s">
        <v>1632</v>
      </c>
      <c r="P599" s="84">
        <f t="shared" si="14"/>
        <v>1.2521418215368119E-2</v>
      </c>
    </row>
    <row r="600" spans="2:16" ht="15" customHeight="1">
      <c r="B600" s="83">
        <v>438.68168816605242</v>
      </c>
      <c r="C600" s="83">
        <v>441.82885722691947</v>
      </c>
      <c r="D600" s="83">
        <v>438.44562097808887</v>
      </c>
      <c r="E600" s="83">
        <v>440.97350711586495</v>
      </c>
      <c r="F600" s="83">
        <v>4644308.9760081377</v>
      </c>
      <c r="G600" s="83" t="s">
        <v>1631</v>
      </c>
      <c r="H600" s="84">
        <f t="shared" si="13"/>
        <v>-5.1971805852961683E-3</v>
      </c>
      <c r="J600" s="83">
        <v>149.46156910727447</v>
      </c>
      <c r="K600" s="83">
        <v>150.6743600238749</v>
      </c>
      <c r="L600" s="83">
        <v>148.95458274049889</v>
      </c>
      <c r="M600" s="83">
        <v>149.4019236523597</v>
      </c>
      <c r="N600" s="83">
        <v>19359427.497868884</v>
      </c>
      <c r="O600" s="83" t="s">
        <v>1631</v>
      </c>
      <c r="P600" s="84">
        <f t="shared" si="14"/>
        <v>3.9922815889270602E-4</v>
      </c>
    </row>
    <row r="601" spans="2:16" ht="15" customHeight="1">
      <c r="B601" s="83">
        <v>438.3177512512753</v>
      </c>
      <c r="C601" s="83">
        <v>438.51447390791157</v>
      </c>
      <c r="D601" s="83">
        <v>436.50790281022159</v>
      </c>
      <c r="E601" s="83">
        <v>437.54069675756205</v>
      </c>
      <c r="F601" s="83">
        <v>3305756.4955642079</v>
      </c>
      <c r="G601" s="83" t="s">
        <v>1630</v>
      </c>
      <c r="H601" s="84">
        <f t="shared" si="13"/>
        <v>1.7759593552593156E-3</v>
      </c>
      <c r="J601" s="83">
        <v>147.80143727881324</v>
      </c>
      <c r="K601" s="83">
        <v>147.98037364355758</v>
      </c>
      <c r="L601" s="83">
        <v>146.3202418150963</v>
      </c>
      <c r="M601" s="83">
        <v>146.84711000017683</v>
      </c>
      <c r="N601" s="83">
        <v>14197543.487764176</v>
      </c>
      <c r="O601" s="83" t="s">
        <v>1630</v>
      </c>
      <c r="P601" s="84">
        <f t="shared" si="14"/>
        <v>6.498781478472937E-3</v>
      </c>
    </row>
    <row r="602" spans="2:16" ht="15" customHeight="1">
      <c r="B602" s="83">
        <v>437.01938171747594</v>
      </c>
      <c r="C602" s="83">
        <v>438.61283523622973</v>
      </c>
      <c r="D602" s="83">
        <v>436.40954148190349</v>
      </c>
      <c r="E602" s="83">
        <v>437.48167996057117</v>
      </c>
      <c r="F602" s="83">
        <v>5968211.3899611058</v>
      </c>
      <c r="G602" s="83" t="s">
        <v>1629</v>
      </c>
      <c r="H602" s="84">
        <f t="shared" si="13"/>
        <v>-1.0567259482429092E-3</v>
      </c>
      <c r="J602" s="83">
        <v>146.83716909102438</v>
      </c>
      <c r="K602" s="83">
        <v>149.12854865066697</v>
      </c>
      <c r="L602" s="83">
        <v>146.70793727204236</v>
      </c>
      <c r="M602" s="83">
        <v>147.83126000627064</v>
      </c>
      <c r="N602" s="83">
        <v>21958989.530240785</v>
      </c>
      <c r="O602" s="83" t="s">
        <v>1629</v>
      </c>
      <c r="P602" s="84">
        <f t="shared" si="14"/>
        <v>-6.7244973438236322E-3</v>
      </c>
    </row>
    <row r="603" spans="2:16" ht="15" customHeight="1">
      <c r="B603" s="83">
        <v>436.02593230146277</v>
      </c>
      <c r="C603" s="83">
        <v>436.34068855208079</v>
      </c>
      <c r="D603" s="83">
        <v>431.1275381512196</v>
      </c>
      <c r="E603" s="83">
        <v>431.80623131661474</v>
      </c>
      <c r="F603" s="83">
        <v>4917381.7420969186</v>
      </c>
      <c r="G603" s="83" t="s">
        <v>1628</v>
      </c>
      <c r="H603" s="84">
        <f t="shared" si="13"/>
        <v>9.7722095671981535E-3</v>
      </c>
      <c r="J603" s="83">
        <v>147.09563272898839</v>
      </c>
      <c r="K603" s="83">
        <v>147.16521909305561</v>
      </c>
      <c r="L603" s="83">
        <v>144.93845544290403</v>
      </c>
      <c r="M603" s="83">
        <v>145.44047135510337</v>
      </c>
      <c r="N603" s="83">
        <v>27342601.751135349</v>
      </c>
      <c r="O603" s="83" t="s">
        <v>1628</v>
      </c>
      <c r="P603" s="84">
        <f t="shared" si="14"/>
        <v>1.1380335600287061E-2</v>
      </c>
    </row>
    <row r="604" spans="2:16" ht="15" customHeight="1">
      <c r="B604" s="83">
        <v>430.7537651036107</v>
      </c>
      <c r="C604" s="83">
        <v>431.20622721387412</v>
      </c>
      <c r="D604" s="83">
        <v>427.04554302601701</v>
      </c>
      <c r="E604" s="83">
        <v>428.44227388813448</v>
      </c>
      <c r="F604" s="83">
        <v>4403442.9730260307</v>
      </c>
      <c r="G604" s="83" t="s">
        <v>1627</v>
      </c>
      <c r="H604" s="84">
        <f t="shared" si="13"/>
        <v>5.395105376739151E-3</v>
      </c>
      <c r="J604" s="83">
        <v>144.13324180155456</v>
      </c>
      <c r="K604" s="83">
        <v>144.72472589612607</v>
      </c>
      <c r="L604" s="83">
        <v>142.50293270055067</v>
      </c>
      <c r="M604" s="83">
        <v>142.59240088292285</v>
      </c>
      <c r="N604" s="83">
        <v>18989007.655626606</v>
      </c>
      <c r="O604" s="83" t="s">
        <v>1627</v>
      </c>
      <c r="P604" s="84">
        <f t="shared" si="14"/>
        <v>1.0805911879531616E-2</v>
      </c>
    </row>
    <row r="605" spans="2:16" ht="15" customHeight="1">
      <c r="B605" s="83">
        <v>426.95701783053067</v>
      </c>
      <c r="C605" s="83">
        <v>427.36029927663503</v>
      </c>
      <c r="D605" s="83">
        <v>424.73405181054079</v>
      </c>
      <c r="E605" s="83">
        <v>426.49471958743544</v>
      </c>
      <c r="F605" s="83">
        <v>6145312.4956279369</v>
      </c>
      <c r="G605" s="83" t="s">
        <v>1626</v>
      </c>
      <c r="H605" s="84">
        <f t="shared" si="13"/>
        <v>1.0839483394833316E-3</v>
      </c>
      <c r="J605" s="83">
        <v>142.04565087953739</v>
      </c>
      <c r="K605" s="83">
        <v>142.56257815546547</v>
      </c>
      <c r="L605" s="83">
        <v>139.67971450125131</v>
      </c>
      <c r="M605" s="83">
        <v>142.06553269784234</v>
      </c>
      <c r="N605" s="83">
        <v>17990857.501770508</v>
      </c>
      <c r="O605" s="83" t="s">
        <v>1626</v>
      </c>
      <c r="P605" s="84">
        <f t="shared" si="14"/>
        <v>-1.3994821915908062E-4</v>
      </c>
    </row>
    <row r="606" spans="2:16" ht="15" customHeight="1">
      <c r="B606" s="83">
        <v>429.34719810866136</v>
      </c>
      <c r="C606" s="83">
        <v>430.80294576776976</v>
      </c>
      <c r="D606" s="83">
        <v>427.61603873026218</v>
      </c>
      <c r="E606" s="83">
        <v>429.63244596078397</v>
      </c>
      <c r="F606" s="83">
        <v>5826313.1435806062</v>
      </c>
      <c r="G606" s="83" t="s">
        <v>1625</v>
      </c>
      <c r="H606" s="84">
        <f t="shared" si="13"/>
        <v>-6.6393461388769559E-4</v>
      </c>
      <c r="J606" s="83">
        <v>143.22861906868047</v>
      </c>
      <c r="K606" s="83">
        <v>144.97821907951388</v>
      </c>
      <c r="L606" s="83">
        <v>142.21106760783439</v>
      </c>
      <c r="M606" s="83">
        <v>142.5824599737704</v>
      </c>
      <c r="N606" s="83">
        <v>19313061.517360367</v>
      </c>
      <c r="O606" s="83" t="s">
        <v>1625</v>
      </c>
      <c r="P606" s="84">
        <f t="shared" si="14"/>
        <v>4.5318273722374514E-3</v>
      </c>
    </row>
    <row r="607" spans="2:16" ht="15" customHeight="1">
      <c r="B607" s="83">
        <v>430.81278190060158</v>
      </c>
      <c r="C607" s="83">
        <v>432.59312194315982</v>
      </c>
      <c r="D607" s="83">
        <v>429.57342916379309</v>
      </c>
      <c r="E607" s="83">
        <v>431.91442877776473</v>
      </c>
      <c r="F607" s="83">
        <v>5269010.787692301</v>
      </c>
      <c r="G607" s="83" t="s">
        <v>1624</v>
      </c>
      <c r="H607" s="84">
        <f t="shared" si="13"/>
        <v>-2.5506137414316177E-3</v>
      </c>
      <c r="J607" s="83">
        <v>143.38767361511987</v>
      </c>
      <c r="K607" s="83">
        <v>143.884719072743</v>
      </c>
      <c r="L607" s="83">
        <v>142.51287360970318</v>
      </c>
      <c r="M607" s="83">
        <v>143.48708270664449</v>
      </c>
      <c r="N607" s="83">
        <v>14081940.37919786</v>
      </c>
      <c r="O607" s="83" t="s">
        <v>1624</v>
      </c>
      <c r="P607" s="84">
        <f t="shared" si="14"/>
        <v>-6.9280864625187455E-4</v>
      </c>
    </row>
    <row r="608" spans="2:16" ht="15" customHeight="1">
      <c r="B608" s="83">
        <v>430.61605924396531</v>
      </c>
      <c r="C608" s="83">
        <v>432.15541403214417</v>
      </c>
      <c r="D608" s="83">
        <v>426.88816490070798</v>
      </c>
      <c r="E608" s="83">
        <v>431.74721451962387</v>
      </c>
      <c r="F608" s="83">
        <v>4876496.7716643009</v>
      </c>
      <c r="G608" s="83" t="s">
        <v>1623</v>
      </c>
      <c r="H608" s="84">
        <f t="shared" si="13"/>
        <v>-2.6199480566819755E-3</v>
      </c>
      <c r="J608" s="83">
        <v>142.82104179342949</v>
      </c>
      <c r="K608" s="83">
        <v>145.79337363001579</v>
      </c>
      <c r="L608" s="83">
        <v>141.37463951174618</v>
      </c>
      <c r="M608" s="83">
        <v>144.03880316460618</v>
      </c>
      <c r="N608" s="83">
        <v>17574982.058529392</v>
      </c>
      <c r="O608" s="83" t="s">
        <v>1623</v>
      </c>
      <c r="P608" s="84">
        <f t="shared" si="14"/>
        <v>-8.4543980123539253E-3</v>
      </c>
    </row>
    <row r="609" spans="2:16" ht="15" customHeight="1">
      <c r="B609" s="83">
        <v>430.76360123644253</v>
      </c>
      <c r="C609" s="83">
        <v>431.54557379657172</v>
      </c>
      <c r="D609" s="83">
        <v>428.34391255981637</v>
      </c>
      <c r="E609" s="83">
        <v>428.62916041193893</v>
      </c>
      <c r="F609" s="83">
        <v>4350125.2709405348</v>
      </c>
      <c r="G609" s="83" t="s">
        <v>1622</v>
      </c>
      <c r="H609" s="84">
        <f t="shared" si="13"/>
        <v>4.9796911214632367E-3</v>
      </c>
      <c r="J609" s="83">
        <v>142.95027361241151</v>
      </c>
      <c r="K609" s="83">
        <v>143.67098952596504</v>
      </c>
      <c r="L609" s="83">
        <v>141.61819178598154</v>
      </c>
      <c r="M609" s="83">
        <v>141.67783724089631</v>
      </c>
      <c r="N609" s="83">
        <v>16740803.828669421</v>
      </c>
      <c r="O609" s="83" t="s">
        <v>1622</v>
      </c>
      <c r="P609" s="84">
        <f t="shared" si="14"/>
        <v>8.981195621666993E-3</v>
      </c>
    </row>
    <row r="610" spans="2:16" ht="15" customHeight="1">
      <c r="B610" s="83">
        <v>427.94063111371202</v>
      </c>
      <c r="C610" s="83">
        <v>429.27834517883866</v>
      </c>
      <c r="D610" s="83">
        <v>426.06517566667014</v>
      </c>
      <c r="E610" s="83">
        <v>426.51439185309908</v>
      </c>
      <c r="F610" s="83">
        <v>8071837.922237711</v>
      </c>
      <c r="G610" s="83" t="s">
        <v>1621</v>
      </c>
      <c r="H610" s="84">
        <f t="shared" si="13"/>
        <v>3.3439417001059901E-3</v>
      </c>
      <c r="J610" s="83">
        <v>141.71760087750616</v>
      </c>
      <c r="K610" s="83">
        <v>141.95598387898221</v>
      </c>
      <c r="L610" s="83">
        <v>138.96396904227402</v>
      </c>
      <c r="M610" s="83">
        <v>139.23237358939051</v>
      </c>
      <c r="N610" s="83">
        <v>19696052.64438992</v>
      </c>
      <c r="O610" s="83" t="s">
        <v>1621</v>
      </c>
      <c r="P610" s="84">
        <f t="shared" si="14"/>
        <v>1.7849493074396872E-2</v>
      </c>
    </row>
    <row r="611" spans="2:16" ht="15" customHeight="1">
      <c r="B611" s="83">
        <v>428.98326119388423</v>
      </c>
      <c r="C611" s="83">
        <v>429.12096705352963</v>
      </c>
      <c r="D611" s="83">
        <v>423.31764868275968</v>
      </c>
      <c r="E611" s="83">
        <v>423.39633774541414</v>
      </c>
      <c r="F611" s="83">
        <v>7342684.4914500499</v>
      </c>
      <c r="G611" s="83" t="s">
        <v>1620</v>
      </c>
      <c r="H611" s="84">
        <f t="shared" si="13"/>
        <v>1.3195493088628218E-2</v>
      </c>
      <c r="J611" s="83">
        <v>139.69959631955626</v>
      </c>
      <c r="K611" s="83">
        <v>139.80894632023333</v>
      </c>
      <c r="L611" s="83">
        <v>137.06525539415367</v>
      </c>
      <c r="M611" s="83">
        <v>137.18454630398324</v>
      </c>
      <c r="N611" s="83">
        <v>17750180.31990457</v>
      </c>
      <c r="O611" s="83" t="s">
        <v>1620</v>
      </c>
      <c r="P611" s="84">
        <f t="shared" si="14"/>
        <v>1.8333333333333313E-2</v>
      </c>
    </row>
    <row r="612" spans="2:16" ht="15" customHeight="1">
      <c r="B612" s="83">
        <v>422.93403950231897</v>
      </c>
      <c r="C612" s="83">
        <v>425.21602231929967</v>
      </c>
      <c r="D612" s="83">
        <v>421.61599770285591</v>
      </c>
      <c r="E612" s="83">
        <v>422.5504303218782</v>
      </c>
      <c r="F612" s="83">
        <v>5819978.3368973872</v>
      </c>
      <c r="G612" s="83" t="s">
        <v>1619</v>
      </c>
      <c r="H612" s="84">
        <f t="shared" si="13"/>
        <v>9.0784236132135376E-4</v>
      </c>
      <c r="J612" s="83">
        <v>136.57815084568298</v>
      </c>
      <c r="K612" s="83">
        <v>137.98975994533271</v>
      </c>
      <c r="L612" s="83">
        <v>136.04134175145003</v>
      </c>
      <c r="M612" s="83">
        <v>137.53446630614991</v>
      </c>
      <c r="N612" s="83">
        <v>15531250.475390723</v>
      </c>
      <c r="O612" s="83" t="s">
        <v>1619</v>
      </c>
      <c r="P612" s="84">
        <f t="shared" si="14"/>
        <v>-6.9532785937321817E-3</v>
      </c>
    </row>
    <row r="613" spans="2:16" ht="15" customHeight="1">
      <c r="B613" s="83">
        <v>422.39305219656916</v>
      </c>
      <c r="C613" s="83">
        <v>425.68815669522667</v>
      </c>
      <c r="D613" s="83">
        <v>422.17665727426925</v>
      </c>
      <c r="E613" s="83">
        <v>423.27830415143239</v>
      </c>
      <c r="F613" s="83">
        <v>4010985.8899420621</v>
      </c>
      <c r="G613" s="83" t="s">
        <v>1618</v>
      </c>
      <c r="H613" s="84">
        <f t="shared" si="13"/>
        <v>-2.0914182139288862E-3</v>
      </c>
      <c r="J613" s="83">
        <v>137.22430994059306</v>
      </c>
      <c r="K613" s="83">
        <v>139.80397586565709</v>
      </c>
      <c r="L613" s="83">
        <v>137.19448721313569</v>
      </c>
      <c r="M613" s="83">
        <v>139.02361449718879</v>
      </c>
      <c r="N613" s="83">
        <v>18361832.62521648</v>
      </c>
      <c r="O613" s="83" t="s">
        <v>1618</v>
      </c>
      <c r="P613" s="84">
        <f t="shared" si="14"/>
        <v>-1.2942438326778771E-2</v>
      </c>
    </row>
    <row r="614" spans="2:16" ht="15" customHeight="1">
      <c r="B614" s="83">
        <v>423.73076626169586</v>
      </c>
      <c r="C614" s="83">
        <v>425.90455161752664</v>
      </c>
      <c r="D614" s="83">
        <v>423.19961508877788</v>
      </c>
      <c r="E614" s="83">
        <v>425.23569458496331</v>
      </c>
      <c r="F614" s="83">
        <v>4885099.7461713459</v>
      </c>
      <c r="G614" s="83" t="s">
        <v>1617</v>
      </c>
      <c r="H614" s="84">
        <f t="shared" si="13"/>
        <v>-3.5390451517394172E-3</v>
      </c>
      <c r="J614" s="83">
        <v>139.53060086396439</v>
      </c>
      <c r="K614" s="83">
        <v>140.25628723209417</v>
      </c>
      <c r="L614" s="83">
        <v>137.61200539753912</v>
      </c>
      <c r="M614" s="83">
        <v>137.78100085313096</v>
      </c>
      <c r="N614" s="83">
        <v>19087095.263615504</v>
      </c>
      <c r="O614" s="83" t="s">
        <v>1617</v>
      </c>
      <c r="P614" s="84">
        <f t="shared" si="14"/>
        <v>1.2698412698412875E-2</v>
      </c>
    </row>
    <row r="615" spans="2:16" ht="15" customHeight="1">
      <c r="B615" s="83">
        <v>426.8980010335398</v>
      </c>
      <c r="C615" s="83">
        <v>428.13735377034828</v>
      </c>
      <c r="D615" s="83">
        <v>425.27503911629054</v>
      </c>
      <c r="E615" s="83">
        <v>426.79963970522169</v>
      </c>
      <c r="F615" s="83">
        <v>9227245.2550100368</v>
      </c>
      <c r="G615" s="83" t="s">
        <v>1616</v>
      </c>
      <c r="H615" s="84">
        <f t="shared" si="13"/>
        <v>2.3046253831426888E-4</v>
      </c>
      <c r="J615" s="83">
        <v>138.73532813176737</v>
      </c>
      <c r="K615" s="83">
        <v>139.78379582007761</v>
      </c>
      <c r="L615" s="83">
        <v>136.9260826660192</v>
      </c>
      <c r="M615" s="83">
        <v>138.77509176837722</v>
      </c>
      <c r="N615" s="83">
        <v>20191196.491346881</v>
      </c>
      <c r="O615" s="83" t="s">
        <v>1616</v>
      </c>
      <c r="P615" s="84">
        <f t="shared" si="14"/>
        <v>-2.8653295128933109E-4</v>
      </c>
    </row>
    <row r="616" spans="2:16" ht="15" customHeight="1">
      <c r="B616" s="83">
        <v>429.64228209361579</v>
      </c>
      <c r="C616" s="83">
        <v>431.15704654971501</v>
      </c>
      <c r="D616" s="83">
        <v>427.81276138689844</v>
      </c>
      <c r="E616" s="83">
        <v>430.69474830661983</v>
      </c>
      <c r="F616" s="83">
        <v>4449802.6560231056</v>
      </c>
      <c r="G616" s="83" t="s">
        <v>1615</v>
      </c>
      <c r="H616" s="84">
        <f t="shared" si="13"/>
        <v>-2.4436476579806632E-3</v>
      </c>
      <c r="J616" s="83">
        <v>140.09723268565477</v>
      </c>
      <c r="K616" s="83">
        <v>140.59924859785411</v>
      </c>
      <c r="L616" s="83">
        <v>139.07331904295111</v>
      </c>
      <c r="M616" s="83">
        <v>139.84870995684321</v>
      </c>
      <c r="N616" s="83">
        <v>14969416.551114645</v>
      </c>
      <c r="O616" s="83" t="s">
        <v>1615</v>
      </c>
      <c r="P616" s="84">
        <f t="shared" si="14"/>
        <v>1.7770827409724355E-3</v>
      </c>
    </row>
    <row r="617" spans="2:16" ht="15" customHeight="1">
      <c r="B617" s="83">
        <v>430.79310963493799</v>
      </c>
      <c r="C617" s="83">
        <v>431.6488531913057</v>
      </c>
      <c r="D617" s="83">
        <v>430.48818951715174</v>
      </c>
      <c r="E617" s="83">
        <v>431.06852135422872</v>
      </c>
      <c r="F617" s="83">
        <v>4782016.5510440329</v>
      </c>
      <c r="G617" s="83" t="s">
        <v>1614</v>
      </c>
      <c r="H617" s="84">
        <f t="shared" si="13"/>
        <v>-6.3890473474037535E-4</v>
      </c>
      <c r="J617" s="83">
        <v>140.44516450599093</v>
      </c>
      <c r="K617" s="83">
        <v>141.42931451208474</v>
      </c>
      <c r="L617" s="83">
        <v>139.99613363957423</v>
      </c>
      <c r="M617" s="83">
        <v>141.01179632768131</v>
      </c>
      <c r="N617" s="83">
        <v>12265024.06671695</v>
      </c>
      <c r="O617" s="83" t="s">
        <v>1614</v>
      </c>
      <c r="P617" s="84">
        <f t="shared" si="14"/>
        <v>-4.0183292210081989E-3</v>
      </c>
    </row>
    <row r="618" spans="2:16" ht="15" customHeight="1">
      <c r="B618" s="83">
        <v>430.72425670511524</v>
      </c>
      <c r="C618" s="83">
        <v>430.84229029909699</v>
      </c>
      <c r="D618" s="83">
        <v>429.26850904600684</v>
      </c>
      <c r="E618" s="83">
        <v>429.73572535551796</v>
      </c>
      <c r="F618" s="83">
        <v>4342162.7920538438</v>
      </c>
      <c r="G618" s="83" t="s">
        <v>1613</v>
      </c>
      <c r="H618" s="84">
        <f t="shared" si="13"/>
        <v>2.3003238764462974E-3</v>
      </c>
      <c r="J618" s="83">
        <v>140.60421905243035</v>
      </c>
      <c r="K618" s="83">
        <v>142.4731099730933</v>
      </c>
      <c r="L618" s="83">
        <v>140.2177165045826</v>
      </c>
      <c r="M618" s="83">
        <v>141.98600542462265</v>
      </c>
      <c r="N618" s="83">
        <v>17391123.623453841</v>
      </c>
      <c r="O618" s="83" t="s">
        <v>1613</v>
      </c>
      <c r="P618" s="84">
        <f t="shared" si="14"/>
        <v>-9.7318490513197409E-3</v>
      </c>
    </row>
    <row r="619" spans="2:16" ht="15" customHeight="1">
      <c r="B619" s="83">
        <v>429.93736607857016</v>
      </c>
      <c r="C619" s="83">
        <v>430.74392897077888</v>
      </c>
      <c r="D619" s="83">
        <v>428.44227388813448</v>
      </c>
      <c r="E619" s="83">
        <v>428.52647118517484</v>
      </c>
      <c r="F619" s="83">
        <v>3899740.9506239491</v>
      </c>
      <c r="G619" s="83" t="s">
        <v>1612</v>
      </c>
      <c r="H619" s="84">
        <f t="shared" si="13"/>
        <v>3.2924334627291163E-3</v>
      </c>
      <c r="J619" s="83">
        <v>141.97606451547017</v>
      </c>
      <c r="K619" s="83">
        <v>143.09441679512221</v>
      </c>
      <c r="L619" s="83">
        <v>141.6580548316829</v>
      </c>
      <c r="M619" s="83">
        <v>142.13511906190956</v>
      </c>
      <c r="N619" s="83">
        <v>11236463.213460675</v>
      </c>
      <c r="O619" s="83" t="s">
        <v>1612</v>
      </c>
      <c r="P619" s="84">
        <f t="shared" si="14"/>
        <v>-1.119037627640207E-3</v>
      </c>
    </row>
    <row r="620" spans="2:16" ht="15" customHeight="1">
      <c r="B620" s="83">
        <v>428.15702603601193</v>
      </c>
      <c r="C620" s="83">
        <v>429.67965939837666</v>
      </c>
      <c r="D620" s="83">
        <v>426.37668599345369</v>
      </c>
      <c r="E620" s="83">
        <v>428.32424029415273</v>
      </c>
      <c r="F620" s="83">
        <v>4105098.0797455548</v>
      </c>
      <c r="G620" s="83" t="s">
        <v>1611</v>
      </c>
      <c r="H620" s="84">
        <f t="shared" si="13"/>
        <v>-3.9039176962285538E-4</v>
      </c>
      <c r="J620" s="83">
        <v>141.87665542394555</v>
      </c>
      <c r="K620" s="83">
        <v>142.40352360902605</v>
      </c>
      <c r="L620" s="83">
        <v>141.21558496530679</v>
      </c>
      <c r="M620" s="83">
        <v>141.29014178395025</v>
      </c>
      <c r="N620" s="83">
        <v>18623572.266942855</v>
      </c>
      <c r="O620" s="83" t="s">
        <v>1611</v>
      </c>
      <c r="P620" s="84">
        <f t="shared" si="14"/>
        <v>4.1511292478717543E-3</v>
      </c>
    </row>
    <row r="621" spans="2:16" ht="15" customHeight="1">
      <c r="B621" s="83">
        <v>427.16357661999871</v>
      </c>
      <c r="C621" s="83">
        <v>427.51767740194401</v>
      </c>
      <c r="D621" s="83">
        <v>423.79489784775927</v>
      </c>
      <c r="E621" s="83">
        <v>426.03242134434021</v>
      </c>
      <c r="F621" s="83">
        <v>4698600.6381004583</v>
      </c>
      <c r="G621" s="83" t="s">
        <v>1610</v>
      </c>
      <c r="H621" s="84">
        <f t="shared" si="13"/>
        <v>2.6550920047097026E-3</v>
      </c>
      <c r="J621" s="83">
        <v>140.96209178191901</v>
      </c>
      <c r="K621" s="83">
        <v>141.19073269242563</v>
      </c>
      <c r="L621" s="83">
        <v>139.6424360919296</v>
      </c>
      <c r="M621" s="83">
        <v>139.93817813921535</v>
      </c>
      <c r="N621" s="83">
        <v>18209074.967268884</v>
      </c>
      <c r="O621" s="83" t="s">
        <v>1610</v>
      </c>
      <c r="P621" s="84">
        <f t="shared" si="14"/>
        <v>7.3168999076509422E-3</v>
      </c>
    </row>
    <row r="622" spans="2:16" ht="15" customHeight="1">
      <c r="B622" s="83">
        <v>423.04223696346884</v>
      </c>
      <c r="C622" s="83">
        <v>430.13900680162237</v>
      </c>
      <c r="D622" s="83">
        <v>422.85535043966439</v>
      </c>
      <c r="E622" s="83">
        <v>428.37342095831178</v>
      </c>
      <c r="F622" s="83">
        <v>5879581.0293400744</v>
      </c>
      <c r="G622" s="83" t="s">
        <v>1609</v>
      </c>
      <c r="H622" s="84">
        <f t="shared" si="13"/>
        <v>-1.2445179215173074E-2</v>
      </c>
      <c r="J622" s="83">
        <v>138.834737223292</v>
      </c>
      <c r="K622" s="83">
        <v>142.23283819887828</v>
      </c>
      <c r="L622" s="83">
        <v>138.58621449448043</v>
      </c>
      <c r="M622" s="83">
        <v>139.50077813650702</v>
      </c>
      <c r="N622" s="83">
        <v>33706516.663719431</v>
      </c>
      <c r="O622" s="83" t="s">
        <v>1609</v>
      </c>
      <c r="P622" s="84">
        <f t="shared" si="14"/>
        <v>-4.7744602009551773E-3</v>
      </c>
    </row>
    <row r="623" spans="2:16" ht="15" customHeight="1">
      <c r="B623" s="83">
        <v>429.23791867290009</v>
      </c>
      <c r="C623" s="83">
        <v>429.2673057825105</v>
      </c>
      <c r="D623" s="83">
        <v>427.04368115532253</v>
      </c>
      <c r="E623" s="83">
        <v>427.13184248415382</v>
      </c>
      <c r="F623" s="83">
        <v>4146213.8201173837</v>
      </c>
      <c r="G623" s="83" t="s">
        <v>1608</v>
      </c>
      <c r="H623" s="84">
        <f t="shared" si="13"/>
        <v>4.9307402990550475E-3</v>
      </c>
      <c r="J623" s="83">
        <v>137.28395539550783</v>
      </c>
      <c r="K623" s="83">
        <v>137.94999630872286</v>
      </c>
      <c r="L623" s="83">
        <v>136.63779630059778</v>
      </c>
      <c r="M623" s="83">
        <v>137.18454630398324</v>
      </c>
      <c r="N623" s="83">
        <v>20783813.314380683</v>
      </c>
      <c r="O623" s="83" t="s">
        <v>1608</v>
      </c>
      <c r="P623" s="84">
        <f t="shared" si="14"/>
        <v>7.2463768115915705E-4</v>
      </c>
    </row>
    <row r="624" spans="2:16" ht="15" customHeight="1">
      <c r="B624" s="83">
        <v>426.64205732398028</v>
      </c>
      <c r="C624" s="83">
        <v>427.48448779947876</v>
      </c>
      <c r="D624" s="83">
        <v>425.57432567480186</v>
      </c>
      <c r="E624" s="83">
        <v>425.76044403566783</v>
      </c>
      <c r="F624" s="83">
        <v>4369747.5424563875</v>
      </c>
      <c r="G624" s="83" t="s">
        <v>1607</v>
      </c>
      <c r="H624" s="84">
        <f t="shared" ref="H624:H687" si="15">B624/E624-1</f>
        <v>2.0706791827720394E-3</v>
      </c>
      <c r="J624" s="83">
        <v>136.37933266263374</v>
      </c>
      <c r="K624" s="83">
        <v>137.5623008517768</v>
      </c>
      <c r="L624" s="83">
        <v>132.97954173249158</v>
      </c>
      <c r="M624" s="83">
        <v>133.06900991486376</v>
      </c>
      <c r="N624" s="83">
        <v>25852531.801514026</v>
      </c>
      <c r="O624" s="83" t="s">
        <v>1607</v>
      </c>
      <c r="P624" s="84">
        <f t="shared" ref="P624:P687" si="16">J624/M624-1</f>
        <v>2.4876736889287043E-2</v>
      </c>
    </row>
    <row r="625" spans="2:16" ht="15" customHeight="1">
      <c r="B625" s="83">
        <v>424.24211003912978</v>
      </c>
      <c r="C625" s="83">
        <v>425.37841161073248</v>
      </c>
      <c r="D625" s="83">
        <v>423.40947526683476</v>
      </c>
      <c r="E625" s="83">
        <v>424.34006707116453</v>
      </c>
      <c r="F625" s="83">
        <v>5437119.6119056791</v>
      </c>
      <c r="G625" s="83" t="s">
        <v>1606</v>
      </c>
      <c r="H625" s="84">
        <f t="shared" si="15"/>
        <v>-2.3084558738661887E-4</v>
      </c>
      <c r="J625" s="83">
        <v>133.0491280965588</v>
      </c>
      <c r="K625" s="83">
        <v>134.03327810265262</v>
      </c>
      <c r="L625" s="83">
        <v>131.84627808911083</v>
      </c>
      <c r="M625" s="83">
        <v>132.13456445453224</v>
      </c>
      <c r="N625" s="83">
        <v>58942299.040611543</v>
      </c>
      <c r="O625" s="83" t="s">
        <v>1606</v>
      </c>
      <c r="P625" s="84">
        <f t="shared" si="16"/>
        <v>6.9214565151971552E-3</v>
      </c>
    </row>
    <row r="626" spans="2:16" ht="15" customHeight="1">
      <c r="B626" s="83">
        <v>424.88862645055889</v>
      </c>
      <c r="C626" s="83">
        <v>426.46984886166319</v>
      </c>
      <c r="D626" s="83">
        <v>422.42990494648768</v>
      </c>
      <c r="E626" s="83">
        <v>425.34902450112207</v>
      </c>
      <c r="F626" s="83">
        <v>8523270.6897872202</v>
      </c>
      <c r="G626" s="83" t="s">
        <v>1605</v>
      </c>
      <c r="H626" s="84">
        <f t="shared" si="15"/>
        <v>-1.082400626410629E-3</v>
      </c>
      <c r="J626" s="83">
        <v>132.41290991080118</v>
      </c>
      <c r="K626" s="83">
        <v>134.23706674027807</v>
      </c>
      <c r="L626" s="83">
        <v>130.28555535217421</v>
      </c>
      <c r="M626" s="83">
        <v>133.97363264773784</v>
      </c>
      <c r="N626" s="83">
        <v>29795160.126438521</v>
      </c>
      <c r="O626" s="83" t="s">
        <v>1605</v>
      </c>
      <c r="P626" s="84">
        <f t="shared" si="16"/>
        <v>-1.1649476886547827E-2</v>
      </c>
    </row>
    <row r="627" spans="2:16" ht="15" customHeight="1">
      <c r="B627" s="83">
        <v>423.64457214371811</v>
      </c>
      <c r="C627" s="83">
        <v>423.7719162853632</v>
      </c>
      <c r="D627" s="83">
        <v>417.79653733124582</v>
      </c>
      <c r="E627" s="83">
        <v>418.15897834977426</v>
      </c>
      <c r="F627" s="83">
        <v>8839708.4110629745</v>
      </c>
      <c r="G627" s="83" t="s">
        <v>1604</v>
      </c>
      <c r="H627" s="84">
        <f t="shared" si="15"/>
        <v>1.311844077961033E-2</v>
      </c>
      <c r="J627" s="83">
        <v>133.17835991554082</v>
      </c>
      <c r="K627" s="83">
        <v>133.98357355689029</v>
      </c>
      <c r="L627" s="83">
        <v>132.16438718198964</v>
      </c>
      <c r="M627" s="83">
        <v>133.74996219180741</v>
      </c>
      <c r="N627" s="83">
        <v>25565529.882852167</v>
      </c>
      <c r="O627" s="83" t="s">
        <v>1604</v>
      </c>
      <c r="P627" s="84">
        <f t="shared" si="16"/>
        <v>-4.2736630866995196E-3</v>
      </c>
    </row>
    <row r="628" spans="2:16" ht="15" customHeight="1">
      <c r="B628" s="83">
        <v>417.95326858250138</v>
      </c>
      <c r="C628" s="83">
        <v>417.95326858250138</v>
      </c>
      <c r="D628" s="83">
        <v>414.62654981757061</v>
      </c>
      <c r="E628" s="83">
        <v>415.553321297651</v>
      </c>
      <c r="F628" s="83">
        <v>6107327.7494566049</v>
      </c>
      <c r="G628" s="83" t="s">
        <v>1603</v>
      </c>
      <c r="H628" s="84">
        <f t="shared" si="15"/>
        <v>5.7753052661353443E-3</v>
      </c>
      <c r="J628" s="83">
        <v>132.85030991350953</v>
      </c>
      <c r="K628" s="83">
        <v>133.74499173723117</v>
      </c>
      <c r="L628" s="83">
        <v>132.04509627216009</v>
      </c>
      <c r="M628" s="83">
        <v>132.48249627486845</v>
      </c>
      <c r="N628" s="83">
        <v>26742001.754854225</v>
      </c>
      <c r="O628" s="83" t="s">
        <v>1603</v>
      </c>
      <c r="P628" s="84">
        <f t="shared" si="16"/>
        <v>2.7763187514067145E-3</v>
      </c>
    </row>
    <row r="629" spans="2:16" ht="15" customHeight="1">
      <c r="B629" s="83">
        <v>415.88637520656897</v>
      </c>
      <c r="C629" s="83">
        <v>416.03331075462103</v>
      </c>
      <c r="D629" s="83">
        <v>413.59418065695678</v>
      </c>
      <c r="E629" s="83">
        <v>413.7802990178227</v>
      </c>
      <c r="F629" s="83">
        <v>5356517.9456853075</v>
      </c>
      <c r="G629" s="83" t="s">
        <v>1602</v>
      </c>
      <c r="H629" s="84">
        <f t="shared" si="15"/>
        <v>5.0898416230675814E-3</v>
      </c>
      <c r="J629" s="83">
        <v>133.90404628367057</v>
      </c>
      <c r="K629" s="83">
        <v>133.99351446604274</v>
      </c>
      <c r="L629" s="83">
        <v>132.10474172707484</v>
      </c>
      <c r="M629" s="83">
        <v>133.02924627825388</v>
      </c>
      <c r="N629" s="83">
        <v>24648510.135443874</v>
      </c>
      <c r="O629" s="83" t="s">
        <v>1602</v>
      </c>
      <c r="P629" s="84">
        <f t="shared" si="16"/>
        <v>6.575997608728068E-3</v>
      </c>
    </row>
    <row r="630" spans="2:16" ht="15" customHeight="1">
      <c r="B630" s="83">
        <v>414.27987988119975</v>
      </c>
      <c r="C630" s="83">
        <v>414.72068652535592</v>
      </c>
      <c r="D630" s="83">
        <v>411.56647009383818</v>
      </c>
      <c r="E630" s="83">
        <v>411.78197556431456</v>
      </c>
      <c r="F630" s="83">
        <v>5232169.5477501424</v>
      </c>
      <c r="G630" s="83" t="s">
        <v>1601</v>
      </c>
      <c r="H630" s="84">
        <f t="shared" si="15"/>
        <v>6.0660846397222468E-3</v>
      </c>
      <c r="J630" s="83">
        <v>135.83258265924832</v>
      </c>
      <c r="K630" s="83">
        <v>137.17460539483076</v>
      </c>
      <c r="L630" s="83">
        <v>134.76890537993481</v>
      </c>
      <c r="M630" s="83">
        <v>134.85837356230698</v>
      </c>
      <c r="N630" s="83">
        <v>23152951.754215021</v>
      </c>
      <c r="O630" s="83" t="s">
        <v>1601</v>
      </c>
      <c r="P630" s="84">
        <f t="shared" si="16"/>
        <v>7.2239422084623417E-3</v>
      </c>
    </row>
    <row r="631" spans="2:16" ht="15" customHeight="1">
      <c r="B631" s="83">
        <v>412.52644900777841</v>
      </c>
      <c r="C631" s="83">
        <v>413.05541698076587</v>
      </c>
      <c r="D631" s="83">
        <v>410.71424391513619</v>
      </c>
      <c r="E631" s="83">
        <v>411.2334161849202</v>
      </c>
      <c r="F631" s="83">
        <v>3315995.7305045594</v>
      </c>
      <c r="G631" s="83" t="s">
        <v>1600</v>
      </c>
      <c r="H631" s="84">
        <f t="shared" si="15"/>
        <v>3.1442795550369329E-3</v>
      </c>
      <c r="J631" s="83">
        <v>137.63188721584402</v>
      </c>
      <c r="K631" s="83">
        <v>139.17272813447573</v>
      </c>
      <c r="L631" s="83">
        <v>135.42500538399733</v>
      </c>
      <c r="M631" s="83">
        <v>135.79281902263847</v>
      </c>
      <c r="N631" s="83">
        <v>38647799.120549023</v>
      </c>
      <c r="O631" s="83" t="s">
        <v>1600</v>
      </c>
      <c r="P631" s="84">
        <f t="shared" si="16"/>
        <v>1.3543191800878374E-2</v>
      </c>
    </row>
    <row r="632" spans="2:16" ht="15" customHeight="1">
      <c r="B632" s="83">
        <v>409.32325406024336</v>
      </c>
      <c r="C632" s="83">
        <v>413.05541698076587</v>
      </c>
      <c r="D632" s="83">
        <v>408.9314259321045</v>
      </c>
      <c r="E632" s="83">
        <v>412.99664276154499</v>
      </c>
      <c r="F632" s="83">
        <v>4289432.7367034713</v>
      </c>
      <c r="G632" s="83" t="s">
        <v>1599</v>
      </c>
      <c r="H632" s="84">
        <f t="shared" si="15"/>
        <v>-8.8944759374777194E-3</v>
      </c>
      <c r="J632" s="83">
        <v>130.65336899081532</v>
      </c>
      <c r="K632" s="83">
        <v>132.5222599114783</v>
      </c>
      <c r="L632" s="83">
        <v>130.53407808098578</v>
      </c>
      <c r="M632" s="83">
        <v>132.11468263622734</v>
      </c>
      <c r="N632" s="83">
        <v>16457899.12077323</v>
      </c>
      <c r="O632" s="83" t="s">
        <v>1599</v>
      </c>
      <c r="P632" s="84">
        <f t="shared" si="16"/>
        <v>-1.1060948081264343E-2</v>
      </c>
    </row>
    <row r="633" spans="2:16" ht="15" customHeight="1">
      <c r="B633" s="83">
        <v>411.03750212085077</v>
      </c>
      <c r="C633" s="83">
        <v>411.87993259634931</v>
      </c>
      <c r="D633" s="83">
        <v>409.46039390509196</v>
      </c>
      <c r="E633" s="83">
        <v>409.79344781400994</v>
      </c>
      <c r="F633" s="83">
        <v>3490594.7321764301</v>
      </c>
      <c r="G633" s="83" t="s">
        <v>1598</v>
      </c>
      <c r="H633" s="84">
        <f t="shared" si="15"/>
        <v>3.0358081942918336E-3</v>
      </c>
      <c r="J633" s="83">
        <v>131.60769626945171</v>
      </c>
      <c r="K633" s="83">
        <v>132.75090082198491</v>
      </c>
      <c r="L633" s="83">
        <v>128.96341443489669</v>
      </c>
      <c r="M633" s="83">
        <v>129.59963262065429</v>
      </c>
      <c r="N633" s="83">
        <v>19349482.733412858</v>
      </c>
      <c r="O633" s="83" t="s">
        <v>1598</v>
      </c>
      <c r="P633" s="84">
        <f t="shared" si="16"/>
        <v>1.549436219989242E-2</v>
      </c>
    </row>
    <row r="634" spans="2:16" ht="15" customHeight="1">
      <c r="B634" s="83">
        <v>411.16484626249593</v>
      </c>
      <c r="C634" s="83">
        <v>411.29219040414102</v>
      </c>
      <c r="D634" s="83">
        <v>408.97060874491837</v>
      </c>
      <c r="E634" s="83">
        <v>410.09711461331756</v>
      </c>
      <c r="F634" s="83">
        <v>5927169.1673371857</v>
      </c>
      <c r="G634" s="83" t="s">
        <v>1597</v>
      </c>
      <c r="H634" s="84">
        <f t="shared" si="15"/>
        <v>2.6036068314820859E-3</v>
      </c>
      <c r="J634" s="83">
        <v>129.85809625861833</v>
      </c>
      <c r="K634" s="83">
        <v>130.67325080912025</v>
      </c>
      <c r="L634" s="83">
        <v>128.63536443286543</v>
      </c>
      <c r="M634" s="83">
        <v>130.51817262634185</v>
      </c>
      <c r="N634" s="83">
        <v>24260439.996100094</v>
      </c>
      <c r="O634" s="83" t="s">
        <v>1597</v>
      </c>
      <c r="P634" s="84">
        <f t="shared" si="16"/>
        <v>-5.0573522019284889E-3</v>
      </c>
    </row>
    <row r="635" spans="2:16" ht="15" customHeight="1">
      <c r="B635" s="83">
        <v>413.24153534163179</v>
      </c>
      <c r="C635" s="83">
        <v>413.74111620500884</v>
      </c>
      <c r="D635" s="83">
        <v>409.7052864851787</v>
      </c>
      <c r="E635" s="83">
        <v>410.27343727098003</v>
      </c>
      <c r="F635" s="83">
        <v>5077353.7097751191</v>
      </c>
      <c r="G635" s="83" t="s">
        <v>1596</v>
      </c>
      <c r="H635" s="84">
        <f t="shared" si="15"/>
        <v>7.2344387937828269E-3</v>
      </c>
      <c r="J635" s="83">
        <v>132.53220082063075</v>
      </c>
      <c r="K635" s="83">
        <v>132.71113718537507</v>
      </c>
      <c r="L635" s="83">
        <v>131.37080440434855</v>
      </c>
      <c r="M635" s="83">
        <v>132.53220082063075</v>
      </c>
      <c r="N635" s="83">
        <v>24412241.00110437</v>
      </c>
      <c r="O635" s="83" t="s">
        <v>1596</v>
      </c>
      <c r="P635" s="84">
        <f t="shared" si="16"/>
        <v>0</v>
      </c>
    </row>
    <row r="636" spans="2:16" ht="15" customHeight="1">
      <c r="B636" s="83">
        <v>410.83179235357784</v>
      </c>
      <c r="C636" s="83">
        <v>411.12566344968201</v>
      </c>
      <c r="D636" s="83">
        <v>408.05960834699556</v>
      </c>
      <c r="E636" s="83">
        <v>409.98936187807942</v>
      </c>
      <c r="F636" s="83">
        <v>4497573.9959524777</v>
      </c>
      <c r="G636" s="83" t="s">
        <v>1595</v>
      </c>
      <c r="H636" s="84">
        <f t="shared" si="15"/>
        <v>2.0547617909874027E-3</v>
      </c>
      <c r="J636" s="83">
        <v>133.1286553697785</v>
      </c>
      <c r="K636" s="83">
        <v>136.15069175212713</v>
      </c>
      <c r="L636" s="83">
        <v>132.00533263555022</v>
      </c>
      <c r="M636" s="83">
        <v>135.59400083958923</v>
      </c>
      <c r="N636" s="83">
        <v>30091343.297901329</v>
      </c>
      <c r="O636" s="83" t="s">
        <v>1595</v>
      </c>
      <c r="P636" s="84">
        <f t="shared" si="16"/>
        <v>-1.8181818181818299E-2</v>
      </c>
    </row>
    <row r="637" spans="2:16" ht="15" customHeight="1">
      <c r="B637" s="83">
        <v>409.24488843461552</v>
      </c>
      <c r="C637" s="83">
        <v>412.5166533045749</v>
      </c>
      <c r="D637" s="83">
        <v>408.83836675167151</v>
      </c>
      <c r="E637" s="83">
        <v>411.47772102281476</v>
      </c>
      <c r="F637" s="83">
        <v>4177972.6426886683</v>
      </c>
      <c r="G637" s="83" t="s">
        <v>1594</v>
      </c>
      <c r="H637" s="84">
        <f t="shared" si="15"/>
        <v>-5.4263754126203656E-3</v>
      </c>
      <c r="J637" s="83">
        <v>135.59400083958923</v>
      </c>
      <c r="K637" s="83">
        <v>138.84467813244447</v>
      </c>
      <c r="L637" s="83">
        <v>135.48962129348834</v>
      </c>
      <c r="M637" s="83">
        <v>138.16372585550081</v>
      </c>
      <c r="N637" s="83">
        <v>21139630.870476525</v>
      </c>
      <c r="O637" s="83" t="s">
        <v>1594</v>
      </c>
      <c r="P637" s="84">
        <f t="shared" si="16"/>
        <v>-1.8599129402453674E-2</v>
      </c>
    </row>
    <row r="638" spans="2:16" ht="15" customHeight="1">
      <c r="B638" s="83">
        <v>409.50937242110928</v>
      </c>
      <c r="C638" s="83">
        <v>410.68485680552584</v>
      </c>
      <c r="D638" s="83">
        <v>408.19674819184416</v>
      </c>
      <c r="E638" s="83">
        <v>408.72571616483162</v>
      </c>
      <c r="F638" s="83">
        <v>3452985.3852671185</v>
      </c>
      <c r="G638" s="83" t="s">
        <v>1593</v>
      </c>
      <c r="H638" s="84">
        <f t="shared" si="15"/>
        <v>1.9173157579388533E-3</v>
      </c>
      <c r="J638" s="83">
        <v>137.80088267143591</v>
      </c>
      <c r="K638" s="83">
        <v>137.84064630804576</v>
      </c>
      <c r="L638" s="83">
        <v>136.23021902534683</v>
      </c>
      <c r="M638" s="83">
        <v>136.8167326653421</v>
      </c>
      <c r="N638" s="83">
        <v>17148198.156279463</v>
      </c>
      <c r="O638" s="83" t="s">
        <v>1593</v>
      </c>
      <c r="P638" s="84">
        <f t="shared" si="16"/>
        <v>7.1931991571605458E-3</v>
      </c>
    </row>
    <row r="639" spans="2:16" ht="15" customHeight="1">
      <c r="B639" s="83">
        <v>409.10774858976697</v>
      </c>
      <c r="C639" s="83">
        <v>409.97692133501101</v>
      </c>
      <c r="D639" s="83">
        <v>408.70612475842466</v>
      </c>
      <c r="E639" s="83">
        <v>409.25468413781908</v>
      </c>
      <c r="F639" s="83">
        <v>3708311.6184173571</v>
      </c>
      <c r="G639" s="83" t="s">
        <v>1592</v>
      </c>
      <c r="H639" s="84">
        <f t="shared" si="15"/>
        <v>-3.5903204959442103E-4</v>
      </c>
      <c r="J639" s="83">
        <v>137.23425084974554</v>
      </c>
      <c r="K639" s="83">
        <v>138.80491449583462</v>
      </c>
      <c r="L639" s="83">
        <v>136.72726448296993</v>
      </c>
      <c r="M639" s="83">
        <v>136.75708721042733</v>
      </c>
      <c r="N639" s="83">
        <v>17992709.445060365</v>
      </c>
      <c r="O639" s="83" t="s">
        <v>1592</v>
      </c>
      <c r="P639" s="84">
        <f t="shared" si="16"/>
        <v>3.4891328051174231E-3</v>
      </c>
    </row>
    <row r="640" spans="2:16" ht="15" customHeight="1">
      <c r="B640" s="83">
        <v>409.82283492362035</v>
      </c>
      <c r="C640" s="83">
        <v>409.94038336206205</v>
      </c>
      <c r="D640" s="83">
        <v>409.3036626538364</v>
      </c>
      <c r="E640" s="83">
        <v>409.64651226595788</v>
      </c>
      <c r="F640" s="83">
        <v>1379453.7992139023</v>
      </c>
      <c r="G640" s="83" t="s">
        <v>1591</v>
      </c>
      <c r="H640" s="84">
        <f t="shared" si="15"/>
        <v>4.304263612233683E-4</v>
      </c>
      <c r="J640" s="83">
        <v>137.4032463053374</v>
      </c>
      <c r="K640" s="83">
        <v>138.85163676885119</v>
      </c>
      <c r="L640" s="83">
        <v>136.65767811890271</v>
      </c>
      <c r="M640" s="83">
        <v>138.71544631346245</v>
      </c>
      <c r="N640" s="83">
        <v>8881119.2865724731</v>
      </c>
      <c r="O640" s="83" t="s">
        <v>1591</v>
      </c>
      <c r="P640" s="84">
        <f t="shared" si="16"/>
        <v>-9.459653146051239E-3</v>
      </c>
    </row>
    <row r="641" spans="2:16" ht="15" customHeight="1">
      <c r="B641" s="83">
        <v>409.59753374994051</v>
      </c>
      <c r="C641" s="83">
        <v>410.74363102474666</v>
      </c>
      <c r="D641" s="83">
        <v>408.53959780396565</v>
      </c>
      <c r="E641" s="83">
        <v>409.52896382751624</v>
      </c>
      <c r="F641" s="83">
        <v>3771106.4976846292</v>
      </c>
      <c r="G641" s="83" t="s">
        <v>1590</v>
      </c>
      <c r="H641" s="84">
        <f t="shared" si="15"/>
        <v>1.6743607529834392E-4</v>
      </c>
      <c r="J641" s="83">
        <v>139.19260995278069</v>
      </c>
      <c r="K641" s="83">
        <v>140.26622814124661</v>
      </c>
      <c r="L641" s="83">
        <v>138.17863721922947</v>
      </c>
      <c r="M641" s="83">
        <v>138.27804631075409</v>
      </c>
      <c r="N641" s="83">
        <v>17413104.510377638</v>
      </c>
      <c r="O641" s="83" t="s">
        <v>1590</v>
      </c>
      <c r="P641" s="84">
        <f t="shared" si="16"/>
        <v>6.6139468008630242E-3</v>
      </c>
    </row>
    <row r="642" spans="2:16" ht="15" customHeight="1">
      <c r="B642" s="83">
        <v>407.83430717331572</v>
      </c>
      <c r="C642" s="83">
        <v>408.32409233348926</v>
      </c>
      <c r="D642" s="83">
        <v>406.81555404015472</v>
      </c>
      <c r="E642" s="83">
        <v>407.89308139253654</v>
      </c>
      <c r="F642" s="83">
        <v>5357641.9078727392</v>
      </c>
      <c r="G642" s="83" t="s">
        <v>1589</v>
      </c>
      <c r="H642" s="84">
        <f t="shared" si="15"/>
        <v>-1.4409221902011993E-4</v>
      </c>
      <c r="J642" s="83">
        <v>137.80088267143591</v>
      </c>
      <c r="K642" s="83">
        <v>138.14384403719586</v>
      </c>
      <c r="L642" s="83">
        <v>136.89128948398559</v>
      </c>
      <c r="M642" s="83">
        <v>137.12490084906844</v>
      </c>
      <c r="N642" s="83">
        <v>17752970.809141975</v>
      </c>
      <c r="O642" s="83" t="s">
        <v>1589</v>
      </c>
      <c r="P642" s="84">
        <f t="shared" si="16"/>
        <v>4.9296795708280161E-3</v>
      </c>
    </row>
    <row r="643" spans="2:16" ht="15" customHeight="1">
      <c r="B643" s="83">
        <v>408.90203882249409</v>
      </c>
      <c r="C643" s="83">
        <v>409.65630796916133</v>
      </c>
      <c r="D643" s="83">
        <v>405.52242326026453</v>
      </c>
      <c r="E643" s="83">
        <v>405.53231692050002</v>
      </c>
      <c r="F643" s="83">
        <v>3597916.2769561326</v>
      </c>
      <c r="G643" s="83" t="s">
        <v>1588</v>
      </c>
      <c r="H643" s="84">
        <f t="shared" si="15"/>
        <v>8.3093794536099885E-3</v>
      </c>
      <c r="J643" s="83">
        <v>137.10501903076351</v>
      </c>
      <c r="K643" s="83">
        <v>137.60703494296288</v>
      </c>
      <c r="L643" s="83">
        <v>134.68937810671514</v>
      </c>
      <c r="M643" s="83">
        <v>134.69931901586759</v>
      </c>
      <c r="N643" s="83">
        <v>19705447.157363299</v>
      </c>
      <c r="O643" s="83" t="s">
        <v>1588</v>
      </c>
      <c r="P643" s="84">
        <f t="shared" si="16"/>
        <v>1.7859778597785869E-2</v>
      </c>
    </row>
    <row r="644" spans="2:16" ht="15" customHeight="1">
      <c r="B644" s="83">
        <v>405.84577942301109</v>
      </c>
      <c r="C644" s="83">
        <v>406.31597317677773</v>
      </c>
      <c r="D644" s="83">
        <v>404.43519816171124</v>
      </c>
      <c r="E644" s="83">
        <v>405.48333840448265</v>
      </c>
      <c r="F644" s="83">
        <v>4798163.9524710281</v>
      </c>
      <c r="G644" s="83" t="s">
        <v>1587</v>
      </c>
      <c r="H644" s="84">
        <f t="shared" si="15"/>
        <v>8.9384935014735767E-4</v>
      </c>
      <c r="J644" s="83">
        <v>136.13080993382221</v>
      </c>
      <c r="K644" s="83">
        <v>137.18454630398324</v>
      </c>
      <c r="L644" s="83">
        <v>134.67943719756266</v>
      </c>
      <c r="M644" s="83">
        <v>137.00560993923889</v>
      </c>
      <c r="N644" s="83">
        <v>25742304.458803773</v>
      </c>
      <c r="O644" s="83" t="s">
        <v>1587</v>
      </c>
      <c r="P644" s="84">
        <f t="shared" si="16"/>
        <v>-6.3851400377302747E-3</v>
      </c>
    </row>
    <row r="645" spans="2:16" ht="15" customHeight="1">
      <c r="B645" s="83">
        <v>405.24824152759936</v>
      </c>
      <c r="C645" s="83">
        <v>405.4931341076861</v>
      </c>
      <c r="D645" s="83">
        <v>403.33807940292252</v>
      </c>
      <c r="E645" s="83">
        <v>404.30785402006615</v>
      </c>
      <c r="F645" s="83">
        <v>3878117.7023144872</v>
      </c>
      <c r="G645" s="83" t="s">
        <v>1586</v>
      </c>
      <c r="H645" s="84">
        <f t="shared" si="15"/>
        <v>2.3259194650384618E-3</v>
      </c>
      <c r="J645" s="83">
        <v>137.88040994465558</v>
      </c>
      <c r="K645" s="83">
        <v>138.05924690030841</v>
      </c>
      <c r="L645" s="83">
        <v>135.27589174671041</v>
      </c>
      <c r="M645" s="83">
        <v>136.15069175212713</v>
      </c>
      <c r="N645" s="83">
        <v>17719775.656169649</v>
      </c>
      <c r="O645" s="83" t="s">
        <v>1586</v>
      </c>
      <c r="P645" s="84">
        <f t="shared" si="16"/>
        <v>1.2704439252336108E-2</v>
      </c>
    </row>
    <row r="646" spans="2:16" ht="15" customHeight="1">
      <c r="B646" s="83">
        <v>404.68009074179804</v>
      </c>
      <c r="C646" s="83">
        <v>406.24740325435346</v>
      </c>
      <c r="D646" s="83">
        <v>403.9454130015377</v>
      </c>
      <c r="E646" s="83">
        <v>405.09151027634385</v>
      </c>
      <c r="F646" s="83">
        <v>4506881.1378805526</v>
      </c>
      <c r="G646" s="83" t="s">
        <v>1585</v>
      </c>
      <c r="H646" s="84">
        <f t="shared" si="15"/>
        <v>-1.0156212216473337E-3</v>
      </c>
      <c r="J646" s="83">
        <v>135.57411902128428</v>
      </c>
      <c r="K646" s="83">
        <v>136.03140084229759</v>
      </c>
      <c r="L646" s="83">
        <v>134.53032356027575</v>
      </c>
      <c r="M646" s="83">
        <v>135.83258265924832</v>
      </c>
      <c r="N646" s="83">
        <v>15935044.528674634</v>
      </c>
      <c r="O646" s="83" t="s">
        <v>1585</v>
      </c>
      <c r="P646" s="84">
        <f t="shared" si="16"/>
        <v>-1.9028103044497202E-3</v>
      </c>
    </row>
    <row r="647" spans="2:16" ht="15" customHeight="1">
      <c r="B647" s="83">
        <v>403.79847745348565</v>
      </c>
      <c r="C647" s="83">
        <v>405.06212316673339</v>
      </c>
      <c r="D647" s="83">
        <v>401.51176849766733</v>
      </c>
      <c r="E647" s="83">
        <v>401.66301415512896</v>
      </c>
      <c r="F647" s="83">
        <v>7118544.5854760921</v>
      </c>
      <c r="G647" s="83" t="s">
        <v>1584</v>
      </c>
      <c r="H647" s="84">
        <f t="shared" si="15"/>
        <v>5.3165544824895772E-3</v>
      </c>
      <c r="J647" s="83">
        <v>134.62973265180037</v>
      </c>
      <c r="K647" s="83">
        <v>136.42903720839607</v>
      </c>
      <c r="L647" s="83">
        <v>134.30168264976908</v>
      </c>
      <c r="M647" s="83">
        <v>134.84843265315453</v>
      </c>
      <c r="N647" s="83">
        <v>22450003.976217374</v>
      </c>
      <c r="O647" s="83" t="s">
        <v>1584</v>
      </c>
      <c r="P647" s="84">
        <f t="shared" si="16"/>
        <v>-1.6218208625137231E-3</v>
      </c>
    </row>
    <row r="648" spans="2:16" ht="15" customHeight="1">
      <c r="B648" s="83">
        <v>396.18721606438856</v>
      </c>
      <c r="C648" s="83">
        <v>397.20596919754962</v>
      </c>
      <c r="D648" s="83">
        <v>394.59051644222279</v>
      </c>
      <c r="E648" s="83">
        <v>395.34478558889003</v>
      </c>
      <c r="F648" s="83">
        <v>2932858.3566945717</v>
      </c>
      <c r="G648" s="83" t="s">
        <v>1583</v>
      </c>
      <c r="H648" s="84">
        <f t="shared" si="15"/>
        <v>2.1308753933446667E-3</v>
      </c>
      <c r="J648" s="83">
        <v>132.85030991350953</v>
      </c>
      <c r="K648" s="83">
        <v>133.31753264367529</v>
      </c>
      <c r="L648" s="83">
        <v>131.98545081724532</v>
      </c>
      <c r="M648" s="83">
        <v>132.57196445724063</v>
      </c>
      <c r="N648" s="83">
        <v>16507399.623438833</v>
      </c>
      <c r="O648" s="83" t="s">
        <v>1583</v>
      </c>
      <c r="P648" s="84">
        <f t="shared" si="16"/>
        <v>2.0995800839829215E-3</v>
      </c>
    </row>
    <row r="649" spans="2:16" ht="15" customHeight="1">
      <c r="B649" s="83">
        <v>396.58883989573093</v>
      </c>
      <c r="C649" s="83">
        <v>396.83275290549733</v>
      </c>
      <c r="D649" s="83">
        <v>390.98569766334543</v>
      </c>
      <c r="E649" s="83">
        <v>392.40607462784874</v>
      </c>
      <c r="F649" s="83">
        <v>4077746.0454136403</v>
      </c>
      <c r="G649" s="83" t="s">
        <v>1582</v>
      </c>
      <c r="H649" s="84">
        <f t="shared" si="15"/>
        <v>1.065927756559093E-2</v>
      </c>
      <c r="J649" s="83">
        <v>133.26782809791297</v>
      </c>
      <c r="K649" s="83">
        <v>133.47658719011471</v>
      </c>
      <c r="L649" s="83">
        <v>130.09667807827742</v>
      </c>
      <c r="M649" s="83">
        <v>130.75277808233994</v>
      </c>
      <c r="N649" s="83">
        <v>21003952.133319382</v>
      </c>
      <c r="O649" s="83" t="s">
        <v>1582</v>
      </c>
      <c r="P649" s="84">
        <f t="shared" si="16"/>
        <v>1.9235155477837829E-2</v>
      </c>
    </row>
    <row r="650" spans="2:16" ht="15" customHeight="1">
      <c r="B650" s="83">
        <v>390.49591250317189</v>
      </c>
      <c r="C650" s="83">
        <v>394.64929066144362</v>
      </c>
      <c r="D650" s="83">
        <v>390.07469726542263</v>
      </c>
      <c r="E650" s="83">
        <v>394.58072073901934</v>
      </c>
      <c r="F650" s="83">
        <v>4232074.935193019</v>
      </c>
      <c r="G650" s="83" t="s">
        <v>1581</v>
      </c>
      <c r="H650" s="84">
        <f t="shared" si="15"/>
        <v>-1.0352275266254596E-2</v>
      </c>
      <c r="J650" s="83">
        <v>130.91183262877936</v>
      </c>
      <c r="K650" s="83">
        <v>133.16841900638838</v>
      </c>
      <c r="L650" s="83">
        <v>130.73289626403502</v>
      </c>
      <c r="M650" s="83">
        <v>132.57196445724063</v>
      </c>
      <c r="N650" s="83">
        <v>18083389.279889829</v>
      </c>
      <c r="O650" s="83" t="s">
        <v>1581</v>
      </c>
      <c r="P650" s="84">
        <f t="shared" si="16"/>
        <v>-1.2522495500899899E-2</v>
      </c>
    </row>
    <row r="651" spans="2:16" ht="15" customHeight="1">
      <c r="B651" s="83">
        <v>393.46401057382366</v>
      </c>
      <c r="C651" s="83">
        <v>394.27960082254458</v>
      </c>
      <c r="D651" s="83">
        <v>391.39711719789125</v>
      </c>
      <c r="E651" s="83">
        <v>393.77747307633473</v>
      </c>
      <c r="F651" s="83">
        <v>3809688.7201294741</v>
      </c>
      <c r="G651" s="83" t="s">
        <v>1580</v>
      </c>
      <c r="H651" s="84">
        <f t="shared" si="15"/>
        <v>-7.9603970248010025E-4</v>
      </c>
      <c r="J651" s="83">
        <v>132.47255536571598</v>
      </c>
      <c r="K651" s="83">
        <v>132.75090082198491</v>
      </c>
      <c r="L651" s="83">
        <v>131.3790553589451</v>
      </c>
      <c r="M651" s="83">
        <v>131.57787354199436</v>
      </c>
      <c r="N651" s="83">
        <v>15183317.510009663</v>
      </c>
      <c r="O651" s="83" t="s">
        <v>1580</v>
      </c>
      <c r="P651" s="84">
        <f t="shared" si="16"/>
        <v>6.7996373526744147E-3</v>
      </c>
    </row>
    <row r="652" spans="2:16" ht="15" customHeight="1">
      <c r="B652" s="83">
        <v>393.14075236810908</v>
      </c>
      <c r="C652" s="83">
        <v>393.8264515923521</v>
      </c>
      <c r="D652" s="83">
        <v>391.07385899217672</v>
      </c>
      <c r="E652" s="83">
        <v>392.08281642213421</v>
      </c>
      <c r="F652" s="83">
        <v>3428623.6835043048</v>
      </c>
      <c r="G652" s="83" t="s">
        <v>1579</v>
      </c>
      <c r="H652" s="84">
        <f t="shared" si="15"/>
        <v>2.6982461400089086E-3</v>
      </c>
      <c r="J652" s="83">
        <v>131.61763717860421</v>
      </c>
      <c r="K652" s="83">
        <v>132.4924371840209</v>
      </c>
      <c r="L652" s="83">
        <v>130.36508262539391</v>
      </c>
      <c r="M652" s="83">
        <v>131.20011899420075</v>
      </c>
      <c r="N652" s="83">
        <v>19338056.213136103</v>
      </c>
      <c r="O652" s="83" t="s">
        <v>1579</v>
      </c>
      <c r="P652" s="84">
        <f t="shared" si="16"/>
        <v>3.1823003485378365E-3</v>
      </c>
    </row>
    <row r="653" spans="2:16" ht="15" customHeight="1">
      <c r="B653" s="83">
        <v>392.03383790611684</v>
      </c>
      <c r="C653" s="83">
        <v>392.54615318365842</v>
      </c>
      <c r="D653" s="83">
        <v>390.31958984550937</v>
      </c>
      <c r="E653" s="83">
        <v>391.94567657728561</v>
      </c>
      <c r="F653" s="83">
        <v>4090676.2044200012</v>
      </c>
      <c r="G653" s="83" t="s">
        <v>1578</v>
      </c>
      <c r="H653" s="84">
        <f t="shared" si="15"/>
        <v>2.2493252024391452E-4</v>
      </c>
      <c r="J653" s="83">
        <v>130.67325080912025</v>
      </c>
      <c r="K653" s="83">
        <v>130.78260080979734</v>
      </c>
      <c r="L653" s="83">
        <v>129.16223261794596</v>
      </c>
      <c r="M653" s="83">
        <v>129.45051898336735</v>
      </c>
      <c r="N653" s="83">
        <v>15451667.211137269</v>
      </c>
      <c r="O653" s="83" t="s">
        <v>1578</v>
      </c>
      <c r="P653" s="84">
        <f t="shared" si="16"/>
        <v>9.4455536783903948E-3</v>
      </c>
    </row>
    <row r="654" spans="2:16" ht="15" customHeight="1">
      <c r="B654" s="83">
        <v>391.27956875944955</v>
      </c>
      <c r="C654" s="83">
        <v>392.66076291113905</v>
      </c>
      <c r="D654" s="83">
        <v>389.71225624689419</v>
      </c>
      <c r="E654" s="83">
        <v>389.79062187252197</v>
      </c>
      <c r="F654" s="83">
        <v>6106182.3492982965</v>
      </c>
      <c r="G654" s="83" t="s">
        <v>1577</v>
      </c>
      <c r="H654" s="84">
        <f t="shared" si="15"/>
        <v>3.8198632891033313E-3</v>
      </c>
      <c r="J654" s="83">
        <v>129.59963262065429</v>
      </c>
      <c r="K654" s="83">
        <v>129.95750535014295</v>
      </c>
      <c r="L654" s="83">
        <v>128.2476689759194</v>
      </c>
      <c r="M654" s="83">
        <v>128.32719624913909</v>
      </c>
      <c r="N654" s="83">
        <v>19645535.132128417</v>
      </c>
      <c r="O654" s="83" t="s">
        <v>1577</v>
      </c>
      <c r="P654" s="84">
        <f t="shared" si="16"/>
        <v>9.9155627856533091E-3</v>
      </c>
    </row>
    <row r="655" spans="2:16" ht="15" customHeight="1">
      <c r="B655" s="83">
        <v>387.69434138697915</v>
      </c>
      <c r="C655" s="83">
        <v>387.82129370049614</v>
      </c>
      <c r="D655" s="83">
        <v>383.91319995043932</v>
      </c>
      <c r="E655" s="83">
        <v>383.92299565364277</v>
      </c>
      <c r="F655" s="83">
        <v>4851273.9731804803</v>
      </c>
      <c r="G655" s="83" t="s">
        <v>1576</v>
      </c>
      <c r="H655" s="84">
        <f t="shared" si="15"/>
        <v>9.8231827111985304E-3</v>
      </c>
      <c r="J655" s="83">
        <v>127.82020988236351</v>
      </c>
      <c r="K655" s="83">
        <v>129.32128716438535</v>
      </c>
      <c r="L655" s="83">
        <v>127.35298715219777</v>
      </c>
      <c r="M655" s="83">
        <v>128.79441897930482</v>
      </c>
      <c r="N655" s="83">
        <v>24234877.94779015</v>
      </c>
      <c r="O655" s="83" t="s">
        <v>1576</v>
      </c>
      <c r="P655" s="84">
        <f t="shared" si="16"/>
        <v>-7.5640629824017536E-3</v>
      </c>
    </row>
    <row r="656" spans="2:16" ht="15" customHeight="1">
      <c r="B656" s="83">
        <v>380.46511242281747</v>
      </c>
      <c r="C656" s="83">
        <v>381.13122024065348</v>
      </c>
      <c r="D656" s="83">
        <v>376.76233661190543</v>
      </c>
      <c r="E656" s="83">
        <v>377.2227346624685</v>
      </c>
      <c r="F656" s="83">
        <v>5664890.9064881224</v>
      </c>
      <c r="G656" s="83" t="s">
        <v>1575</v>
      </c>
      <c r="H656" s="84">
        <f t="shared" si="15"/>
        <v>8.5953932846867254E-3</v>
      </c>
      <c r="J656" s="83">
        <v>126.81617805796478</v>
      </c>
      <c r="K656" s="83">
        <v>126.98517351355665</v>
      </c>
      <c r="L656" s="83">
        <v>124.18680758713843</v>
      </c>
      <c r="M656" s="83">
        <v>124.59935531696564</v>
      </c>
      <c r="N656" s="83">
        <v>26694343.136036385</v>
      </c>
      <c r="O656" s="83" t="s">
        <v>1575</v>
      </c>
      <c r="P656" s="84">
        <f t="shared" si="16"/>
        <v>1.7791606829423934E-2</v>
      </c>
    </row>
    <row r="657" spans="2:16" ht="15" customHeight="1">
      <c r="B657" s="83">
        <v>376.3215299677492</v>
      </c>
      <c r="C657" s="83">
        <v>376.62519676705682</v>
      </c>
      <c r="D657" s="83">
        <v>372.78528111129611</v>
      </c>
      <c r="E657" s="83">
        <v>374.53871198471751</v>
      </c>
      <c r="F657" s="83">
        <v>4617493.921617819</v>
      </c>
      <c r="G657" s="83" t="s">
        <v>1574</v>
      </c>
      <c r="H657" s="84">
        <f t="shared" si="15"/>
        <v>4.7600366156661522E-3</v>
      </c>
      <c r="J657" s="83">
        <v>124.55959168035578</v>
      </c>
      <c r="K657" s="83">
        <v>125.81214623356607</v>
      </c>
      <c r="L657" s="83">
        <v>123.19271667189219</v>
      </c>
      <c r="M657" s="83">
        <v>125.52385986814464</v>
      </c>
      <c r="N657" s="83">
        <v>21248980.023891807</v>
      </c>
      <c r="O657" s="83" t="s">
        <v>1574</v>
      </c>
      <c r="P657" s="84">
        <f t="shared" si="16"/>
        <v>-7.6819513740397083E-3</v>
      </c>
    </row>
    <row r="658" spans="2:16" ht="15" customHeight="1">
      <c r="B658" s="83">
        <v>374.05872252774742</v>
      </c>
      <c r="C658" s="83">
        <v>374.97951862887368</v>
      </c>
      <c r="D658" s="83">
        <v>370.97307601865396</v>
      </c>
      <c r="E658" s="83">
        <v>372.14856040307052</v>
      </c>
      <c r="F658" s="83">
        <v>5916635.9776460733</v>
      </c>
      <c r="G658" s="83" t="s">
        <v>1573</v>
      </c>
      <c r="H658" s="84">
        <f t="shared" si="15"/>
        <v>5.1327946092496468E-3</v>
      </c>
      <c r="J658" s="83">
        <v>125.0069325922166</v>
      </c>
      <c r="K658" s="83">
        <v>125.80220532441361</v>
      </c>
      <c r="L658" s="83">
        <v>123.1479825807061</v>
      </c>
      <c r="M658" s="83">
        <v>123.72455531154893</v>
      </c>
      <c r="N658" s="83">
        <v>24309276.575587366</v>
      </c>
      <c r="O658" s="83" t="s">
        <v>1573</v>
      </c>
      <c r="P658" s="84">
        <f t="shared" si="16"/>
        <v>1.0364775831592565E-2</v>
      </c>
    </row>
    <row r="659" spans="2:16" ht="15" customHeight="1">
      <c r="B659" s="83">
        <v>369.61147327337147</v>
      </c>
      <c r="C659" s="83">
        <v>373.1085393170107</v>
      </c>
      <c r="D659" s="83">
        <v>368.2645640828942</v>
      </c>
      <c r="E659" s="83">
        <v>372.7558940016857</v>
      </c>
      <c r="F659" s="83">
        <v>5756352.4362415485</v>
      </c>
      <c r="G659" s="83" t="s">
        <v>1572</v>
      </c>
      <c r="H659" s="84">
        <f t="shared" si="15"/>
        <v>-8.4356029747982841E-3</v>
      </c>
      <c r="J659" s="83">
        <v>122.67081894138791</v>
      </c>
      <c r="K659" s="83">
        <v>123.704673493244</v>
      </c>
      <c r="L659" s="83">
        <v>120.74228256581016</v>
      </c>
      <c r="M659" s="83">
        <v>123.29709621799304</v>
      </c>
      <c r="N659" s="83">
        <v>37589794.28027799</v>
      </c>
      <c r="O659" s="83" t="s">
        <v>1572</v>
      </c>
      <c r="P659" s="84">
        <f t="shared" si="16"/>
        <v>-5.0794162702572088E-3</v>
      </c>
    </row>
    <row r="660" spans="2:16" ht="15" customHeight="1">
      <c r="B660" s="83">
        <v>371.25715141155467</v>
      </c>
      <c r="C660" s="83">
        <v>375.56442006715292</v>
      </c>
      <c r="D660" s="83">
        <v>370.42451663925959</v>
      </c>
      <c r="E660" s="83">
        <v>374.81299167441466</v>
      </c>
      <c r="F660" s="83">
        <v>7104544.5696373712</v>
      </c>
      <c r="G660" s="83" t="s">
        <v>1571</v>
      </c>
      <c r="H660" s="84">
        <f t="shared" si="15"/>
        <v>-9.4869717481639304E-3</v>
      </c>
      <c r="J660" s="83">
        <v>122.71058257799774</v>
      </c>
      <c r="K660" s="83">
        <v>124.71864622679517</v>
      </c>
      <c r="L660" s="83">
        <v>121.59720075292194</v>
      </c>
      <c r="M660" s="83">
        <v>123.73449622070139</v>
      </c>
      <c r="N660" s="83">
        <v>34108915.472384639</v>
      </c>
      <c r="O660" s="83" t="s">
        <v>1571</v>
      </c>
      <c r="P660" s="84">
        <f t="shared" si="16"/>
        <v>-8.2750863661926743E-3</v>
      </c>
    </row>
    <row r="661" spans="2:16" ht="15" customHeight="1">
      <c r="B661" s="83">
        <v>375.87092762038952</v>
      </c>
      <c r="C661" s="83">
        <v>379.75982179216754</v>
      </c>
      <c r="D661" s="83">
        <v>375.29298113138475</v>
      </c>
      <c r="E661" s="83">
        <v>379.68145616653982</v>
      </c>
      <c r="F661" s="83">
        <v>5585320.3045813804</v>
      </c>
      <c r="G661" s="83" t="s">
        <v>1570</v>
      </c>
      <c r="H661" s="84">
        <f t="shared" si="15"/>
        <v>-1.0036119711042457E-2</v>
      </c>
      <c r="J661" s="83">
        <v>125.92149623424315</v>
      </c>
      <c r="K661" s="83">
        <v>129.3312280735378</v>
      </c>
      <c r="L661" s="83">
        <v>125.34492350340032</v>
      </c>
      <c r="M661" s="83">
        <v>129.00317807150657</v>
      </c>
      <c r="N661" s="83">
        <v>59145563.145434335</v>
      </c>
      <c r="O661" s="83" t="s">
        <v>1570</v>
      </c>
      <c r="P661" s="84">
        <f t="shared" si="16"/>
        <v>-2.3888417970255316E-2</v>
      </c>
    </row>
    <row r="662" spans="2:16" ht="15" customHeight="1">
      <c r="B662" s="83">
        <v>381.24876867909518</v>
      </c>
      <c r="C662" s="83">
        <v>382.28711321866308</v>
      </c>
      <c r="D662" s="83">
        <v>378.65290733017537</v>
      </c>
      <c r="E662" s="83">
        <v>380.34756398437582</v>
      </c>
      <c r="F662" s="83">
        <v>4544352.6692627948</v>
      </c>
      <c r="G662" s="83" t="s">
        <v>1569</v>
      </c>
      <c r="H662" s="84">
        <f t="shared" si="15"/>
        <v>2.3694241269187621E-3</v>
      </c>
      <c r="J662" s="83">
        <v>139.29201904430528</v>
      </c>
      <c r="K662" s="83">
        <v>139.87843327520906</v>
      </c>
      <c r="L662" s="83">
        <v>137.93011449041791</v>
      </c>
      <c r="M662" s="83">
        <v>138.33769176566886</v>
      </c>
      <c r="N662" s="83">
        <v>26692928.778477699</v>
      </c>
      <c r="O662" s="83" t="s">
        <v>1569</v>
      </c>
      <c r="P662" s="84">
        <f t="shared" si="16"/>
        <v>6.8985340615119739E-3</v>
      </c>
    </row>
    <row r="663" spans="2:16" ht="15" customHeight="1">
      <c r="B663" s="83">
        <v>378.41781045329202</v>
      </c>
      <c r="C663" s="83">
        <v>381.97365071615201</v>
      </c>
      <c r="D663" s="83">
        <v>376.00806746523813</v>
      </c>
      <c r="E663" s="83">
        <v>377.60476708740396</v>
      </c>
      <c r="F663" s="83">
        <v>5652612.0534541337</v>
      </c>
      <c r="G663" s="83" t="s">
        <v>1568</v>
      </c>
      <c r="H663" s="84">
        <f t="shared" si="15"/>
        <v>2.1531596970010281E-3</v>
      </c>
      <c r="J663" s="83">
        <v>137.08513721245862</v>
      </c>
      <c r="K663" s="83">
        <v>138.19851903753442</v>
      </c>
      <c r="L663" s="83">
        <v>134.31162355892155</v>
      </c>
      <c r="M663" s="83">
        <v>135.42500538399733</v>
      </c>
      <c r="N663" s="83">
        <v>20904189.628221512</v>
      </c>
      <c r="O663" s="83" t="s">
        <v>1568</v>
      </c>
      <c r="P663" s="84">
        <f t="shared" si="16"/>
        <v>1.2258680173236725E-2</v>
      </c>
    </row>
    <row r="664" spans="2:16" ht="15" customHeight="1">
      <c r="B664" s="83">
        <v>379.08391827112808</v>
      </c>
      <c r="C664" s="83">
        <v>383.81524291840458</v>
      </c>
      <c r="D664" s="83">
        <v>378.93698272307597</v>
      </c>
      <c r="E664" s="83">
        <v>383.38423197745186</v>
      </c>
      <c r="F664" s="83">
        <v>7707066.9079937013</v>
      </c>
      <c r="G664" s="83" t="s">
        <v>1567</v>
      </c>
      <c r="H664" s="84">
        <f t="shared" si="15"/>
        <v>-1.1216720322959728E-2</v>
      </c>
      <c r="J664" s="83">
        <v>135.93199175077297</v>
      </c>
      <c r="K664" s="83">
        <v>138.21840085583932</v>
      </c>
      <c r="L664" s="83">
        <v>135.43991674772604</v>
      </c>
      <c r="M664" s="83">
        <v>137.77105994397851</v>
      </c>
      <c r="N664" s="83">
        <v>25118691.476839811</v>
      </c>
      <c r="O664" s="83" t="s">
        <v>1567</v>
      </c>
      <c r="P664" s="84">
        <f t="shared" si="16"/>
        <v>-1.3348726459340376E-2</v>
      </c>
    </row>
    <row r="665" spans="2:16" ht="15" customHeight="1">
      <c r="B665" s="83">
        <v>383.86422143442195</v>
      </c>
      <c r="C665" s="83">
        <v>389.4771593700109</v>
      </c>
      <c r="D665" s="83">
        <v>383.14423724896682</v>
      </c>
      <c r="E665" s="83">
        <v>387.88045974784512</v>
      </c>
      <c r="F665" s="83">
        <v>6848822.2444537785</v>
      </c>
      <c r="G665" s="83" t="s">
        <v>1566</v>
      </c>
      <c r="H665" s="84">
        <f t="shared" si="15"/>
        <v>-1.0354319771699982E-2</v>
      </c>
      <c r="J665" s="83">
        <v>138.15875540092455</v>
      </c>
      <c r="K665" s="83">
        <v>140.17178950429823</v>
      </c>
      <c r="L665" s="83">
        <v>137.78100085313096</v>
      </c>
      <c r="M665" s="83">
        <v>138.97390995142649</v>
      </c>
      <c r="N665" s="83">
        <v>21960950.115505282</v>
      </c>
      <c r="O665" s="83" t="s">
        <v>1566</v>
      </c>
      <c r="P665" s="84">
        <f t="shared" si="16"/>
        <v>-5.865522174535176E-3</v>
      </c>
    </row>
    <row r="666" spans="2:16" ht="15" customHeight="1">
      <c r="B666" s="83">
        <v>387.14578200758478</v>
      </c>
      <c r="C666" s="83">
        <v>391.64200977797799</v>
      </c>
      <c r="D666" s="83">
        <v>386.16621168723771</v>
      </c>
      <c r="E666" s="83">
        <v>390.74080508325864</v>
      </c>
      <c r="F666" s="83">
        <v>7482118.2795767868</v>
      </c>
      <c r="G666" s="83" t="s">
        <v>1565</v>
      </c>
      <c r="H666" s="84">
        <f t="shared" si="15"/>
        <v>-9.2005314748425659E-3</v>
      </c>
      <c r="J666" s="83">
        <v>138.45698267549844</v>
      </c>
      <c r="K666" s="83">
        <v>141.15096905581581</v>
      </c>
      <c r="L666" s="83">
        <v>137.88538039923185</v>
      </c>
      <c r="M666" s="83">
        <v>139.91829632091043</v>
      </c>
      <c r="N666" s="83">
        <v>18413676.977890432</v>
      </c>
      <c r="O666" s="83" t="s">
        <v>1565</v>
      </c>
      <c r="P666" s="84">
        <f t="shared" si="16"/>
        <v>-1.044404973357016E-2</v>
      </c>
    </row>
    <row r="667" spans="2:16" ht="15" customHeight="1">
      <c r="B667" s="83">
        <v>392.39627892464529</v>
      </c>
      <c r="C667" s="83">
        <v>394.27705393971172</v>
      </c>
      <c r="D667" s="83">
        <v>389.19063505130936</v>
      </c>
      <c r="E667" s="83">
        <v>389.50654647962131</v>
      </c>
      <c r="F667" s="83">
        <v>4302507.8572271941</v>
      </c>
      <c r="G667" s="83" t="s">
        <v>1564</v>
      </c>
      <c r="H667" s="84">
        <f t="shared" si="15"/>
        <v>7.4189573221337124E-3</v>
      </c>
      <c r="J667" s="83">
        <v>140.15687814056955</v>
      </c>
      <c r="K667" s="83">
        <v>140.41534177853356</v>
      </c>
      <c r="L667" s="83">
        <v>137.71012217087392</v>
      </c>
      <c r="M667" s="83">
        <v>139.20255086193313</v>
      </c>
      <c r="N667" s="83">
        <v>17527596.050592352</v>
      </c>
      <c r="O667" s="83" t="s">
        <v>1564</v>
      </c>
      <c r="P667" s="84">
        <f t="shared" si="16"/>
        <v>6.8556737841891646E-3</v>
      </c>
    </row>
    <row r="668" spans="2:16" ht="15" customHeight="1">
      <c r="B668" s="83">
        <v>392.38648322144178</v>
      </c>
      <c r="C668" s="83">
        <v>393.39544065139933</v>
      </c>
      <c r="D668" s="83">
        <v>390.20204140706772</v>
      </c>
      <c r="E668" s="83">
        <v>390.42734258074756</v>
      </c>
      <c r="F668" s="83">
        <v>5258367.7690181229</v>
      </c>
      <c r="G668" s="83" t="s">
        <v>1563</v>
      </c>
      <c r="H668" s="84">
        <f t="shared" si="15"/>
        <v>5.0179391323983413E-3</v>
      </c>
      <c r="J668" s="83">
        <v>139.65983268294642</v>
      </c>
      <c r="K668" s="83">
        <v>140.07238041277361</v>
      </c>
      <c r="L668" s="83">
        <v>138.49674631210829</v>
      </c>
      <c r="M668" s="83">
        <v>138.90432358735924</v>
      </c>
      <c r="N668" s="83">
        <v>17448661.620354086</v>
      </c>
      <c r="O668" s="83" t="s">
        <v>1563</v>
      </c>
      <c r="P668" s="84">
        <f t="shared" si="16"/>
        <v>5.4390610463037614E-3</v>
      </c>
    </row>
    <row r="669" spans="2:16" ht="15" customHeight="1">
      <c r="B669" s="83">
        <v>388.32126639200129</v>
      </c>
      <c r="C669" s="83">
        <v>392.76851564637718</v>
      </c>
      <c r="D669" s="83">
        <v>386.89109372429448</v>
      </c>
      <c r="E669" s="83">
        <v>391.64200977797799</v>
      </c>
      <c r="F669" s="83">
        <v>3850891.479300146</v>
      </c>
      <c r="G669" s="83" t="s">
        <v>1562</v>
      </c>
      <c r="H669" s="84">
        <f t="shared" si="15"/>
        <v>-8.4790275380806079E-3</v>
      </c>
      <c r="J669" s="83">
        <v>137.76111903482607</v>
      </c>
      <c r="K669" s="83">
        <v>140.50480996090573</v>
      </c>
      <c r="L669" s="83">
        <v>137.15472357652584</v>
      </c>
      <c r="M669" s="83">
        <v>139.81888722938581</v>
      </c>
      <c r="N669" s="83">
        <v>19563165.402414393</v>
      </c>
      <c r="O669" s="83" t="s">
        <v>1562</v>
      </c>
      <c r="P669" s="84">
        <f t="shared" si="16"/>
        <v>-1.4717383576253074E-2</v>
      </c>
    </row>
    <row r="670" spans="2:16" ht="15" customHeight="1">
      <c r="B670" s="83">
        <v>390.37836406473019</v>
      </c>
      <c r="C670" s="83">
        <v>393.59135471546875</v>
      </c>
      <c r="D670" s="83">
        <v>388.1057609215249</v>
      </c>
      <c r="E670" s="83">
        <v>393.27789221295768</v>
      </c>
      <c r="F670" s="83">
        <v>3953701.8624937828</v>
      </c>
      <c r="G670" s="83" t="s">
        <v>1561</v>
      </c>
      <c r="H670" s="84">
        <f t="shared" si="15"/>
        <v>-7.3727209325497034E-3</v>
      </c>
      <c r="J670" s="83">
        <v>139.46101449989715</v>
      </c>
      <c r="K670" s="83">
        <v>141.53866451276181</v>
      </c>
      <c r="L670" s="83">
        <v>138.62597813109028</v>
      </c>
      <c r="M670" s="83">
        <v>141.31996451140765</v>
      </c>
      <c r="N670" s="83">
        <v>18281131.756946169</v>
      </c>
      <c r="O670" s="83" t="s">
        <v>1561</v>
      </c>
      <c r="P670" s="84">
        <f t="shared" si="16"/>
        <v>-1.3154192459200909E-2</v>
      </c>
    </row>
    <row r="671" spans="2:16" ht="15" customHeight="1">
      <c r="B671" s="83">
        <v>392.73912853676677</v>
      </c>
      <c r="C671" s="83">
        <v>392.89585978802228</v>
      </c>
      <c r="D671" s="83">
        <v>389.8591917949463</v>
      </c>
      <c r="E671" s="83">
        <v>392.09261212533767</v>
      </c>
      <c r="F671" s="83">
        <v>4268998.2670342531</v>
      </c>
      <c r="G671" s="83" t="s">
        <v>1560</v>
      </c>
      <c r="H671" s="84">
        <f t="shared" si="15"/>
        <v>1.6488870012740797E-3</v>
      </c>
      <c r="J671" s="83">
        <v>140.86268269039437</v>
      </c>
      <c r="K671" s="83">
        <v>141.37960996632242</v>
      </c>
      <c r="L671" s="83">
        <v>139.01367358803634</v>
      </c>
      <c r="M671" s="83">
        <v>139.02361449718879</v>
      </c>
      <c r="N671" s="83">
        <v>20266095.073416267</v>
      </c>
      <c r="O671" s="83" t="s">
        <v>1560</v>
      </c>
      <c r="P671" s="84">
        <f t="shared" si="16"/>
        <v>1.3228459063282072E-2</v>
      </c>
    </row>
    <row r="672" spans="2:16" ht="15" customHeight="1">
      <c r="B672" s="83">
        <v>391.08365469538018</v>
      </c>
      <c r="C672" s="83">
        <v>393.47380627702711</v>
      </c>
      <c r="D672" s="83">
        <v>389.26900067693714</v>
      </c>
      <c r="E672" s="83">
        <v>389.64368632446991</v>
      </c>
      <c r="F672" s="83">
        <v>3358247.9293924696</v>
      </c>
      <c r="G672" s="83" t="s">
        <v>1559</v>
      </c>
      <c r="H672" s="84">
        <f t="shared" si="15"/>
        <v>3.6956029866506146E-3</v>
      </c>
      <c r="J672" s="83">
        <v>138.37745540227871</v>
      </c>
      <c r="K672" s="83">
        <v>139.90835541175798</v>
      </c>
      <c r="L672" s="83">
        <v>137.61200539753912</v>
      </c>
      <c r="M672" s="83">
        <v>138.68562358600505</v>
      </c>
      <c r="N672" s="83">
        <v>19671154.519258305</v>
      </c>
      <c r="O672" s="83" t="s">
        <v>1559</v>
      </c>
      <c r="P672" s="84">
        <f t="shared" si="16"/>
        <v>-2.2220629345566234E-3</v>
      </c>
    </row>
    <row r="673" spans="2:16" ht="15" customHeight="1">
      <c r="B673" s="83">
        <v>389.07553553866859</v>
      </c>
      <c r="C673" s="83">
        <v>389.56532069884213</v>
      </c>
      <c r="D673" s="83">
        <v>384.29523237537467</v>
      </c>
      <c r="E673" s="83">
        <v>384.77522183234476</v>
      </c>
      <c r="F673" s="83">
        <v>3021224.6517955987</v>
      </c>
      <c r="G673" s="83" t="s">
        <v>1558</v>
      </c>
      <c r="H673" s="84">
        <f t="shared" si="15"/>
        <v>1.1176171079429809E-2</v>
      </c>
      <c r="J673" s="83">
        <v>138.6756826768526</v>
      </c>
      <c r="K673" s="83">
        <v>139.14290540701836</v>
      </c>
      <c r="L673" s="83">
        <v>135.89222811416309</v>
      </c>
      <c r="M673" s="83">
        <v>137.17460539483076</v>
      </c>
      <c r="N673" s="83">
        <v>16697767.523494657</v>
      </c>
      <c r="O673" s="83" t="s">
        <v>1558</v>
      </c>
      <c r="P673" s="84">
        <f t="shared" si="16"/>
        <v>1.0942821943618952E-2</v>
      </c>
    </row>
    <row r="674" spans="2:16" ht="15" customHeight="1">
      <c r="B674" s="83">
        <v>386.49926559615568</v>
      </c>
      <c r="C674" s="83">
        <v>387.99311033468501</v>
      </c>
      <c r="D674" s="83">
        <v>378.51615931345486</v>
      </c>
      <c r="E674" s="83">
        <v>379.76961749537105</v>
      </c>
      <c r="F674" s="83">
        <v>4999354.2048769658</v>
      </c>
      <c r="G674" s="83" t="s">
        <v>1557</v>
      </c>
      <c r="H674" s="84">
        <f t="shared" si="15"/>
        <v>1.7720343573473629E-2</v>
      </c>
      <c r="J674" s="83">
        <v>137.91023267211298</v>
      </c>
      <c r="K674" s="83">
        <v>138.36323990219071</v>
      </c>
      <c r="L674" s="83">
        <v>134.14262810332968</v>
      </c>
      <c r="M674" s="83">
        <v>134.14262810332968</v>
      </c>
      <c r="N674" s="83">
        <v>20950481.168858517</v>
      </c>
      <c r="O674" s="83" t="s">
        <v>1557</v>
      </c>
      <c r="P674" s="84">
        <f t="shared" si="16"/>
        <v>2.80865569882911E-2</v>
      </c>
    </row>
    <row r="675" spans="2:16" ht="15" customHeight="1">
      <c r="B675" s="83">
        <v>381.94426360654165</v>
      </c>
      <c r="C675" s="83">
        <v>382.80520796109471</v>
      </c>
      <c r="D675" s="83">
        <v>379.04473545831416</v>
      </c>
      <c r="E675" s="83">
        <v>381.92467220013464</v>
      </c>
      <c r="F675" s="83">
        <v>3398521.7098251195</v>
      </c>
      <c r="G675" s="83" t="s">
        <v>1556</v>
      </c>
      <c r="H675" s="84">
        <f t="shared" si="15"/>
        <v>5.1296519531396356E-5</v>
      </c>
      <c r="J675" s="83">
        <v>135.18642356433827</v>
      </c>
      <c r="K675" s="83">
        <v>135.69340993111385</v>
      </c>
      <c r="L675" s="83">
        <v>133.66049400943527</v>
      </c>
      <c r="M675" s="83">
        <v>135.32559629247271</v>
      </c>
      <c r="N675" s="83">
        <v>16017593.316457966</v>
      </c>
      <c r="O675" s="83" t="s">
        <v>1556</v>
      </c>
      <c r="P675" s="84">
        <f t="shared" si="16"/>
        <v>-1.02842870785258E-3</v>
      </c>
    </row>
    <row r="676" spans="2:16" ht="15" customHeight="1">
      <c r="B676" s="83">
        <v>382.26752181225618</v>
      </c>
      <c r="C676" s="83">
        <v>382.86505970766791</v>
      </c>
      <c r="D676" s="83">
        <v>378.50597178212325</v>
      </c>
      <c r="E676" s="83">
        <v>379.80880030818491</v>
      </c>
      <c r="F676" s="83">
        <v>4424123.4243033649</v>
      </c>
      <c r="G676" s="83" t="s">
        <v>1555</v>
      </c>
      <c r="H676" s="84">
        <f t="shared" si="15"/>
        <v>6.4735769736672388E-3</v>
      </c>
      <c r="J676" s="83">
        <v>135.46476902060721</v>
      </c>
      <c r="K676" s="83">
        <v>135.76299629518107</v>
      </c>
      <c r="L676" s="83">
        <v>132.64155082130785</v>
      </c>
      <c r="M676" s="83">
        <v>132.87019173181449</v>
      </c>
      <c r="N676" s="83">
        <v>22983800.223483704</v>
      </c>
      <c r="O676" s="83" t="s">
        <v>1555</v>
      </c>
      <c r="P676" s="84">
        <f t="shared" si="16"/>
        <v>1.9527158461768668E-2</v>
      </c>
    </row>
    <row r="677" spans="2:16" ht="15" customHeight="1">
      <c r="B677" s="83">
        <v>379.47574639926688</v>
      </c>
      <c r="C677" s="83">
        <v>383.92299565364277</v>
      </c>
      <c r="D677" s="83">
        <v>378.14353076359481</v>
      </c>
      <c r="E677" s="83">
        <v>382.60057572117415</v>
      </c>
      <c r="F677" s="83">
        <v>7030289.5636524763</v>
      </c>
      <c r="G677" s="83" t="s">
        <v>1554</v>
      </c>
      <c r="H677" s="84">
        <f t="shared" si="15"/>
        <v>-8.167340877669127E-3</v>
      </c>
      <c r="J677" s="83">
        <v>132.51231900232582</v>
      </c>
      <c r="K677" s="83">
        <v>134.44085537790357</v>
      </c>
      <c r="L677" s="83">
        <v>132.03018490843138</v>
      </c>
      <c r="M677" s="83">
        <v>134.13268719417724</v>
      </c>
      <c r="N677" s="83">
        <v>19745413.320810389</v>
      </c>
      <c r="O677" s="83" t="s">
        <v>1554</v>
      </c>
      <c r="P677" s="84">
        <f t="shared" si="16"/>
        <v>-1.2080337953012776E-2</v>
      </c>
    </row>
    <row r="678" spans="2:16" ht="15" customHeight="1">
      <c r="B678" s="83">
        <v>384.64787769069966</v>
      </c>
      <c r="C678" s="83">
        <v>385.71551138284599</v>
      </c>
      <c r="D678" s="83">
        <v>382.00303782576248</v>
      </c>
      <c r="E678" s="83">
        <v>383.89360854403236</v>
      </c>
      <c r="F678" s="83">
        <v>6008913.1711485982</v>
      </c>
      <c r="G678" s="83" t="s">
        <v>1553</v>
      </c>
      <c r="H678" s="84">
        <f t="shared" si="15"/>
        <v>1.964786935442886E-3</v>
      </c>
      <c r="J678" s="83">
        <v>134.3712690138363</v>
      </c>
      <c r="K678" s="83">
        <v>134.56014628773312</v>
      </c>
      <c r="L678" s="83">
        <v>131.28461672199668</v>
      </c>
      <c r="M678" s="83">
        <v>131.37408490436886</v>
      </c>
      <c r="N678" s="83">
        <v>19324584.608281244</v>
      </c>
      <c r="O678" s="83" t="s">
        <v>1553</v>
      </c>
      <c r="P678" s="84">
        <f t="shared" si="16"/>
        <v>2.2814119783587383E-2</v>
      </c>
    </row>
    <row r="679" spans="2:16" ht="15" customHeight="1">
      <c r="B679" s="83">
        <v>384.67726480031007</v>
      </c>
      <c r="C679" s="83">
        <v>388.63472889451236</v>
      </c>
      <c r="D679" s="83">
        <v>383.30586635182414</v>
      </c>
      <c r="E679" s="83">
        <v>388.51718045607072</v>
      </c>
      <c r="F679" s="83">
        <v>5886851.490107025</v>
      </c>
      <c r="G679" s="83" t="s">
        <v>1552</v>
      </c>
      <c r="H679" s="84">
        <f t="shared" si="15"/>
        <v>-9.8835157077302727E-3</v>
      </c>
      <c r="J679" s="83">
        <v>131.07088717521876</v>
      </c>
      <c r="K679" s="83">
        <v>134.09292355756736</v>
      </c>
      <c r="L679" s="83">
        <v>130.54401899013823</v>
      </c>
      <c r="M679" s="83">
        <v>133.28770991621792</v>
      </c>
      <c r="N679" s="83">
        <v>23375463.595544145</v>
      </c>
      <c r="O679" s="83" t="s">
        <v>1552</v>
      </c>
      <c r="P679" s="84">
        <f t="shared" si="16"/>
        <v>-1.6631861575179152E-2</v>
      </c>
    </row>
    <row r="680" spans="2:16" ht="15" customHeight="1">
      <c r="B680" s="83">
        <v>385.59806090143633</v>
      </c>
      <c r="C680" s="83">
        <v>387.1947605236021</v>
      </c>
      <c r="D680" s="83">
        <v>382.35568314108741</v>
      </c>
      <c r="E680" s="83">
        <v>382.88465111407487</v>
      </c>
      <c r="F680" s="83">
        <v>4150569.8116285275</v>
      </c>
      <c r="G680" s="83" t="s">
        <v>1551</v>
      </c>
      <c r="H680" s="84">
        <f t="shared" si="15"/>
        <v>7.0867551871465206E-3</v>
      </c>
      <c r="J680" s="83">
        <v>132.34332354673396</v>
      </c>
      <c r="K680" s="83">
        <v>133.38701959865102</v>
      </c>
      <c r="L680" s="83">
        <v>129.9177417135331</v>
      </c>
      <c r="M680" s="83">
        <v>129.9177417135331</v>
      </c>
      <c r="N680" s="83">
        <v>18309581.871081851</v>
      </c>
      <c r="O680" s="83" t="s">
        <v>1551</v>
      </c>
      <c r="P680" s="84">
        <f t="shared" si="16"/>
        <v>1.8670135434998736E-2</v>
      </c>
    </row>
    <row r="681" spans="2:16" ht="15" customHeight="1">
      <c r="B681" s="83">
        <v>383.36219164524408</v>
      </c>
      <c r="C681" s="83">
        <v>384.86499876025914</v>
      </c>
      <c r="D681" s="83">
        <v>380.04430580689905</v>
      </c>
      <c r="E681" s="83">
        <v>384.32828193346802</v>
      </c>
      <c r="F681" s="83">
        <v>4957425.903540004</v>
      </c>
      <c r="G681" s="83" t="s">
        <v>1550</v>
      </c>
      <c r="H681" s="84">
        <f t="shared" si="15"/>
        <v>-2.5137111517365973E-3</v>
      </c>
      <c r="J681" s="83">
        <v>130.68319171827272</v>
      </c>
      <c r="K681" s="83">
        <v>130.94165535623674</v>
      </c>
      <c r="L681" s="83">
        <v>128.61548261456051</v>
      </c>
      <c r="M681" s="83">
        <v>128.67512806947528</v>
      </c>
      <c r="N681" s="83">
        <v>18875739.343570754</v>
      </c>
      <c r="O681" s="83" t="s">
        <v>1550</v>
      </c>
      <c r="P681" s="84">
        <f t="shared" si="16"/>
        <v>1.5605686032138522E-2</v>
      </c>
    </row>
    <row r="682" spans="2:16" ht="15" customHeight="1">
      <c r="B682" s="83">
        <v>383.27436525540548</v>
      </c>
      <c r="C682" s="83">
        <v>386.78742084894725</v>
      </c>
      <c r="D682" s="83">
        <v>382.49368623461845</v>
      </c>
      <c r="E682" s="83">
        <v>386.16287763231765</v>
      </c>
      <c r="F682" s="83">
        <v>5876662.5947943795</v>
      </c>
      <c r="G682" s="83" t="s">
        <v>1549</v>
      </c>
      <c r="H682" s="84">
        <f t="shared" si="15"/>
        <v>-7.4800363893663402E-3</v>
      </c>
      <c r="J682" s="83">
        <v>128.68506897862773</v>
      </c>
      <c r="K682" s="83">
        <v>130.62851671793416</v>
      </c>
      <c r="L682" s="83">
        <v>127.43251442541747</v>
      </c>
      <c r="M682" s="83">
        <v>130.14041807854824</v>
      </c>
      <c r="N682" s="83">
        <v>20499924.79304751</v>
      </c>
      <c r="O682" s="83" t="s">
        <v>1549</v>
      </c>
      <c r="P682" s="84">
        <f t="shared" si="16"/>
        <v>-1.1182913974059239E-2</v>
      </c>
    </row>
    <row r="683" spans="2:16" ht="15" customHeight="1">
      <c r="B683" s="83">
        <v>388.98308059491086</v>
      </c>
      <c r="C683" s="83">
        <v>389.01157537916959</v>
      </c>
      <c r="D683" s="83">
        <v>385.82133056072325</v>
      </c>
      <c r="E683" s="83">
        <v>386.20191158335695</v>
      </c>
      <c r="F683" s="83">
        <v>3307787.1074293554</v>
      </c>
      <c r="G683" s="83" t="s">
        <v>1548</v>
      </c>
      <c r="H683" s="84">
        <f t="shared" si="15"/>
        <v>7.2013341419041588E-3</v>
      </c>
      <c r="J683" s="83">
        <v>131.38899626809754</v>
      </c>
      <c r="K683" s="83">
        <v>131.43870081385987</v>
      </c>
      <c r="L683" s="83">
        <v>129.26164170947058</v>
      </c>
      <c r="M683" s="83">
        <v>129.9972689867528</v>
      </c>
      <c r="N683" s="83">
        <v>14737114.860737771</v>
      </c>
      <c r="O683" s="83" t="s">
        <v>1548</v>
      </c>
      <c r="P683" s="84">
        <f t="shared" si="16"/>
        <v>1.0705819377532899E-2</v>
      </c>
    </row>
    <row r="684" spans="2:16" ht="15" customHeight="1">
      <c r="B684" s="83">
        <v>387.37293011453755</v>
      </c>
      <c r="C684" s="83">
        <v>390.65763709449914</v>
      </c>
      <c r="D684" s="83">
        <v>386.9777113602641</v>
      </c>
      <c r="E684" s="83">
        <v>389.16361261846788</v>
      </c>
      <c r="F684" s="83">
        <v>7384881.9380181106</v>
      </c>
      <c r="G684" s="83" t="s">
        <v>1547</v>
      </c>
      <c r="H684" s="84">
        <f t="shared" si="15"/>
        <v>-4.6013616018255599E-3</v>
      </c>
      <c r="J684" s="83">
        <v>130.47443262607101</v>
      </c>
      <c r="K684" s="83">
        <v>132.22403263690441</v>
      </c>
      <c r="L684" s="83">
        <v>129.73880534878876</v>
      </c>
      <c r="M684" s="83">
        <v>130.90189171962689</v>
      </c>
      <c r="N684" s="83">
        <v>17458447.445624996</v>
      </c>
      <c r="O684" s="83" t="s">
        <v>1547</v>
      </c>
      <c r="P684" s="84">
        <f t="shared" si="16"/>
        <v>-3.2654921020655037E-3</v>
      </c>
    </row>
    <row r="685" spans="2:16" ht="15" customHeight="1">
      <c r="B685" s="83">
        <v>388.30974493948202</v>
      </c>
      <c r="C685" s="83">
        <v>392.34000038429519</v>
      </c>
      <c r="D685" s="83">
        <v>388.08529972100575</v>
      </c>
      <c r="E685" s="83">
        <v>392.09603819029928</v>
      </c>
      <c r="F685" s="83">
        <v>4747804.284868842</v>
      </c>
      <c r="G685" s="83" t="s">
        <v>1546</v>
      </c>
      <c r="H685" s="84">
        <f t="shared" si="15"/>
        <v>-9.656545545047357E-3</v>
      </c>
      <c r="J685" s="83">
        <v>130.5837826267481</v>
      </c>
      <c r="K685" s="83">
        <v>132.40296900164873</v>
      </c>
      <c r="L685" s="83">
        <v>130.31537807963161</v>
      </c>
      <c r="M685" s="83">
        <v>131.60769626945171</v>
      </c>
      <c r="N685" s="83">
        <v>22189494.604259331</v>
      </c>
      <c r="O685" s="83" t="s">
        <v>1546</v>
      </c>
      <c r="P685" s="84">
        <f t="shared" si="16"/>
        <v>-7.7800438099551172E-3</v>
      </c>
    </row>
    <row r="686" spans="2:16" ht="15" customHeight="1">
      <c r="B686" s="83">
        <v>394.77962232425477</v>
      </c>
      <c r="C686" s="83">
        <v>399.94186234920915</v>
      </c>
      <c r="D686" s="83">
        <v>394.56493559353828</v>
      </c>
      <c r="E686" s="83">
        <v>399.57103981433528</v>
      </c>
      <c r="F686" s="83">
        <v>4108643.7762427176</v>
      </c>
      <c r="G686" s="83" t="s">
        <v>1545</v>
      </c>
      <c r="H686" s="84">
        <f t="shared" si="15"/>
        <v>-1.1991403311678694E-2</v>
      </c>
      <c r="J686" s="83">
        <v>133.7946962829935</v>
      </c>
      <c r="K686" s="83">
        <v>138.01958267279008</v>
      </c>
      <c r="L686" s="83">
        <v>133.72510991892628</v>
      </c>
      <c r="M686" s="83">
        <v>138.00964176363763</v>
      </c>
      <c r="N686" s="83">
        <v>21601176.180833116</v>
      </c>
      <c r="O686" s="83" t="s">
        <v>1545</v>
      </c>
      <c r="P686" s="84">
        <f t="shared" si="16"/>
        <v>-3.0540949362529823E-2</v>
      </c>
    </row>
    <row r="687" spans="2:16" ht="15" customHeight="1">
      <c r="B687" s="83">
        <v>398.50736464851298</v>
      </c>
      <c r="C687" s="83">
        <v>398.93185886606591</v>
      </c>
      <c r="D687" s="83">
        <v>395.91160690439597</v>
      </c>
      <c r="E687" s="83">
        <v>398.36098733211543</v>
      </c>
      <c r="F687" s="83">
        <v>3719606.0386923924</v>
      </c>
      <c r="G687" s="83" t="s">
        <v>1544</v>
      </c>
      <c r="H687" s="84">
        <f t="shared" si="15"/>
        <v>3.6744892459950051E-4</v>
      </c>
      <c r="J687" s="83">
        <v>138.00964176363763</v>
      </c>
      <c r="K687" s="83">
        <v>138.35260312939758</v>
      </c>
      <c r="L687" s="83">
        <v>136.68750084636011</v>
      </c>
      <c r="M687" s="83">
        <v>137.43306903279478</v>
      </c>
      <c r="N687" s="83">
        <v>15576687.969393784</v>
      </c>
      <c r="O687" s="83" t="s">
        <v>1544</v>
      </c>
      <c r="P687" s="84">
        <f t="shared" si="16"/>
        <v>4.195298372513756E-3</v>
      </c>
    </row>
    <row r="688" spans="2:16" ht="15" customHeight="1">
      <c r="B688" s="83">
        <v>399.30756064481966</v>
      </c>
      <c r="C688" s="83">
        <v>400.42978673720103</v>
      </c>
      <c r="D688" s="83">
        <v>398.30243640555636</v>
      </c>
      <c r="E688" s="83">
        <v>398.71229289146953</v>
      </c>
      <c r="F688" s="83">
        <v>3089178.4405435175</v>
      </c>
      <c r="G688" s="83" t="s">
        <v>1543</v>
      </c>
      <c r="H688" s="84">
        <f t="shared" ref="H688:H751" si="17">B688/E688-1</f>
        <v>1.4929756718391474E-3</v>
      </c>
      <c r="J688" s="83">
        <v>138.13887358261965</v>
      </c>
      <c r="K688" s="83">
        <v>139.10314177040851</v>
      </c>
      <c r="L688" s="83">
        <v>136.8167326653421</v>
      </c>
      <c r="M688" s="83">
        <v>136.8167326653421</v>
      </c>
      <c r="N688" s="83">
        <v>16330085.861390887</v>
      </c>
      <c r="O688" s="83" t="s">
        <v>1543</v>
      </c>
      <c r="P688" s="84">
        <f t="shared" ref="P688:P751" si="18">J688/M688-1</f>
        <v>9.6635907868927173E-3</v>
      </c>
    </row>
    <row r="689" spans="2:16" ht="15" customHeight="1">
      <c r="B689" s="83">
        <v>398.86842869562696</v>
      </c>
      <c r="C689" s="83">
        <v>402.70351438524341</v>
      </c>
      <c r="D689" s="83">
        <v>398.61470801387117</v>
      </c>
      <c r="E689" s="83">
        <v>402.38148428916867</v>
      </c>
      <c r="F689" s="83">
        <v>4103125.5031941393</v>
      </c>
      <c r="G689" s="83" t="s">
        <v>1542</v>
      </c>
      <c r="H689" s="84">
        <f t="shared" si="17"/>
        <v>-8.7306591647667853E-3</v>
      </c>
      <c r="J689" s="83">
        <v>137.4827735785571</v>
      </c>
      <c r="K689" s="83">
        <v>138.53650994871813</v>
      </c>
      <c r="L689" s="83">
        <v>136.3693917534813</v>
      </c>
      <c r="M689" s="83">
        <v>137.97981903618023</v>
      </c>
      <c r="N689" s="83">
        <v>49249858.588509448</v>
      </c>
      <c r="O689" s="83" t="s">
        <v>1542</v>
      </c>
      <c r="P689" s="84">
        <f t="shared" si="18"/>
        <v>-3.6023054755043304E-3</v>
      </c>
    </row>
    <row r="690" spans="2:16" ht="15" customHeight="1">
      <c r="B690" s="83">
        <v>403.90380837970343</v>
      </c>
      <c r="C690" s="83">
        <v>404.49907613305362</v>
      </c>
      <c r="D690" s="83">
        <v>401.48370341526362</v>
      </c>
      <c r="E690" s="83">
        <v>402.70351438524341</v>
      </c>
      <c r="F690" s="83">
        <v>3751504.4237353187</v>
      </c>
      <c r="G690" s="83" t="s">
        <v>1541</v>
      </c>
      <c r="H690" s="84">
        <f t="shared" si="17"/>
        <v>2.9805898175294665E-3</v>
      </c>
      <c r="J690" s="83">
        <v>138.16869631007702</v>
      </c>
      <c r="K690" s="83">
        <v>138.72538722261493</v>
      </c>
      <c r="L690" s="83">
        <v>136.25010084365175</v>
      </c>
      <c r="M690" s="83">
        <v>137.57224176092924</v>
      </c>
      <c r="N690" s="83">
        <v>19177931.019797452</v>
      </c>
      <c r="O690" s="83" t="s">
        <v>1541</v>
      </c>
      <c r="P690" s="84">
        <f t="shared" si="18"/>
        <v>4.3355733795795715E-3</v>
      </c>
    </row>
    <row r="691" spans="2:16" ht="15" customHeight="1">
      <c r="B691" s="83">
        <v>400.43954522496091</v>
      </c>
      <c r="C691" s="83">
        <v>401.46418643974391</v>
      </c>
      <c r="D691" s="83">
        <v>399.11239088962293</v>
      </c>
      <c r="E691" s="83">
        <v>400.12727361664605</v>
      </c>
      <c r="F691" s="83">
        <v>2592356.5846046028</v>
      </c>
      <c r="G691" s="83" t="s">
        <v>1540</v>
      </c>
      <c r="H691" s="84">
        <f t="shared" si="17"/>
        <v>7.8043070019284677E-4</v>
      </c>
      <c r="J691" s="83">
        <v>136.68750084636011</v>
      </c>
      <c r="K691" s="83">
        <v>136.88631902940935</v>
      </c>
      <c r="L691" s="83">
        <v>134.13268719417724</v>
      </c>
      <c r="M691" s="83">
        <v>135.0969553819661</v>
      </c>
      <c r="N691" s="83">
        <v>16492369.81100332</v>
      </c>
      <c r="O691" s="83" t="s">
        <v>1540</v>
      </c>
      <c r="P691" s="84">
        <f t="shared" si="18"/>
        <v>1.1773362766740236E-2</v>
      </c>
    </row>
    <row r="692" spans="2:16" ht="15" customHeight="1">
      <c r="B692" s="83">
        <v>399.97113781248868</v>
      </c>
      <c r="C692" s="83">
        <v>402.19607302173176</v>
      </c>
      <c r="D692" s="83">
        <v>399.40514552241808</v>
      </c>
      <c r="E692" s="83">
        <v>400.78109229655524</v>
      </c>
      <c r="F692" s="83">
        <v>7783271.5344061935</v>
      </c>
      <c r="G692" s="83" t="s">
        <v>1539</v>
      </c>
      <c r="H692" s="84">
        <f t="shared" si="17"/>
        <v>-2.020939858777715E-3</v>
      </c>
      <c r="J692" s="83">
        <v>135.26595083755794</v>
      </c>
      <c r="K692" s="83">
        <v>136.82667357449455</v>
      </c>
      <c r="L692" s="83">
        <v>135.1267781094235</v>
      </c>
      <c r="M692" s="83">
        <v>136.31968720771897</v>
      </c>
      <c r="N692" s="83">
        <v>15303362.868205536</v>
      </c>
      <c r="O692" s="83" t="s">
        <v>1539</v>
      </c>
      <c r="P692" s="84">
        <f t="shared" si="18"/>
        <v>-7.7298913439801664E-3</v>
      </c>
    </row>
    <row r="693" spans="2:16" ht="15" customHeight="1">
      <c r="B693" s="83">
        <v>402.12776360741293</v>
      </c>
      <c r="C693" s="83">
        <v>402.42051824020808</v>
      </c>
      <c r="D693" s="83">
        <v>400.3809942984019</v>
      </c>
      <c r="E693" s="83">
        <v>401.93259385221614</v>
      </c>
      <c r="F693" s="83">
        <v>3429386.8910437454</v>
      </c>
      <c r="G693" s="83" t="s">
        <v>1538</v>
      </c>
      <c r="H693" s="84">
        <f t="shared" si="17"/>
        <v>4.8557832378359755E-4</v>
      </c>
      <c r="J693" s="83">
        <v>136.9260826660192</v>
      </c>
      <c r="K693" s="83">
        <v>137.44678748742518</v>
      </c>
      <c r="L693" s="83">
        <v>135.74311447687617</v>
      </c>
      <c r="M693" s="83">
        <v>136.56820993653054</v>
      </c>
      <c r="N693" s="83">
        <v>17282881.008669112</v>
      </c>
      <c r="O693" s="83" t="s">
        <v>1538</v>
      </c>
      <c r="P693" s="84">
        <f t="shared" si="18"/>
        <v>2.620468772747131E-3</v>
      </c>
    </row>
    <row r="694" spans="2:16" ht="15" customHeight="1">
      <c r="B694" s="83">
        <v>399.50273040001645</v>
      </c>
      <c r="C694" s="83">
        <v>400.91771112519297</v>
      </c>
      <c r="D694" s="83">
        <v>398.62446650163099</v>
      </c>
      <c r="E694" s="83">
        <v>398.94649659770567</v>
      </c>
      <c r="F694" s="83">
        <v>4227317.901629867</v>
      </c>
      <c r="G694" s="83" t="s">
        <v>1537</v>
      </c>
      <c r="H694" s="84">
        <f t="shared" si="17"/>
        <v>1.3942566410645174E-3</v>
      </c>
      <c r="J694" s="83">
        <v>136.38927357178622</v>
      </c>
      <c r="K694" s="83">
        <v>136.70241221008877</v>
      </c>
      <c r="L694" s="83">
        <v>135.0671326545087</v>
      </c>
      <c r="M694" s="83">
        <v>135.0671326545087</v>
      </c>
      <c r="N694" s="83">
        <v>17925930.844650809</v>
      </c>
      <c r="O694" s="83" t="s">
        <v>1537</v>
      </c>
      <c r="P694" s="84">
        <f t="shared" si="18"/>
        <v>9.7887686759403625E-3</v>
      </c>
    </row>
    <row r="695" spans="2:16" ht="15" customHeight="1">
      <c r="B695" s="83">
        <v>398.9562550854655</v>
      </c>
      <c r="C695" s="83">
        <v>399.5417643510558</v>
      </c>
      <c r="D695" s="83">
        <v>397.02895375289745</v>
      </c>
      <c r="E695" s="83">
        <v>397.33634611733237</v>
      </c>
      <c r="F695" s="83">
        <v>2301339.1575307297</v>
      </c>
      <c r="G695" s="83" t="s">
        <v>1536</v>
      </c>
      <c r="H695" s="84">
        <f t="shared" si="17"/>
        <v>4.0769211877103029E-3</v>
      </c>
      <c r="J695" s="83">
        <v>135.39518265653996</v>
      </c>
      <c r="K695" s="83">
        <v>135.77293720433354</v>
      </c>
      <c r="L695" s="83">
        <v>133.16851841547989</v>
      </c>
      <c r="M695" s="83">
        <v>133.80463719214595</v>
      </c>
      <c r="N695" s="83">
        <v>17076864.640488874</v>
      </c>
      <c r="O695" s="83" t="s">
        <v>1536</v>
      </c>
      <c r="P695" s="84">
        <f t="shared" si="18"/>
        <v>1.1887072808320909E-2</v>
      </c>
    </row>
    <row r="696" spans="2:16" ht="15" customHeight="1">
      <c r="B696" s="83">
        <v>400.14679059216576</v>
      </c>
      <c r="C696" s="83">
        <v>402.17655604621211</v>
      </c>
      <c r="D696" s="83">
        <v>397.98040630948168</v>
      </c>
      <c r="E696" s="83">
        <v>402.14728058293264</v>
      </c>
      <c r="F696" s="83">
        <v>3836729.7189314449</v>
      </c>
      <c r="G696" s="83" t="s">
        <v>1535</v>
      </c>
      <c r="H696" s="84">
        <f t="shared" si="17"/>
        <v>-4.9745207473915753E-3</v>
      </c>
      <c r="J696" s="83">
        <v>134.57008719688557</v>
      </c>
      <c r="K696" s="83">
        <v>136.66761902805516</v>
      </c>
      <c r="L696" s="83">
        <v>133.89410537451812</v>
      </c>
      <c r="M696" s="83">
        <v>136.20536675246566</v>
      </c>
      <c r="N696" s="83">
        <v>15908330.674244709</v>
      </c>
      <c r="O696" s="83" t="s">
        <v>1535</v>
      </c>
      <c r="P696" s="84">
        <f t="shared" si="18"/>
        <v>-1.2005984746195741E-2</v>
      </c>
    </row>
    <row r="697" spans="2:16" ht="15" customHeight="1">
      <c r="B697" s="83">
        <v>402.92795960371961</v>
      </c>
      <c r="C697" s="83">
        <v>404.46004218201426</v>
      </c>
      <c r="D697" s="83">
        <v>402.80109926284172</v>
      </c>
      <c r="E697" s="83">
        <v>404.19656301249859</v>
      </c>
      <c r="F697" s="83">
        <v>4536242.8164519137</v>
      </c>
      <c r="G697" s="83" t="s">
        <v>1534</v>
      </c>
      <c r="H697" s="84">
        <f t="shared" si="17"/>
        <v>-3.1385803959439462E-3</v>
      </c>
      <c r="J697" s="83">
        <v>135.90216902331557</v>
      </c>
      <c r="K697" s="83">
        <v>136.55826902737809</v>
      </c>
      <c r="L697" s="83">
        <v>134.75896447078236</v>
      </c>
      <c r="M697" s="83">
        <v>135.63376447619908</v>
      </c>
      <c r="N697" s="83">
        <v>17835610.13190417</v>
      </c>
      <c r="O697" s="83" t="s">
        <v>1534</v>
      </c>
      <c r="P697" s="84">
        <f t="shared" si="18"/>
        <v>1.9788918205805306E-3</v>
      </c>
    </row>
    <row r="698" spans="2:16" ht="15" customHeight="1">
      <c r="B698" s="83">
        <v>404.69424588825035</v>
      </c>
      <c r="C698" s="83">
        <v>406.81183773213525</v>
      </c>
      <c r="D698" s="83">
        <v>403.23047272427465</v>
      </c>
      <c r="E698" s="83">
        <v>406.40198124622202</v>
      </c>
      <c r="F698" s="83">
        <v>3676769.4834506679</v>
      </c>
      <c r="G698" s="83" t="s">
        <v>1533</v>
      </c>
      <c r="H698" s="84">
        <f t="shared" si="17"/>
        <v>-4.2020842337798792E-3</v>
      </c>
      <c r="J698" s="83">
        <v>135.99163720568774</v>
      </c>
      <c r="K698" s="83">
        <v>137.76111903482607</v>
      </c>
      <c r="L698" s="83">
        <v>135.13671901857595</v>
      </c>
      <c r="M698" s="83">
        <v>137.61200539753912</v>
      </c>
      <c r="N698" s="83">
        <v>16770746.764012137</v>
      </c>
      <c r="O698" s="83" t="s">
        <v>1533</v>
      </c>
      <c r="P698" s="84">
        <f t="shared" si="18"/>
        <v>-1.1774904283753385E-2</v>
      </c>
    </row>
    <row r="699" spans="2:16" ht="15" customHeight="1">
      <c r="B699" s="83">
        <v>403.8354989653846</v>
      </c>
      <c r="C699" s="83">
        <v>406.07019266238757</v>
      </c>
      <c r="D699" s="83">
        <v>403.6696046734674</v>
      </c>
      <c r="E699" s="83">
        <v>404.95967675531801</v>
      </c>
      <c r="F699" s="83">
        <v>4868716.4619436599</v>
      </c>
      <c r="G699" s="83" t="s">
        <v>1532</v>
      </c>
      <c r="H699" s="84">
        <f t="shared" si="17"/>
        <v>-2.7760240203190678E-3</v>
      </c>
      <c r="J699" s="83">
        <v>136.53838720907316</v>
      </c>
      <c r="K699" s="83">
        <v>137.58218267008172</v>
      </c>
      <c r="L699" s="83">
        <v>136.01151902399263</v>
      </c>
      <c r="M699" s="83">
        <v>136.2401599344993</v>
      </c>
      <c r="N699" s="83">
        <v>28315166.719964683</v>
      </c>
      <c r="O699" s="83" t="s">
        <v>1532</v>
      </c>
      <c r="P699" s="84">
        <f t="shared" si="18"/>
        <v>2.1889821233125328E-3</v>
      </c>
    </row>
    <row r="700" spans="2:16" ht="15" customHeight="1">
      <c r="B700" s="83">
        <v>404.35269881665607</v>
      </c>
      <c r="C700" s="83">
        <v>405.0057368175444</v>
      </c>
      <c r="D700" s="83">
        <v>402.44003521572773</v>
      </c>
      <c r="E700" s="83">
        <v>403.05481994459751</v>
      </c>
      <c r="F700" s="83">
        <v>3078874.5899393465</v>
      </c>
      <c r="G700" s="83" t="s">
        <v>1531</v>
      </c>
      <c r="H700" s="84">
        <f t="shared" si="17"/>
        <v>3.2201050771132333E-3</v>
      </c>
      <c r="J700" s="83">
        <v>136.12086902466973</v>
      </c>
      <c r="K700" s="83">
        <v>136.43897811754854</v>
      </c>
      <c r="L700" s="83">
        <v>134.22314946746462</v>
      </c>
      <c r="M700" s="83">
        <v>134.76890537993481</v>
      </c>
      <c r="N700" s="83">
        <v>21902781.391585622</v>
      </c>
      <c r="O700" s="83" t="s">
        <v>1531</v>
      </c>
      <c r="P700" s="84">
        <f t="shared" si="18"/>
        <v>1.0031717931695994E-2</v>
      </c>
    </row>
    <row r="701" spans="2:16" ht="15" customHeight="1">
      <c r="B701" s="83">
        <v>402.67423892196388</v>
      </c>
      <c r="C701" s="83">
        <v>403.00602750579839</v>
      </c>
      <c r="D701" s="83">
        <v>396.75083685174206</v>
      </c>
      <c r="E701" s="83">
        <v>396.95576509469862</v>
      </c>
      <c r="F701" s="83">
        <v>3568856.2466954826</v>
      </c>
      <c r="G701" s="83" t="s">
        <v>1530</v>
      </c>
      <c r="H701" s="84">
        <f t="shared" si="17"/>
        <v>1.4405821328482338E-2</v>
      </c>
      <c r="J701" s="83">
        <v>134.68937810671514</v>
      </c>
      <c r="K701" s="83">
        <v>136.4837122087346</v>
      </c>
      <c r="L701" s="83">
        <v>132.19420990944701</v>
      </c>
      <c r="M701" s="83">
        <v>132.21220295501297</v>
      </c>
      <c r="N701" s="83">
        <v>30986366.063278474</v>
      </c>
      <c r="O701" s="83" t="s">
        <v>1530</v>
      </c>
      <c r="P701" s="84">
        <f t="shared" si="18"/>
        <v>1.8736357887819688E-2</v>
      </c>
    </row>
    <row r="702" spans="2:16" ht="15" customHeight="1">
      <c r="B702" s="83">
        <v>397.03383299677739</v>
      </c>
      <c r="C702" s="83">
        <v>397.59982528684799</v>
      </c>
      <c r="D702" s="83">
        <v>395.3163391510459</v>
      </c>
      <c r="E702" s="83">
        <v>396.54590860878545</v>
      </c>
      <c r="F702" s="83">
        <v>3316816.1703506233</v>
      </c>
      <c r="G702" s="83" t="s">
        <v>1529</v>
      </c>
      <c r="H702" s="84">
        <f t="shared" si="17"/>
        <v>1.2304360665420511E-3</v>
      </c>
      <c r="J702" s="83">
        <v>131.01124172030399</v>
      </c>
      <c r="K702" s="83">
        <v>132.45267354741105</v>
      </c>
      <c r="L702" s="83">
        <v>130.0767962599725</v>
      </c>
      <c r="M702" s="83">
        <v>131.2995280857254</v>
      </c>
      <c r="N702" s="83">
        <v>16814827.239276461</v>
      </c>
      <c r="O702" s="83" t="s">
        <v>1529</v>
      </c>
      <c r="P702" s="84">
        <f t="shared" si="18"/>
        <v>-2.1956390066626419E-3</v>
      </c>
    </row>
    <row r="703" spans="2:16" ht="15" customHeight="1">
      <c r="B703" s="83">
        <v>394.43807525266038</v>
      </c>
      <c r="C703" s="83">
        <v>395.99943329423456</v>
      </c>
      <c r="D703" s="83">
        <v>390.05651424849304</v>
      </c>
      <c r="E703" s="83">
        <v>393.34512462355855</v>
      </c>
      <c r="F703" s="83">
        <v>4527171.7388240546</v>
      </c>
      <c r="G703" s="83" t="s">
        <v>1528</v>
      </c>
      <c r="H703" s="84">
        <f t="shared" si="17"/>
        <v>2.7786047434750216E-3</v>
      </c>
      <c r="J703" s="83">
        <v>129.9177417135331</v>
      </c>
      <c r="K703" s="83">
        <v>130.62354626335795</v>
      </c>
      <c r="L703" s="83">
        <v>127.28340078813052</v>
      </c>
      <c r="M703" s="83">
        <v>129.37099171014765</v>
      </c>
      <c r="N703" s="83">
        <v>20801010.93658787</v>
      </c>
      <c r="O703" s="83" t="s">
        <v>1528</v>
      </c>
      <c r="P703" s="84">
        <f t="shared" si="18"/>
        <v>4.2262179191641103E-3</v>
      </c>
    </row>
    <row r="704" spans="2:16" ht="15" customHeight="1">
      <c r="B704" s="83">
        <v>391.84231750854349</v>
      </c>
      <c r="C704" s="83">
        <v>399.1992414306855</v>
      </c>
      <c r="D704" s="83">
        <v>391.70569867990571</v>
      </c>
      <c r="E704" s="83">
        <v>398.73180986698924</v>
      </c>
      <c r="F704" s="83">
        <v>3544392.4152212543</v>
      </c>
      <c r="G704" s="83" t="s">
        <v>1527</v>
      </c>
      <c r="H704" s="84">
        <f t="shared" si="17"/>
        <v>-1.7278511992168344E-2</v>
      </c>
      <c r="J704" s="83">
        <v>129.64933716641659</v>
      </c>
      <c r="K704" s="83">
        <v>134.17245083078708</v>
      </c>
      <c r="L704" s="83">
        <v>129.53004625658707</v>
      </c>
      <c r="M704" s="83">
        <v>133.93108555656528</v>
      </c>
      <c r="N704" s="83">
        <v>18791421.09992275</v>
      </c>
      <c r="O704" s="83" t="s">
        <v>1527</v>
      </c>
      <c r="P704" s="84">
        <f t="shared" si="18"/>
        <v>-3.1969787837942354E-2</v>
      </c>
    </row>
    <row r="705" spans="2:16" ht="15" customHeight="1">
      <c r="B705" s="83">
        <v>397.12165938661593</v>
      </c>
      <c r="C705" s="83">
        <v>397.82427050532431</v>
      </c>
      <c r="D705" s="83">
        <v>393.72570564619224</v>
      </c>
      <c r="E705" s="83">
        <v>393.81353203603078</v>
      </c>
      <c r="F705" s="83">
        <v>3330397.1680688797</v>
      </c>
      <c r="G705" s="83" t="s">
        <v>1526</v>
      </c>
      <c r="H705" s="84">
        <f t="shared" si="17"/>
        <v>8.4002378828427204E-3</v>
      </c>
      <c r="J705" s="83">
        <v>132.42285081995368</v>
      </c>
      <c r="K705" s="83">
        <v>133.27776900706544</v>
      </c>
      <c r="L705" s="83">
        <v>129.73880534878876</v>
      </c>
      <c r="M705" s="83">
        <v>130.0767962599725</v>
      </c>
      <c r="N705" s="83">
        <v>26654530.88205336</v>
      </c>
      <c r="O705" s="83" t="s">
        <v>1526</v>
      </c>
      <c r="P705" s="84">
        <f t="shared" si="18"/>
        <v>1.8035918991211375E-2</v>
      </c>
    </row>
    <row r="706" spans="2:16" ht="15" customHeight="1">
      <c r="B706" s="83">
        <v>392.88647569884614</v>
      </c>
      <c r="C706" s="83">
        <v>395.60909378384099</v>
      </c>
      <c r="D706" s="83">
        <v>392.34975887205502</v>
      </c>
      <c r="E706" s="83">
        <v>395.56030134504181</v>
      </c>
      <c r="F706" s="83">
        <v>2713587.4586001462</v>
      </c>
      <c r="G706" s="83" t="s">
        <v>1525</v>
      </c>
      <c r="H706" s="84">
        <f t="shared" si="17"/>
        <v>-6.7595904773651849E-3</v>
      </c>
      <c r="J706" s="83">
        <v>128.92365079828684</v>
      </c>
      <c r="K706" s="83">
        <v>130.17620535149712</v>
      </c>
      <c r="L706" s="83">
        <v>128.16317124812346</v>
      </c>
      <c r="M706" s="83">
        <v>128.36695988574894</v>
      </c>
      <c r="N706" s="83">
        <v>15661920.616328306</v>
      </c>
      <c r="O706" s="83" t="s">
        <v>1525</v>
      </c>
      <c r="P706" s="84">
        <f t="shared" si="18"/>
        <v>4.3367149384341275E-3</v>
      </c>
    </row>
    <row r="707" spans="2:16" ht="15" customHeight="1">
      <c r="B707" s="83">
        <v>393.98918481570786</v>
      </c>
      <c r="C707" s="83">
        <v>394.62348652009734</v>
      </c>
      <c r="D707" s="83">
        <v>390.32975190576855</v>
      </c>
      <c r="E707" s="83">
        <v>392.42782677413373</v>
      </c>
      <c r="F707" s="83">
        <v>3373918.2556033526</v>
      </c>
      <c r="G707" s="83" t="s">
        <v>1524</v>
      </c>
      <c r="H707" s="84">
        <f t="shared" si="17"/>
        <v>3.9787138807381162E-3</v>
      </c>
      <c r="J707" s="83">
        <v>128.1681417026997</v>
      </c>
      <c r="K707" s="83">
        <v>128.49619170473093</v>
      </c>
      <c r="L707" s="83">
        <v>126.40860078271382</v>
      </c>
      <c r="M707" s="83">
        <v>127.09452351423373</v>
      </c>
      <c r="N707" s="83">
        <v>21980957.339889858</v>
      </c>
      <c r="O707" s="83" t="s">
        <v>1524</v>
      </c>
      <c r="P707" s="84">
        <f t="shared" si="18"/>
        <v>8.4473992960500954E-3</v>
      </c>
    </row>
    <row r="708" spans="2:16" ht="15" customHeight="1">
      <c r="B708" s="83">
        <v>391.40318555935073</v>
      </c>
      <c r="C708" s="83">
        <v>392.31072492101566</v>
      </c>
      <c r="D708" s="83">
        <v>388.24143552516318</v>
      </c>
      <c r="E708" s="83">
        <v>388.55370713347799</v>
      </c>
      <c r="F708" s="83">
        <v>4260564.8562794654</v>
      </c>
      <c r="G708" s="83" t="s">
        <v>1523</v>
      </c>
      <c r="H708" s="84">
        <f t="shared" si="17"/>
        <v>7.3335509958056821E-3</v>
      </c>
      <c r="J708" s="83">
        <v>127.35298715219777</v>
      </c>
      <c r="K708" s="83">
        <v>129.06282352642134</v>
      </c>
      <c r="L708" s="83">
        <v>126.24954623627441</v>
      </c>
      <c r="M708" s="83">
        <v>128.29737352168169</v>
      </c>
      <c r="N708" s="83">
        <v>23767647.040760946</v>
      </c>
      <c r="O708" s="83" t="s">
        <v>1523</v>
      </c>
      <c r="P708" s="84">
        <f t="shared" si="18"/>
        <v>-7.360917402758238E-3</v>
      </c>
    </row>
    <row r="709" spans="2:16" ht="15" customHeight="1">
      <c r="B709" s="83">
        <v>391.04212151223675</v>
      </c>
      <c r="C709" s="83">
        <v>395.78474656351807</v>
      </c>
      <c r="D709" s="83">
        <v>390.70057444064236</v>
      </c>
      <c r="E709" s="83">
        <v>395.5407843695221</v>
      </c>
      <c r="F709" s="83">
        <v>7278283.4541545361</v>
      </c>
      <c r="G709" s="83" t="s">
        <v>1522</v>
      </c>
      <c r="H709" s="84">
        <f t="shared" si="17"/>
        <v>-1.137344879480906E-2</v>
      </c>
      <c r="J709" s="83">
        <v>129.68910080302646</v>
      </c>
      <c r="K709" s="83">
        <v>131.70839767916618</v>
      </c>
      <c r="L709" s="83">
        <v>129.08270534472624</v>
      </c>
      <c r="M709" s="83">
        <v>129.67915989387399</v>
      </c>
      <c r="N709" s="83">
        <v>23806235.060640898</v>
      </c>
      <c r="O709" s="83" t="s">
        <v>1522</v>
      </c>
      <c r="P709" s="84">
        <f t="shared" si="18"/>
        <v>7.6657723265816102E-5</v>
      </c>
    </row>
    <row r="710" spans="2:16" ht="15" customHeight="1">
      <c r="B710" s="83">
        <v>394.23314700970383</v>
      </c>
      <c r="C710" s="83">
        <v>398.25364396675718</v>
      </c>
      <c r="D710" s="83">
        <v>394.11604515658576</v>
      </c>
      <c r="E710" s="83">
        <v>396.77035382726172</v>
      </c>
      <c r="F710" s="83">
        <v>3436652.3610371388</v>
      </c>
      <c r="G710" s="83" t="s">
        <v>1521</v>
      </c>
      <c r="H710" s="84">
        <f t="shared" si="17"/>
        <v>-6.3946481713764713E-3</v>
      </c>
      <c r="J710" s="83">
        <v>128.34707806744402</v>
      </c>
      <c r="K710" s="83">
        <v>130.12401557844672</v>
      </c>
      <c r="L710" s="83">
        <v>127.70091897253396</v>
      </c>
      <c r="M710" s="83">
        <v>128.51607352303589</v>
      </c>
      <c r="N710" s="83">
        <v>17652666.100115135</v>
      </c>
      <c r="O710" s="83" t="s">
        <v>1521</v>
      </c>
      <c r="P710" s="84">
        <f t="shared" si="18"/>
        <v>-1.3149752475247745E-3</v>
      </c>
    </row>
    <row r="711" spans="2:16" ht="15" customHeight="1">
      <c r="B711" s="83">
        <v>397.17045182541511</v>
      </c>
      <c r="C711" s="83">
        <v>401.76913918223886</v>
      </c>
      <c r="D711" s="83">
        <v>396.59470104758469</v>
      </c>
      <c r="E711" s="83">
        <v>400.18582454320511</v>
      </c>
      <c r="F711" s="83">
        <v>4802095.4837757498</v>
      </c>
      <c r="G711" s="83" t="s">
        <v>1520</v>
      </c>
      <c r="H711" s="84">
        <f t="shared" si="17"/>
        <v>-7.5349313565314935E-3</v>
      </c>
      <c r="J711" s="83">
        <v>129.50022352912967</v>
      </c>
      <c r="K711" s="83">
        <v>131.21005990335325</v>
      </c>
      <c r="L711" s="83">
        <v>129.05188852635359</v>
      </c>
      <c r="M711" s="83">
        <v>130.81242353725474</v>
      </c>
      <c r="N711" s="83">
        <v>14856964.059812773</v>
      </c>
      <c r="O711" s="83" t="s">
        <v>1520</v>
      </c>
      <c r="P711" s="84">
        <f t="shared" si="18"/>
        <v>-1.0031157382779932E-2</v>
      </c>
    </row>
    <row r="712" spans="2:16" ht="15" customHeight="1">
      <c r="B712" s="83">
        <v>401.77645804805877</v>
      </c>
      <c r="C712" s="83">
        <v>401.79597502357842</v>
      </c>
      <c r="D712" s="83">
        <v>398.44881372195391</v>
      </c>
      <c r="E712" s="83">
        <v>398.69277591594988</v>
      </c>
      <c r="F712" s="83">
        <v>2841538.6361523434</v>
      </c>
      <c r="G712" s="83" t="s">
        <v>1519</v>
      </c>
      <c r="H712" s="84">
        <f t="shared" si="17"/>
        <v>7.7344820834148731E-3</v>
      </c>
      <c r="J712" s="83">
        <v>131.05100535691383</v>
      </c>
      <c r="K712" s="83">
        <v>131.13053263013353</v>
      </c>
      <c r="L712" s="83">
        <v>128.82424170676222</v>
      </c>
      <c r="M712" s="83">
        <v>129.08270534472624</v>
      </c>
      <c r="N712" s="83">
        <v>17630374.376430579</v>
      </c>
      <c r="O712" s="83" t="s">
        <v>1519</v>
      </c>
      <c r="P712" s="84">
        <f t="shared" si="18"/>
        <v>1.5248363496342066E-2</v>
      </c>
    </row>
    <row r="713" spans="2:16" ht="15" customHeight="1">
      <c r="B713" s="83">
        <v>399.52224737553615</v>
      </c>
      <c r="C713" s="83">
        <v>400.49809615151997</v>
      </c>
      <c r="D713" s="83">
        <v>397.50224040924957</v>
      </c>
      <c r="E713" s="83">
        <v>398.09750816259975</v>
      </c>
      <c r="F713" s="83">
        <v>2991100.7441263557</v>
      </c>
      <c r="G713" s="83" t="s">
        <v>1518</v>
      </c>
      <c r="H713" s="84">
        <f t="shared" si="17"/>
        <v>3.5788699595540319E-3</v>
      </c>
      <c r="J713" s="83">
        <v>129.40081443760502</v>
      </c>
      <c r="K713" s="83">
        <v>129.66921898472154</v>
      </c>
      <c r="L713" s="83">
        <v>127.98920533795537</v>
      </c>
      <c r="M713" s="83">
        <v>128.43853443164667</v>
      </c>
      <c r="N713" s="83">
        <v>15295849.470904093</v>
      </c>
      <c r="O713" s="83" t="s">
        <v>1518</v>
      </c>
      <c r="P713" s="84">
        <f t="shared" si="18"/>
        <v>7.4921440844566423E-3</v>
      </c>
    </row>
    <row r="714" spans="2:16" ht="15" customHeight="1">
      <c r="B714" s="83">
        <v>399.89306991041002</v>
      </c>
      <c r="C714" s="83">
        <v>405.02603447208486</v>
      </c>
      <c r="D714" s="83">
        <v>398.75132684250889</v>
      </c>
      <c r="E714" s="83">
        <v>401.85452595013749</v>
      </c>
      <c r="F714" s="83">
        <v>4701882.2105650436</v>
      </c>
      <c r="G714" s="83" t="s">
        <v>1517</v>
      </c>
      <c r="H714" s="84">
        <f t="shared" si="17"/>
        <v>-4.8810101991257904E-3</v>
      </c>
      <c r="J714" s="83">
        <v>129.4405780742149</v>
      </c>
      <c r="K714" s="83">
        <v>131.86317763467002</v>
      </c>
      <c r="L714" s="83">
        <v>129.26661216404679</v>
      </c>
      <c r="M714" s="83">
        <v>131.1901780850483</v>
      </c>
      <c r="N714" s="83">
        <v>17961818.910272215</v>
      </c>
      <c r="O714" s="83" t="s">
        <v>1517</v>
      </c>
      <c r="P714" s="84">
        <f t="shared" si="18"/>
        <v>-1.3336364325225447E-2</v>
      </c>
    </row>
    <row r="715" spans="2:16" ht="15" customHeight="1">
      <c r="B715" s="83">
        <v>399.65886620417388</v>
      </c>
      <c r="C715" s="83">
        <v>402.76206531180242</v>
      </c>
      <c r="D715" s="83">
        <v>398.97577206098521</v>
      </c>
      <c r="E715" s="83">
        <v>402.69375589748358</v>
      </c>
      <c r="F715" s="83">
        <v>3223792.5357116582</v>
      </c>
      <c r="G715" s="83" t="s">
        <v>1516</v>
      </c>
      <c r="H715" s="84">
        <f t="shared" si="17"/>
        <v>-7.5364707022731459E-3</v>
      </c>
      <c r="J715" s="83">
        <v>129.38093261930013</v>
      </c>
      <c r="K715" s="83">
        <v>131.68722354267143</v>
      </c>
      <c r="L715" s="83">
        <v>128.73974397896629</v>
      </c>
      <c r="M715" s="83">
        <v>131.40887808640247</v>
      </c>
      <c r="N715" s="83">
        <v>17850699.295048051</v>
      </c>
      <c r="O715" s="83" t="s">
        <v>1516</v>
      </c>
      <c r="P715" s="84">
        <f t="shared" si="18"/>
        <v>-1.5432332249035285E-2</v>
      </c>
    </row>
    <row r="716" spans="2:16" ht="15" customHeight="1">
      <c r="B716" s="83">
        <v>402.33269185036954</v>
      </c>
      <c r="C716" s="83">
        <v>402.77182379956224</v>
      </c>
      <c r="D716" s="83">
        <v>399.24413047438071</v>
      </c>
      <c r="E716" s="83">
        <v>401.81549199909807</v>
      </c>
      <c r="F716" s="83">
        <v>3873639.1262970357</v>
      </c>
      <c r="G716" s="83" t="s">
        <v>1515</v>
      </c>
      <c r="H716" s="84">
        <f t="shared" si="17"/>
        <v>1.2871575675150737E-3</v>
      </c>
      <c r="J716" s="83">
        <v>131.06094626606631</v>
      </c>
      <c r="K716" s="83">
        <v>131.16035535759093</v>
      </c>
      <c r="L716" s="83">
        <v>129.3610508009952</v>
      </c>
      <c r="M716" s="83">
        <v>130.20602807895452</v>
      </c>
      <c r="N716" s="83">
        <v>16936028.427369155</v>
      </c>
      <c r="O716" s="83" t="s">
        <v>1515</v>
      </c>
      <c r="P716" s="84">
        <f t="shared" si="18"/>
        <v>6.5658879218202237E-3</v>
      </c>
    </row>
    <row r="717" spans="2:16" ht="15" customHeight="1">
      <c r="B717" s="83">
        <v>404.07946115938057</v>
      </c>
      <c r="C717" s="83">
        <v>404.235596963538</v>
      </c>
      <c r="D717" s="83">
        <v>401.69839014598006</v>
      </c>
      <c r="E717" s="83">
        <v>402.33269185036954</v>
      </c>
      <c r="F717" s="83">
        <v>2662274.1801164825</v>
      </c>
      <c r="G717" s="83" t="s">
        <v>1514</v>
      </c>
      <c r="H717" s="84">
        <f t="shared" si="17"/>
        <v>4.341604210628347E-3</v>
      </c>
      <c r="J717" s="83">
        <v>131.16035535759093</v>
      </c>
      <c r="K717" s="83">
        <v>131.27964626742047</v>
      </c>
      <c r="L717" s="83">
        <v>128.66518716032283</v>
      </c>
      <c r="M717" s="83">
        <v>128.7447144335425</v>
      </c>
      <c r="N717" s="83">
        <v>17725784.160933543</v>
      </c>
      <c r="O717" s="83" t="s">
        <v>1514</v>
      </c>
      <c r="P717" s="84">
        <f t="shared" si="18"/>
        <v>1.8763029881862625E-2</v>
      </c>
    </row>
    <row r="718" spans="2:16" ht="15" customHeight="1">
      <c r="B718" s="83">
        <v>400.46882068824044</v>
      </c>
      <c r="C718" s="83">
        <v>406.07848737698339</v>
      </c>
      <c r="D718" s="83">
        <v>400.12727361664605</v>
      </c>
      <c r="E718" s="83">
        <v>404.1477705736994</v>
      </c>
      <c r="F718" s="83">
        <v>5858762.280288795</v>
      </c>
      <c r="G718" s="83" t="s">
        <v>1513</v>
      </c>
      <c r="H718" s="84">
        <f t="shared" si="17"/>
        <v>-9.1029820113484039E-3</v>
      </c>
      <c r="J718" s="83">
        <v>127.78044624575364</v>
      </c>
      <c r="K718" s="83">
        <v>131.15041444843845</v>
      </c>
      <c r="L718" s="83">
        <v>127.55677578982323</v>
      </c>
      <c r="M718" s="83">
        <v>128.83418261591467</v>
      </c>
      <c r="N718" s="83">
        <v>20643838.189504374</v>
      </c>
      <c r="O718" s="83" t="s">
        <v>1513</v>
      </c>
      <c r="P718" s="84">
        <f t="shared" si="18"/>
        <v>-8.179012345679082E-3</v>
      </c>
    </row>
    <row r="719" spans="2:16" ht="15" customHeight="1">
      <c r="B719" s="83">
        <v>402.44003521572773</v>
      </c>
      <c r="C719" s="83">
        <v>404.18680452473876</v>
      </c>
      <c r="D719" s="83">
        <v>401.16167331918894</v>
      </c>
      <c r="E719" s="83">
        <v>401.73742409701941</v>
      </c>
      <c r="F719" s="83">
        <v>3103143.719114739</v>
      </c>
      <c r="G719" s="83" t="s">
        <v>1512</v>
      </c>
      <c r="H719" s="84">
        <f t="shared" si="17"/>
        <v>1.748931208705784E-3</v>
      </c>
      <c r="J719" s="83">
        <v>128.00908715626031</v>
      </c>
      <c r="K719" s="83">
        <v>129.00317807150657</v>
      </c>
      <c r="L719" s="83">
        <v>127.01996669559027</v>
      </c>
      <c r="M719" s="83">
        <v>127.6114507901618</v>
      </c>
      <c r="N719" s="83">
        <v>15175807.13054085</v>
      </c>
      <c r="O719" s="83" t="s">
        <v>1512</v>
      </c>
      <c r="P719" s="84">
        <f t="shared" si="18"/>
        <v>3.1159928332165077E-3</v>
      </c>
    </row>
    <row r="720" spans="2:16" ht="15" customHeight="1">
      <c r="B720" s="83">
        <v>403.58177828362881</v>
      </c>
      <c r="C720" s="83">
        <v>406.63618495245817</v>
      </c>
      <c r="D720" s="83">
        <v>402.90844262819996</v>
      </c>
      <c r="E720" s="83">
        <v>406.40198124622202</v>
      </c>
      <c r="F720" s="83">
        <v>5102294.661363136</v>
      </c>
      <c r="G720" s="83" t="s">
        <v>1511</v>
      </c>
      <c r="H720" s="84">
        <f t="shared" si="17"/>
        <v>-6.9394419632137216E-3</v>
      </c>
      <c r="J720" s="83">
        <v>127.87985533727826</v>
      </c>
      <c r="K720" s="83">
        <v>129.64933716641659</v>
      </c>
      <c r="L720" s="83">
        <v>127.09452351423373</v>
      </c>
      <c r="M720" s="83">
        <v>129.07276443557379</v>
      </c>
      <c r="N720" s="83">
        <v>22840745.903381832</v>
      </c>
      <c r="O720" s="83" t="s">
        <v>1511</v>
      </c>
      <c r="P720" s="84">
        <f t="shared" si="18"/>
        <v>-9.2421441774493962E-3</v>
      </c>
    </row>
    <row r="721" spans="2:16" ht="15" customHeight="1">
      <c r="B721" s="83">
        <v>409.25145967209482</v>
      </c>
      <c r="C721" s="83">
        <v>409.93455381528349</v>
      </c>
      <c r="D721" s="83">
        <v>408.44150518802826</v>
      </c>
      <c r="E721" s="83">
        <v>409.13435781897675</v>
      </c>
      <c r="F721" s="83">
        <v>3214919.2346294592</v>
      </c>
      <c r="G721" s="83" t="s">
        <v>1510</v>
      </c>
      <c r="H721" s="84">
        <f t="shared" si="17"/>
        <v>2.8621857558563946E-4</v>
      </c>
      <c r="J721" s="83">
        <v>131.11065081182861</v>
      </c>
      <c r="K721" s="83">
        <v>132.13456445453224</v>
      </c>
      <c r="L721" s="83">
        <v>129.97738716844788</v>
      </c>
      <c r="M721" s="83">
        <v>130.08176671454873</v>
      </c>
      <c r="N721" s="83">
        <v>22351086.464255564</v>
      </c>
      <c r="O721" s="83" t="s">
        <v>1510</v>
      </c>
      <c r="P721" s="84">
        <f t="shared" si="18"/>
        <v>7.9095181689656791E-3</v>
      </c>
    </row>
    <row r="722" spans="2:16" ht="15" customHeight="1">
      <c r="B722" s="83">
        <v>410.5200630808738</v>
      </c>
      <c r="C722" s="83">
        <v>410.80305922590912</v>
      </c>
      <c r="D722" s="83">
        <v>408.92942957602014</v>
      </c>
      <c r="E722" s="83">
        <v>410.16875752151958</v>
      </c>
      <c r="F722" s="83">
        <v>3540033.1332252184</v>
      </c>
      <c r="G722" s="83" t="s">
        <v>1509</v>
      </c>
      <c r="H722" s="84">
        <f t="shared" si="17"/>
        <v>8.5649029311007929E-4</v>
      </c>
      <c r="J722" s="83">
        <v>132.32344172842906</v>
      </c>
      <c r="K722" s="83">
        <v>133.03918718740636</v>
      </c>
      <c r="L722" s="83">
        <v>131.34923263148769</v>
      </c>
      <c r="M722" s="83">
        <v>132.22403263690441</v>
      </c>
      <c r="N722" s="83">
        <v>18491156.812801629</v>
      </c>
      <c r="O722" s="83" t="s">
        <v>1509</v>
      </c>
      <c r="P722" s="84">
        <f t="shared" si="18"/>
        <v>7.5182317119026898E-4</v>
      </c>
    </row>
    <row r="723" spans="2:16" ht="15" customHeight="1">
      <c r="B723" s="83">
        <v>409.72962557232688</v>
      </c>
      <c r="C723" s="83">
        <v>410.46151215431473</v>
      </c>
      <c r="D723" s="83">
        <v>408.06092416539457</v>
      </c>
      <c r="E723" s="83">
        <v>408.81232772290213</v>
      </c>
      <c r="F723" s="83">
        <v>2769618.6812092797</v>
      </c>
      <c r="G723" s="83" t="s">
        <v>1508</v>
      </c>
      <c r="H723" s="84">
        <f t="shared" si="17"/>
        <v>2.2438116153056242E-3</v>
      </c>
      <c r="J723" s="83">
        <v>132.22403263690441</v>
      </c>
      <c r="K723" s="83">
        <v>133.27776900706544</v>
      </c>
      <c r="L723" s="83">
        <v>130.14638262403972</v>
      </c>
      <c r="M723" s="83">
        <v>130.19608716980204</v>
      </c>
      <c r="N723" s="83">
        <v>27131332.342292622</v>
      </c>
      <c r="O723" s="83" t="s">
        <v>1508</v>
      </c>
      <c r="P723" s="84">
        <f t="shared" si="18"/>
        <v>1.5576086126593891E-2</v>
      </c>
    </row>
    <row r="724" spans="2:16" ht="15" customHeight="1">
      <c r="B724" s="83">
        <v>405.77743802959242</v>
      </c>
      <c r="C724" s="83">
        <v>411.95456078156997</v>
      </c>
      <c r="D724" s="83">
        <v>404.89917413120696</v>
      </c>
      <c r="E724" s="83">
        <v>411.60325522221586</v>
      </c>
      <c r="F724" s="83">
        <v>4252137.3209867058</v>
      </c>
      <c r="G724" s="83" t="s">
        <v>1507</v>
      </c>
      <c r="H724" s="84">
        <f t="shared" si="17"/>
        <v>-1.4153962872519577E-2</v>
      </c>
      <c r="J724" s="83">
        <v>129.10258716303119</v>
      </c>
      <c r="K724" s="83">
        <v>132.81054627689969</v>
      </c>
      <c r="L724" s="83">
        <v>128.41666443151126</v>
      </c>
      <c r="M724" s="83">
        <v>131.02118262945646</v>
      </c>
      <c r="N724" s="83">
        <v>36145197.032707065</v>
      </c>
      <c r="O724" s="83" t="s">
        <v>1507</v>
      </c>
      <c r="P724" s="84">
        <f t="shared" si="18"/>
        <v>-1.4643399089529607E-2</v>
      </c>
    </row>
    <row r="725" spans="2:16" ht="15" customHeight="1">
      <c r="B725" s="83">
        <v>408.54884855338651</v>
      </c>
      <c r="C725" s="83">
        <v>409.74914254784653</v>
      </c>
      <c r="D725" s="83">
        <v>406.51908309934009</v>
      </c>
      <c r="E725" s="83">
        <v>407.53396582636327</v>
      </c>
      <c r="F725" s="83">
        <v>6290766.7161963824</v>
      </c>
      <c r="G725" s="83" t="s">
        <v>1506</v>
      </c>
      <c r="H725" s="84">
        <f t="shared" si="17"/>
        <v>2.4903021885926968E-3</v>
      </c>
      <c r="J725" s="83">
        <v>128.89382807082944</v>
      </c>
      <c r="K725" s="83">
        <v>130.59372353590055</v>
      </c>
      <c r="L725" s="83">
        <v>127.94944170134552</v>
      </c>
      <c r="M725" s="83">
        <v>129.58969171150184</v>
      </c>
      <c r="N725" s="83">
        <v>46491617.91057229</v>
      </c>
      <c r="O725" s="83" t="s">
        <v>1506</v>
      </c>
      <c r="P725" s="84">
        <f t="shared" si="18"/>
        <v>-5.3697453206507095E-3</v>
      </c>
    </row>
    <row r="726" spans="2:16" ht="15" customHeight="1">
      <c r="B726" s="83">
        <v>408.45126367578808</v>
      </c>
      <c r="C726" s="83">
        <v>409.51493884161044</v>
      </c>
      <c r="D726" s="83">
        <v>406.99471179275463</v>
      </c>
      <c r="E726" s="83">
        <v>407.00700748733203</v>
      </c>
      <c r="F726" s="83">
        <v>4047049.1916315909</v>
      </c>
      <c r="G726" s="83" t="s">
        <v>1505</v>
      </c>
      <c r="H726" s="84">
        <f t="shared" si="17"/>
        <v>3.548479907931279E-3</v>
      </c>
      <c r="J726" s="83">
        <v>122.06442348308769</v>
      </c>
      <c r="K726" s="83">
        <v>122.95910530680931</v>
      </c>
      <c r="L726" s="83">
        <v>120.81186892987741</v>
      </c>
      <c r="M726" s="83">
        <v>121.15980075021359</v>
      </c>
      <c r="N726" s="83">
        <v>32009995.778019328</v>
      </c>
      <c r="O726" s="83" t="s">
        <v>1505</v>
      </c>
      <c r="P726" s="84">
        <f t="shared" si="18"/>
        <v>7.4663603544471435E-3</v>
      </c>
    </row>
    <row r="727" spans="2:16" ht="15" customHeight="1">
      <c r="B727" s="83">
        <v>407.25096968132794</v>
      </c>
      <c r="C727" s="83">
        <v>408.00237323883556</v>
      </c>
      <c r="D727" s="83">
        <v>405.96772854090926</v>
      </c>
      <c r="E727" s="83">
        <v>406.51908309934009</v>
      </c>
      <c r="F727" s="83">
        <v>3557032.6934114527</v>
      </c>
      <c r="G727" s="83" t="s">
        <v>1504</v>
      </c>
      <c r="H727" s="84">
        <f t="shared" si="17"/>
        <v>1.8003744778913866E-3</v>
      </c>
      <c r="J727" s="83">
        <v>121.15980075021359</v>
      </c>
      <c r="K727" s="83">
        <v>122.62111439562558</v>
      </c>
      <c r="L727" s="83">
        <v>120.66275529259046</v>
      </c>
      <c r="M727" s="83">
        <v>121.20552893231492</v>
      </c>
      <c r="N727" s="83">
        <v>22444848.512143217</v>
      </c>
      <c r="O727" s="83" t="s">
        <v>1504</v>
      </c>
      <c r="P727" s="84">
        <f t="shared" si="18"/>
        <v>-3.7727802109477349E-4</v>
      </c>
    </row>
    <row r="728" spans="2:16" ht="15" customHeight="1">
      <c r="B728" s="83">
        <v>405.53347583559645</v>
      </c>
      <c r="C728" s="83">
        <v>407.22169421804847</v>
      </c>
      <c r="D728" s="83">
        <v>405.44564944575791</v>
      </c>
      <c r="E728" s="83">
        <v>407.03628295061156</v>
      </c>
      <c r="F728" s="83">
        <v>3255333.2833740916</v>
      </c>
      <c r="G728" s="83" t="s">
        <v>1503</v>
      </c>
      <c r="H728" s="84">
        <f t="shared" si="17"/>
        <v>-3.6920716357795591E-3</v>
      </c>
      <c r="J728" s="83">
        <v>119.59907801327697</v>
      </c>
      <c r="K728" s="83">
        <v>120.58322801937076</v>
      </c>
      <c r="L728" s="83">
        <v>118.3664052783716</v>
      </c>
      <c r="M728" s="83">
        <v>120.15576892581488</v>
      </c>
      <c r="N728" s="83">
        <v>56850579.894898489</v>
      </c>
      <c r="O728" s="83" t="s">
        <v>1503</v>
      </c>
      <c r="P728" s="84">
        <f t="shared" si="18"/>
        <v>-4.6330768594359251E-3</v>
      </c>
    </row>
    <row r="729" spans="2:16" ht="15" customHeight="1">
      <c r="B729" s="83">
        <v>405.48468339679727</v>
      </c>
      <c r="C729" s="83">
        <v>408.06092416539457</v>
      </c>
      <c r="D729" s="83">
        <v>404.8015892536086</v>
      </c>
      <c r="E729" s="83">
        <v>407.22169421804847</v>
      </c>
      <c r="F729" s="83">
        <v>4186096.3507195371</v>
      </c>
      <c r="G729" s="83" t="s">
        <v>1502</v>
      </c>
      <c r="H729" s="84">
        <f t="shared" si="17"/>
        <v>-4.2655164150491309E-3</v>
      </c>
      <c r="J729" s="83">
        <v>118.8236870993849</v>
      </c>
      <c r="K729" s="83">
        <v>123.96313713120803</v>
      </c>
      <c r="L729" s="83">
        <v>117.98368027600181</v>
      </c>
      <c r="M729" s="83">
        <v>121.39838256987269</v>
      </c>
      <c r="N729" s="83">
        <v>27705424.702706788</v>
      </c>
      <c r="O729" s="83" t="s">
        <v>1502</v>
      </c>
      <c r="P729" s="84">
        <f t="shared" si="18"/>
        <v>-2.1208647232230593E-2</v>
      </c>
    </row>
    <row r="730" spans="2:16" ht="15" customHeight="1">
      <c r="B730" s="83">
        <v>408.14875055523311</v>
      </c>
      <c r="C730" s="83">
        <v>409.241701184335</v>
      </c>
      <c r="D730" s="83">
        <v>407.40710548548543</v>
      </c>
      <c r="E730" s="83">
        <v>407.97309777555603</v>
      </c>
      <c r="F730" s="83">
        <v>3581411.4707235582</v>
      </c>
      <c r="G730" s="83" t="s">
        <v>1501</v>
      </c>
      <c r="H730" s="84">
        <f t="shared" si="17"/>
        <v>4.3054990791024927E-4</v>
      </c>
      <c r="J730" s="83">
        <v>122.05448257393522</v>
      </c>
      <c r="K730" s="83">
        <v>124.72858713594765</v>
      </c>
      <c r="L730" s="83">
        <v>121.74631439020888</v>
      </c>
      <c r="M730" s="83">
        <v>124.0526053135802</v>
      </c>
      <c r="N730" s="83">
        <v>22446440.921827</v>
      </c>
      <c r="O730" s="83" t="s">
        <v>1501</v>
      </c>
      <c r="P730" s="84">
        <f t="shared" si="18"/>
        <v>-1.610705986056582E-2</v>
      </c>
    </row>
    <row r="731" spans="2:16" ht="15" customHeight="1">
      <c r="B731" s="83">
        <v>407.27048665684771</v>
      </c>
      <c r="C731" s="83">
        <v>407.83647894691831</v>
      </c>
      <c r="D731" s="83">
        <v>403.55250282034933</v>
      </c>
      <c r="E731" s="83">
        <v>403.91356686746332</v>
      </c>
      <c r="F731" s="83">
        <v>3686312.9703404387</v>
      </c>
      <c r="G731" s="83" t="s">
        <v>1500</v>
      </c>
      <c r="H731" s="84">
        <f t="shared" si="17"/>
        <v>8.3109854799354732E-3</v>
      </c>
      <c r="J731" s="83">
        <v>123.34680076375535</v>
      </c>
      <c r="K731" s="83">
        <v>124.25142349662944</v>
      </c>
      <c r="L731" s="83">
        <v>122.57140984986327</v>
      </c>
      <c r="M731" s="83">
        <v>124.16692576883351</v>
      </c>
      <c r="N731" s="83">
        <v>21196499.914477389</v>
      </c>
      <c r="O731" s="83" t="s">
        <v>1500</v>
      </c>
      <c r="P731" s="84">
        <f t="shared" si="18"/>
        <v>-6.6050198150593431E-3</v>
      </c>
    </row>
    <row r="732" spans="2:16" ht="15" customHeight="1">
      <c r="B732" s="83">
        <v>404.20632150025847</v>
      </c>
      <c r="C732" s="83">
        <v>405.22071630289366</v>
      </c>
      <c r="D732" s="83">
        <v>402.66448043420399</v>
      </c>
      <c r="E732" s="83">
        <v>402.6839974097237</v>
      </c>
      <c r="F732" s="83">
        <v>3041728.4655683292</v>
      </c>
      <c r="G732" s="83" t="s">
        <v>1499</v>
      </c>
      <c r="H732" s="84">
        <f t="shared" si="17"/>
        <v>3.7804434750998706E-3</v>
      </c>
      <c r="J732" s="83">
        <v>124.32100986069669</v>
      </c>
      <c r="K732" s="83">
        <v>126.52789169254336</v>
      </c>
      <c r="L732" s="83">
        <v>123.76431894815877</v>
      </c>
      <c r="M732" s="83">
        <v>125.31510077594294</v>
      </c>
      <c r="N732" s="83">
        <v>20798195.298745222</v>
      </c>
      <c r="O732" s="83" t="s">
        <v>1499</v>
      </c>
      <c r="P732" s="84">
        <f t="shared" si="18"/>
        <v>-7.9327304458194359E-3</v>
      </c>
    </row>
    <row r="733" spans="2:16" ht="15" customHeight="1">
      <c r="B733" s="83">
        <v>402.80109926284172</v>
      </c>
      <c r="C733" s="83">
        <v>404.69424588825035</v>
      </c>
      <c r="D733" s="83">
        <v>402.12776360741293</v>
      </c>
      <c r="E733" s="83">
        <v>403.94284233074285</v>
      </c>
      <c r="F733" s="83">
        <v>3772044.4915135377</v>
      </c>
      <c r="G733" s="83" t="s">
        <v>1498</v>
      </c>
      <c r="H733" s="84">
        <f t="shared" si="17"/>
        <v>-2.8264965937093711E-3</v>
      </c>
      <c r="J733" s="83">
        <v>124.95722804645429</v>
      </c>
      <c r="K733" s="83">
        <v>126.33901441864658</v>
      </c>
      <c r="L733" s="83">
        <v>124.16195531425728</v>
      </c>
      <c r="M733" s="83">
        <v>124.39059622476391</v>
      </c>
      <c r="N733" s="83">
        <v>20621634.988910258</v>
      </c>
      <c r="O733" s="83" t="s">
        <v>1498</v>
      </c>
      <c r="P733" s="84">
        <f t="shared" si="18"/>
        <v>4.5552625269720259E-3</v>
      </c>
    </row>
    <row r="734" spans="2:16" ht="15" customHeight="1">
      <c r="B734" s="83">
        <v>403.12312935891646</v>
      </c>
      <c r="C734" s="83">
        <v>403.81598198986495</v>
      </c>
      <c r="D734" s="83">
        <v>401.20070727022829</v>
      </c>
      <c r="E734" s="83">
        <v>401.60080526838169</v>
      </c>
      <c r="F734" s="83">
        <v>3354440.8524771994</v>
      </c>
      <c r="G734" s="83" t="s">
        <v>1497</v>
      </c>
      <c r="H734" s="84">
        <f t="shared" si="17"/>
        <v>3.7906400349905223E-3</v>
      </c>
      <c r="J734" s="83">
        <v>124.09236895019004</v>
      </c>
      <c r="K734" s="83">
        <v>124.59438486238939</v>
      </c>
      <c r="L734" s="83">
        <v>120.34464619971166</v>
      </c>
      <c r="M734" s="83">
        <v>120.82180983902987</v>
      </c>
      <c r="N734" s="83">
        <v>31723308.719895069</v>
      </c>
      <c r="O734" s="83" t="s">
        <v>1497</v>
      </c>
      <c r="P734" s="84">
        <f t="shared" si="18"/>
        <v>2.7069277604080844E-2</v>
      </c>
    </row>
    <row r="735" spans="2:16" ht="15" customHeight="1">
      <c r="B735" s="83">
        <v>399.86379444713043</v>
      </c>
      <c r="C735" s="83">
        <v>401.20070727022829</v>
      </c>
      <c r="D735" s="83">
        <v>398.9172211344262</v>
      </c>
      <c r="E735" s="83">
        <v>400.28340942080348</v>
      </c>
      <c r="F735" s="83">
        <v>4351451.8893759446</v>
      </c>
      <c r="G735" s="83" t="s">
        <v>1496</v>
      </c>
      <c r="H735" s="84">
        <f t="shared" si="17"/>
        <v>-1.0482946927033998E-3</v>
      </c>
      <c r="J735" s="83">
        <v>118.91315528175706</v>
      </c>
      <c r="K735" s="83">
        <v>120.24523710818703</v>
      </c>
      <c r="L735" s="83">
        <v>118.29681891430438</v>
      </c>
      <c r="M735" s="83">
        <v>118.59504618887824</v>
      </c>
      <c r="N735" s="83">
        <v>22190737.951302387</v>
      </c>
      <c r="O735" s="83" t="s">
        <v>1496</v>
      </c>
      <c r="P735" s="84">
        <f t="shared" si="18"/>
        <v>2.682313495389943E-3</v>
      </c>
    </row>
    <row r="736" spans="2:16" ht="15" customHeight="1">
      <c r="B736" s="83">
        <v>396.74107836398224</v>
      </c>
      <c r="C736" s="83">
        <v>397.17045182541511</v>
      </c>
      <c r="D736" s="83">
        <v>394.01846027898733</v>
      </c>
      <c r="E736" s="83">
        <v>394.99430905497115</v>
      </c>
      <c r="F736" s="83">
        <v>3260618.9384130086</v>
      </c>
      <c r="G736" s="83" t="s">
        <v>1495</v>
      </c>
      <c r="H736" s="84">
        <f t="shared" si="17"/>
        <v>4.4222644958866741E-3</v>
      </c>
      <c r="J736" s="83">
        <v>117.01444163363671</v>
      </c>
      <c r="K736" s="83">
        <v>117.52639845498852</v>
      </c>
      <c r="L736" s="83">
        <v>115.14555071297374</v>
      </c>
      <c r="M736" s="83">
        <v>116.07005526415277</v>
      </c>
      <c r="N736" s="83">
        <v>18395270.210743319</v>
      </c>
      <c r="O736" s="83" t="s">
        <v>1495</v>
      </c>
      <c r="P736" s="84">
        <f t="shared" si="18"/>
        <v>8.1363480644056629E-3</v>
      </c>
    </row>
    <row r="737" spans="2:16" ht="15" customHeight="1">
      <c r="B737" s="83">
        <v>394.21363003418418</v>
      </c>
      <c r="C737" s="83">
        <v>394.3502488628219</v>
      </c>
      <c r="D737" s="83">
        <v>392.34975887205502</v>
      </c>
      <c r="E737" s="83">
        <v>392.90599267436579</v>
      </c>
      <c r="F737" s="83">
        <v>3445489.7959063947</v>
      </c>
      <c r="G737" s="83" t="s">
        <v>1494</v>
      </c>
      <c r="H737" s="84">
        <f t="shared" si="17"/>
        <v>3.3281176266053425E-3</v>
      </c>
      <c r="J737" s="83">
        <v>116.17940526482985</v>
      </c>
      <c r="K737" s="83">
        <v>118.3664052783716</v>
      </c>
      <c r="L737" s="83">
        <v>115.95076435432321</v>
      </c>
      <c r="M737" s="83">
        <v>118.3664052783716</v>
      </c>
      <c r="N737" s="83">
        <v>33155999.611801263</v>
      </c>
      <c r="O737" s="83" t="s">
        <v>1494</v>
      </c>
      <c r="P737" s="84">
        <f t="shared" si="18"/>
        <v>-1.8476526413034211E-2</v>
      </c>
    </row>
    <row r="738" spans="2:16" ht="15" customHeight="1">
      <c r="B738" s="83">
        <v>393.15971335612159</v>
      </c>
      <c r="C738" s="83">
        <v>396.85720436832429</v>
      </c>
      <c r="D738" s="83">
        <v>392.98406057644451</v>
      </c>
      <c r="E738" s="83">
        <v>393.29633218475931</v>
      </c>
      <c r="F738" s="83">
        <v>3764158.0236617527</v>
      </c>
      <c r="G738" s="83" t="s">
        <v>1493</v>
      </c>
      <c r="H738" s="84">
        <f t="shared" si="17"/>
        <v>-3.4736868223206319E-4</v>
      </c>
      <c r="J738" s="83">
        <v>119.43008255768511</v>
      </c>
      <c r="K738" s="83">
        <v>121.03056893123157</v>
      </c>
      <c r="L738" s="83">
        <v>119.3803780119228</v>
      </c>
      <c r="M738" s="83">
        <v>120.17565074411979</v>
      </c>
      <c r="N738" s="83">
        <v>21122479.521702979</v>
      </c>
      <c r="O738" s="83" t="s">
        <v>1493</v>
      </c>
      <c r="P738" s="84">
        <f t="shared" si="18"/>
        <v>-6.2039870957067977E-3</v>
      </c>
    </row>
    <row r="739" spans="2:16" ht="15" customHeight="1">
      <c r="B739" s="83">
        <v>394.0770112055464</v>
      </c>
      <c r="C739" s="83">
        <v>394.58445256905799</v>
      </c>
      <c r="D739" s="83">
        <v>391.86183448406314</v>
      </c>
      <c r="E739" s="83">
        <v>394.02821876674716</v>
      </c>
      <c r="F739" s="83">
        <v>6189761.3120540967</v>
      </c>
      <c r="G739" s="83" t="s">
        <v>1492</v>
      </c>
      <c r="H739" s="84">
        <f t="shared" si="17"/>
        <v>1.2382980831149304E-4</v>
      </c>
      <c r="J739" s="83">
        <v>120.21541438072965</v>
      </c>
      <c r="K739" s="83">
        <v>120.4340149729923</v>
      </c>
      <c r="L739" s="83">
        <v>118.54524223402441</v>
      </c>
      <c r="M739" s="83">
        <v>119.92712801530824</v>
      </c>
      <c r="N739" s="83">
        <v>17855691.796160255</v>
      </c>
      <c r="O739" s="83" t="s">
        <v>1492</v>
      </c>
      <c r="P739" s="84">
        <f t="shared" si="18"/>
        <v>2.4038461538462563E-3</v>
      </c>
    </row>
    <row r="740" spans="2:16" ht="15" customHeight="1">
      <c r="B740" s="83">
        <v>397.31682914181266</v>
      </c>
      <c r="C740" s="83">
        <v>397.9901647972415</v>
      </c>
      <c r="D740" s="83">
        <v>396.20436153719112</v>
      </c>
      <c r="E740" s="83">
        <v>396.20436153719112</v>
      </c>
      <c r="F740" s="83">
        <v>4338914.0860798694</v>
      </c>
      <c r="G740" s="83" t="s">
        <v>1491</v>
      </c>
      <c r="H740" s="84">
        <f t="shared" si="17"/>
        <v>2.8078126154527094E-3</v>
      </c>
      <c r="J740" s="83">
        <v>121.90536893664827</v>
      </c>
      <c r="K740" s="83">
        <v>122.64099621393052</v>
      </c>
      <c r="L740" s="83">
        <v>119.35055528446541</v>
      </c>
      <c r="M740" s="83">
        <v>119.35055528446541</v>
      </c>
      <c r="N740" s="83">
        <v>17936334.319666408</v>
      </c>
      <c r="O740" s="83" t="s">
        <v>1491</v>
      </c>
      <c r="P740" s="84">
        <f t="shared" si="18"/>
        <v>2.1405963684824059E-2</v>
      </c>
    </row>
    <row r="741" spans="2:16" ht="15" customHeight="1">
      <c r="B741" s="83">
        <v>398.20485152795794</v>
      </c>
      <c r="C741" s="83">
        <v>398.20485152795794</v>
      </c>
      <c r="D741" s="83">
        <v>396.85818021710031</v>
      </c>
      <c r="E741" s="83">
        <v>397.0923839233364</v>
      </c>
      <c r="F741" s="83">
        <v>2430723.9588517216</v>
      </c>
      <c r="G741" s="83" t="s">
        <v>1490</v>
      </c>
      <c r="H741" s="84">
        <f t="shared" si="17"/>
        <v>2.8015334709525774E-3</v>
      </c>
      <c r="J741" s="83">
        <v>119.84760074208853</v>
      </c>
      <c r="K741" s="83">
        <v>120.30488256310181</v>
      </c>
      <c r="L741" s="83">
        <v>118.99765300955299</v>
      </c>
      <c r="M741" s="83">
        <v>119.60901892242943</v>
      </c>
      <c r="N741" s="83">
        <v>13970816.740196859</v>
      </c>
      <c r="O741" s="83" t="s">
        <v>1490</v>
      </c>
      <c r="P741" s="84">
        <f t="shared" si="18"/>
        <v>1.9946808510638014E-3</v>
      </c>
    </row>
    <row r="742" spans="2:16" ht="15" customHeight="1">
      <c r="B742" s="83">
        <v>397.44368948269056</v>
      </c>
      <c r="C742" s="83">
        <v>398.36098733211543</v>
      </c>
      <c r="D742" s="83">
        <v>395.5017504184828</v>
      </c>
      <c r="E742" s="83">
        <v>395.60909378384099</v>
      </c>
      <c r="F742" s="83">
        <v>5301735.3993030749</v>
      </c>
      <c r="G742" s="83" t="s">
        <v>1489</v>
      </c>
      <c r="H742" s="84">
        <f t="shared" si="17"/>
        <v>4.6373951652687317E-3</v>
      </c>
      <c r="J742" s="83">
        <v>120.2551780173395</v>
      </c>
      <c r="K742" s="83">
        <v>121.30891438750054</v>
      </c>
      <c r="L742" s="83">
        <v>120.16570983496733</v>
      </c>
      <c r="M742" s="83">
        <v>120.38440983632151</v>
      </c>
      <c r="N742" s="83">
        <v>24013662.768547188</v>
      </c>
      <c r="O742" s="83" t="s">
        <v>1489</v>
      </c>
      <c r="P742" s="84">
        <f t="shared" si="18"/>
        <v>-1.0734929810073401E-3</v>
      </c>
    </row>
    <row r="743" spans="2:16" ht="15" customHeight="1">
      <c r="B743" s="83">
        <v>392.78889082124778</v>
      </c>
      <c r="C743" s="83">
        <v>392.94502662540521</v>
      </c>
      <c r="D743" s="83">
        <v>390.52492166096528</v>
      </c>
      <c r="E743" s="83">
        <v>390.92501965911868</v>
      </c>
      <c r="F743" s="83">
        <v>4011737.3678653939</v>
      </c>
      <c r="G743" s="83" t="s">
        <v>1488</v>
      </c>
      <c r="H743" s="84">
        <f t="shared" si="17"/>
        <v>4.7678482276585221E-3</v>
      </c>
      <c r="J743" s="83">
        <v>119.3008507387031</v>
      </c>
      <c r="K743" s="83">
        <v>120.19553256242472</v>
      </c>
      <c r="L743" s="83">
        <v>118.50557800650608</v>
      </c>
      <c r="M743" s="83">
        <v>119.3803780119228</v>
      </c>
      <c r="N743" s="83">
        <v>18627529.651463389</v>
      </c>
      <c r="O743" s="83" t="s">
        <v>1488</v>
      </c>
      <c r="P743" s="84">
        <f t="shared" si="18"/>
        <v>-6.6616704138555694E-4</v>
      </c>
    </row>
    <row r="744" spans="2:16" ht="15" customHeight="1">
      <c r="B744" s="83">
        <v>391.28979193158125</v>
      </c>
      <c r="C744" s="83">
        <v>392.1986379270005</v>
      </c>
      <c r="D744" s="83">
        <v>389.50126077482031</v>
      </c>
      <c r="E744" s="83">
        <v>390.12335856847631</v>
      </c>
      <c r="F744" s="83">
        <v>4445008.6597304381</v>
      </c>
      <c r="G744" s="83" t="s">
        <v>1487</v>
      </c>
      <c r="H744" s="84">
        <f t="shared" si="17"/>
        <v>2.9899090569327491E-3</v>
      </c>
      <c r="J744" s="83">
        <v>120.36452801801659</v>
      </c>
      <c r="K744" s="83">
        <v>120.55340529191336</v>
      </c>
      <c r="L744" s="83">
        <v>116.90509163295961</v>
      </c>
      <c r="M744" s="83">
        <v>117.26296436244826</v>
      </c>
      <c r="N744" s="83">
        <v>19870561.833981521</v>
      </c>
      <c r="O744" s="83" t="s">
        <v>1487</v>
      </c>
      <c r="P744" s="84">
        <f t="shared" si="18"/>
        <v>2.6449643947100698E-2</v>
      </c>
    </row>
    <row r="745" spans="2:16" ht="15" customHeight="1">
      <c r="B745" s="83">
        <v>391.11482692711547</v>
      </c>
      <c r="C745" s="83">
        <v>391.65916249656448</v>
      </c>
      <c r="D745" s="83">
        <v>387.24615627281742</v>
      </c>
      <c r="E745" s="83">
        <v>387.64468767187827</v>
      </c>
      <c r="F745" s="83">
        <v>4426170.7211948764</v>
      </c>
      <c r="G745" s="83" t="s">
        <v>1486</v>
      </c>
      <c r="H745" s="84">
        <f t="shared" si="17"/>
        <v>8.9518555667000843E-3</v>
      </c>
      <c r="J745" s="83">
        <v>118.30675982345684</v>
      </c>
      <c r="K745" s="83">
        <v>119.18653028344977</v>
      </c>
      <c r="L745" s="83">
        <v>116.2191689014397</v>
      </c>
      <c r="M745" s="83">
        <v>117.14367345261873</v>
      </c>
      <c r="N745" s="83">
        <v>27383525.57346997</v>
      </c>
      <c r="O745" s="83" t="s">
        <v>1486</v>
      </c>
      <c r="P745" s="84">
        <f t="shared" si="18"/>
        <v>9.9287169042769907E-3</v>
      </c>
    </row>
    <row r="746" spans="2:16" ht="15" customHeight="1">
      <c r="B746" s="83">
        <v>386.82818431770477</v>
      </c>
      <c r="C746" s="83">
        <v>389.64706494520846</v>
      </c>
      <c r="D746" s="83">
        <v>386.60461792310969</v>
      </c>
      <c r="E746" s="83">
        <v>387.87797434449925</v>
      </c>
      <c r="F746" s="83">
        <v>3344245.9066982488</v>
      </c>
      <c r="G746" s="83" t="s">
        <v>1485</v>
      </c>
      <c r="H746" s="84">
        <f t="shared" si="17"/>
        <v>-2.7064955894147147E-3</v>
      </c>
      <c r="J746" s="83">
        <v>118.38628709667654</v>
      </c>
      <c r="K746" s="83">
        <v>121.99483711902045</v>
      </c>
      <c r="L746" s="83">
        <v>118.28687800515191</v>
      </c>
      <c r="M746" s="83">
        <v>120.74784947493553</v>
      </c>
      <c r="N746" s="83">
        <v>23322777.267566763</v>
      </c>
      <c r="O746" s="83" t="s">
        <v>1485</v>
      </c>
      <c r="P746" s="84">
        <f t="shared" si="18"/>
        <v>-1.9557800727119323E-2</v>
      </c>
    </row>
    <row r="747" spans="2:16" ht="15" customHeight="1">
      <c r="B747" s="83">
        <v>388.43203019197409</v>
      </c>
      <c r="C747" s="83">
        <v>390.05531662229515</v>
      </c>
      <c r="D747" s="83">
        <v>387.77105128621463</v>
      </c>
      <c r="E747" s="83">
        <v>388.15986240724959</v>
      </c>
      <c r="F747" s="83">
        <v>4336611.5545040993</v>
      </c>
      <c r="G747" s="83" t="s">
        <v>1484</v>
      </c>
      <c r="H747" s="84">
        <f t="shared" si="17"/>
        <v>7.0117446723272359E-4</v>
      </c>
      <c r="J747" s="83">
        <v>122.29306439359432</v>
      </c>
      <c r="K747" s="83">
        <v>122.71058257799774</v>
      </c>
      <c r="L747" s="83">
        <v>121.13991893190867</v>
      </c>
      <c r="M747" s="83">
        <v>121.318855296653</v>
      </c>
      <c r="N747" s="83">
        <v>29748911.841402527</v>
      </c>
      <c r="O747" s="83" t="s">
        <v>1484</v>
      </c>
      <c r="P747" s="84">
        <f t="shared" si="18"/>
        <v>8.0301540478531219E-3</v>
      </c>
    </row>
    <row r="748" spans="2:16" ht="15" customHeight="1">
      <c r="B748" s="83">
        <v>391.36755415578824</v>
      </c>
      <c r="C748" s="83">
        <v>391.45503665802113</v>
      </c>
      <c r="D748" s="83">
        <v>388.76251964485385</v>
      </c>
      <c r="E748" s="83">
        <v>389.08328881970766</v>
      </c>
      <c r="F748" s="83">
        <v>3231410.6568133757</v>
      </c>
      <c r="G748" s="83" t="s">
        <v>1483</v>
      </c>
      <c r="H748" s="84">
        <f t="shared" si="17"/>
        <v>5.8708903767363818E-3</v>
      </c>
      <c r="J748" s="83">
        <v>123.13804167155364</v>
      </c>
      <c r="K748" s="83">
        <v>123.20265758104465</v>
      </c>
      <c r="L748" s="83">
        <v>118.89327346345212</v>
      </c>
      <c r="M748" s="83">
        <v>119.94700983361315</v>
      </c>
      <c r="N748" s="83">
        <v>20905419.897989843</v>
      </c>
      <c r="O748" s="83" t="s">
        <v>1483</v>
      </c>
      <c r="P748" s="84">
        <f t="shared" si="18"/>
        <v>2.6603679761312726E-2</v>
      </c>
    </row>
    <row r="749" spans="2:16" ht="15" customHeight="1">
      <c r="B749" s="83">
        <v>389.94839356401053</v>
      </c>
      <c r="C749" s="83">
        <v>391.78552611090083</v>
      </c>
      <c r="D749" s="83">
        <v>389.46237966271684</v>
      </c>
      <c r="E749" s="83">
        <v>391.05650525896021</v>
      </c>
      <c r="F749" s="83">
        <v>3522062.8369752495</v>
      </c>
      <c r="G749" s="83" t="s">
        <v>1482</v>
      </c>
      <c r="H749" s="84">
        <f t="shared" si="17"/>
        <v>-2.8336357535233558E-3</v>
      </c>
      <c r="J749" s="83">
        <v>120.54346438276092</v>
      </c>
      <c r="K749" s="83">
        <v>122.68075985054035</v>
      </c>
      <c r="L749" s="83">
        <v>120.14582801666241</v>
      </c>
      <c r="M749" s="83">
        <v>122.50679394037226</v>
      </c>
      <c r="N749" s="83">
        <v>22746412.47918313</v>
      </c>
      <c r="O749" s="83" t="s">
        <v>1482</v>
      </c>
      <c r="P749" s="84">
        <f t="shared" si="18"/>
        <v>-1.6026291232198564E-2</v>
      </c>
    </row>
    <row r="750" spans="2:16" ht="15" customHeight="1">
      <c r="B750" s="83">
        <v>392.0965750077288</v>
      </c>
      <c r="C750" s="83">
        <v>393.01028114216103</v>
      </c>
      <c r="D750" s="83">
        <v>390.03587606624342</v>
      </c>
      <c r="E750" s="83">
        <v>392.20349806601342</v>
      </c>
      <c r="F750" s="83">
        <v>4369094.1644829009</v>
      </c>
      <c r="G750" s="83" t="s">
        <v>1481</v>
      </c>
      <c r="H750" s="84">
        <f t="shared" si="17"/>
        <v>-2.7262137847283707E-4</v>
      </c>
      <c r="J750" s="83">
        <v>123.11815985324871</v>
      </c>
      <c r="K750" s="83">
        <v>124.43533031595</v>
      </c>
      <c r="L750" s="83">
        <v>122.10418711969753</v>
      </c>
      <c r="M750" s="83">
        <v>122.80502121494614</v>
      </c>
      <c r="N750" s="83">
        <v>22832949.835757494</v>
      </c>
      <c r="O750" s="83" t="s">
        <v>1481</v>
      </c>
      <c r="P750" s="84">
        <f t="shared" si="18"/>
        <v>2.5498846480755955E-3</v>
      </c>
    </row>
    <row r="751" spans="2:16" ht="15" customHeight="1">
      <c r="B751" s="83">
        <v>393.91426699856737</v>
      </c>
      <c r="C751" s="83">
        <v>397.32608458564931</v>
      </c>
      <c r="D751" s="83">
        <v>393.56433698963588</v>
      </c>
      <c r="E751" s="83">
        <v>397.25804263946821</v>
      </c>
      <c r="F751" s="83">
        <v>5289853.8357778713</v>
      </c>
      <c r="G751" s="83" t="s">
        <v>1480</v>
      </c>
      <c r="H751" s="84">
        <f t="shared" si="17"/>
        <v>-8.4171376838190204E-3</v>
      </c>
      <c r="J751" s="83">
        <v>123.32691894545043</v>
      </c>
      <c r="K751" s="83">
        <v>125.95131896170055</v>
      </c>
      <c r="L751" s="83">
        <v>123.05851439833394</v>
      </c>
      <c r="M751" s="83">
        <v>125.95131896170055</v>
      </c>
      <c r="N751" s="83">
        <v>57036231.928499743</v>
      </c>
      <c r="O751" s="83" t="s">
        <v>1480</v>
      </c>
      <c r="P751" s="84">
        <f t="shared" si="18"/>
        <v>-2.0836621941594413E-2</v>
      </c>
    </row>
    <row r="752" spans="2:16" ht="15" customHeight="1">
      <c r="B752" s="83">
        <v>395.37230870244855</v>
      </c>
      <c r="C752" s="83">
        <v>396.51930150950176</v>
      </c>
      <c r="D752" s="83">
        <v>389.67622577928603</v>
      </c>
      <c r="E752" s="83">
        <v>389.78314883757065</v>
      </c>
      <c r="F752" s="83">
        <v>5437070.8182747522</v>
      </c>
      <c r="G752" s="83" t="s">
        <v>1479</v>
      </c>
      <c r="H752" s="84">
        <f t="shared" ref="H752:H815" si="19">B752/E752-1</f>
        <v>1.4339152119700715E-2</v>
      </c>
      <c r="J752" s="83">
        <v>125.04669622882645</v>
      </c>
      <c r="K752" s="83">
        <v>125.41450986746756</v>
      </c>
      <c r="L752" s="83">
        <v>122.41235530342388</v>
      </c>
      <c r="M752" s="83">
        <v>123.1479825807061</v>
      </c>
      <c r="N752" s="83">
        <v>24662805.608606387</v>
      </c>
      <c r="O752" s="83" t="s">
        <v>1479</v>
      </c>
      <c r="P752" s="84">
        <f t="shared" ref="P752:P815" si="20">J752/M752-1</f>
        <v>1.5418146593477511E-2</v>
      </c>
    </row>
    <row r="753" spans="2:16" ht="15" customHeight="1">
      <c r="B753" s="83">
        <v>390.36636551912318</v>
      </c>
      <c r="C753" s="83">
        <v>392.1510085646737</v>
      </c>
      <c r="D753" s="83">
        <v>387.31419821899851</v>
      </c>
      <c r="E753" s="83">
        <v>390.37608579714902</v>
      </c>
      <c r="F753" s="83">
        <v>5309804.9111981187</v>
      </c>
      <c r="G753" s="83" t="s">
        <v>1478</v>
      </c>
      <c r="H753" s="84">
        <f t="shared" si="19"/>
        <v>-2.4899778391929139E-5</v>
      </c>
      <c r="J753" s="83">
        <v>123.64502803832923</v>
      </c>
      <c r="K753" s="83">
        <v>124.0526053135802</v>
      </c>
      <c r="L753" s="83">
        <v>121.43814620648254</v>
      </c>
      <c r="M753" s="83">
        <v>123.0684553074864</v>
      </c>
      <c r="N753" s="83">
        <v>24806201.94973952</v>
      </c>
      <c r="O753" s="83" t="s">
        <v>1478</v>
      </c>
      <c r="P753" s="84">
        <f t="shared" si="20"/>
        <v>4.6849757673668169E-3</v>
      </c>
    </row>
    <row r="754" spans="2:16" ht="15" customHeight="1">
      <c r="B754" s="83">
        <v>390.06503690032105</v>
      </c>
      <c r="C754" s="83">
        <v>390.60937246977005</v>
      </c>
      <c r="D754" s="83">
        <v>388.22790435343069</v>
      </c>
      <c r="E754" s="83">
        <v>388.82958956323239</v>
      </c>
      <c r="F754" s="83">
        <v>4025692.4643345485</v>
      </c>
      <c r="G754" s="83" t="s">
        <v>1477</v>
      </c>
      <c r="H754" s="84">
        <f t="shared" si="19"/>
        <v>3.1773490759188228E-3</v>
      </c>
      <c r="J754" s="83">
        <v>123.69473258409155</v>
      </c>
      <c r="K754" s="83">
        <v>125.11628259289368</v>
      </c>
      <c r="L754" s="83">
        <v>123.11318939867247</v>
      </c>
      <c r="M754" s="83">
        <v>124.90752350069198</v>
      </c>
      <c r="N754" s="83">
        <v>19402299.834137484</v>
      </c>
      <c r="O754" s="83" t="s">
        <v>1477</v>
      </c>
      <c r="P754" s="84">
        <f t="shared" si="20"/>
        <v>-9.709510545165112E-3</v>
      </c>
    </row>
    <row r="755" spans="2:16" ht="15" customHeight="1">
      <c r="B755" s="83">
        <v>387.50860377951602</v>
      </c>
      <c r="C755" s="83">
        <v>387.53290447458073</v>
      </c>
      <c r="D755" s="83">
        <v>384.24259036282217</v>
      </c>
      <c r="E755" s="83">
        <v>384.90356926858163</v>
      </c>
      <c r="F755" s="83">
        <v>3906518.9183807769</v>
      </c>
      <c r="G755" s="83" t="s">
        <v>1476</v>
      </c>
      <c r="H755" s="84">
        <f t="shared" si="19"/>
        <v>6.7680185867973197E-3</v>
      </c>
      <c r="J755" s="83">
        <v>123.61520531087183</v>
      </c>
      <c r="K755" s="83">
        <v>124.01284167697034</v>
      </c>
      <c r="L755" s="83">
        <v>121.62702348037932</v>
      </c>
      <c r="M755" s="83">
        <v>122.66584848681167</v>
      </c>
      <c r="N755" s="83">
        <v>22422126.244336952</v>
      </c>
      <c r="O755" s="83" t="s">
        <v>1476</v>
      </c>
      <c r="P755" s="84">
        <f t="shared" si="20"/>
        <v>7.7393735564648125E-3</v>
      </c>
    </row>
    <row r="756" spans="2:16" ht="15" customHeight="1">
      <c r="B756" s="83">
        <v>383.98014285612351</v>
      </c>
      <c r="C756" s="83">
        <v>385.8269956810397</v>
      </c>
      <c r="D756" s="83">
        <v>383.05671644366544</v>
      </c>
      <c r="E756" s="83">
        <v>383.9995834121753</v>
      </c>
      <c r="F756" s="83">
        <v>3151008.635603732</v>
      </c>
      <c r="G756" s="83" t="s">
        <v>1475</v>
      </c>
      <c r="H756" s="84">
        <f t="shared" si="19"/>
        <v>-5.0626502974382426E-5</v>
      </c>
      <c r="J756" s="83">
        <v>122.14395075630739</v>
      </c>
      <c r="K756" s="83">
        <v>123.55058940138083</v>
      </c>
      <c r="L756" s="83">
        <v>121.69660984444657</v>
      </c>
      <c r="M756" s="83">
        <v>121.83578257258105</v>
      </c>
      <c r="N756" s="83">
        <v>20434424.747728344</v>
      </c>
      <c r="O756" s="83" t="s">
        <v>1475</v>
      </c>
      <c r="P756" s="84">
        <f t="shared" si="20"/>
        <v>2.5293733681461816E-3</v>
      </c>
    </row>
    <row r="757" spans="2:16" ht="15" customHeight="1">
      <c r="B757" s="83">
        <v>383.33860450641583</v>
      </c>
      <c r="C757" s="83">
        <v>383.68853451534733</v>
      </c>
      <c r="D757" s="83">
        <v>380.34475887444648</v>
      </c>
      <c r="E757" s="83">
        <v>380.99601750218005</v>
      </c>
      <c r="F757" s="83">
        <v>3559930.066597715</v>
      </c>
      <c r="G757" s="83" t="s">
        <v>1474</v>
      </c>
      <c r="H757" s="84">
        <f t="shared" si="19"/>
        <v>6.1485865904684633E-3</v>
      </c>
      <c r="J757" s="83">
        <v>121.94513257325814</v>
      </c>
      <c r="K757" s="83">
        <v>122.99886894341917</v>
      </c>
      <c r="L757" s="83">
        <v>121.28903256919561</v>
      </c>
      <c r="M757" s="83">
        <v>121.8606348454622</v>
      </c>
      <c r="N757" s="83">
        <v>24962501.537249088</v>
      </c>
      <c r="O757" s="83" t="s">
        <v>1474</v>
      </c>
      <c r="P757" s="84">
        <f t="shared" si="20"/>
        <v>6.9339641881138725E-4</v>
      </c>
    </row>
    <row r="758" spans="2:16" ht="15" customHeight="1">
      <c r="B758" s="83">
        <v>381.05433917033525</v>
      </c>
      <c r="C758" s="83">
        <v>383.7176953494249</v>
      </c>
      <c r="D758" s="83">
        <v>380.58776582509336</v>
      </c>
      <c r="E758" s="83">
        <v>382.65818504460464</v>
      </c>
      <c r="F758" s="83">
        <v>4056358.2538527637</v>
      </c>
      <c r="G758" s="83" t="s">
        <v>1473</v>
      </c>
      <c r="H758" s="84">
        <f t="shared" si="19"/>
        <v>-4.1913277618311762E-3</v>
      </c>
      <c r="J758" s="83">
        <v>122.21353712037462</v>
      </c>
      <c r="K758" s="83">
        <v>128.78447807015237</v>
      </c>
      <c r="L758" s="83">
        <v>121.90536893664827</v>
      </c>
      <c r="M758" s="83">
        <v>126.82114851254101</v>
      </c>
      <c r="N758" s="83">
        <v>34382517.208230518</v>
      </c>
      <c r="O758" s="83" t="s">
        <v>1473</v>
      </c>
      <c r="P758" s="84">
        <f t="shared" si="20"/>
        <v>-3.633156966490303E-2</v>
      </c>
    </row>
    <row r="759" spans="2:16" ht="15" customHeight="1">
      <c r="B759" s="83">
        <v>382.30825503567314</v>
      </c>
      <c r="C759" s="83">
        <v>382.7748283809151</v>
      </c>
      <c r="D759" s="83">
        <v>380.46140221075694</v>
      </c>
      <c r="E759" s="83">
        <v>381.08350000441294</v>
      </c>
      <c r="F759" s="83">
        <v>2977963.1737843766</v>
      </c>
      <c r="G759" s="83" t="s">
        <v>1472</v>
      </c>
      <c r="H759" s="84">
        <f t="shared" si="19"/>
        <v>3.2138757811503993E-3</v>
      </c>
      <c r="J759" s="83">
        <v>127.1541689691485</v>
      </c>
      <c r="K759" s="83">
        <v>128.11843715693738</v>
      </c>
      <c r="L759" s="83">
        <v>125.22563259357078</v>
      </c>
      <c r="M759" s="83">
        <v>125.85190987017592</v>
      </c>
      <c r="N759" s="83">
        <v>19565743.637423579</v>
      </c>
      <c r="O759" s="83" t="s">
        <v>1472</v>
      </c>
      <c r="P759" s="84">
        <f t="shared" si="20"/>
        <v>1.0347551342811956E-2</v>
      </c>
    </row>
    <row r="760" spans="2:16" ht="15" customHeight="1">
      <c r="B760" s="83">
        <v>381.52091251557727</v>
      </c>
      <c r="C760" s="83">
        <v>383.7274156274508</v>
      </c>
      <c r="D760" s="83">
        <v>380.83077277574017</v>
      </c>
      <c r="E760" s="83">
        <v>382.53182143026822</v>
      </c>
      <c r="F760" s="83">
        <v>4127225.568364379</v>
      </c>
      <c r="G760" s="83" t="s">
        <v>1471</v>
      </c>
      <c r="H760" s="84">
        <f t="shared" si="19"/>
        <v>-2.642679270213999E-3</v>
      </c>
      <c r="J760" s="83">
        <v>125.8817325976333</v>
      </c>
      <c r="K760" s="83">
        <v>127.23369624236821</v>
      </c>
      <c r="L760" s="83">
        <v>123.64502803832923</v>
      </c>
      <c r="M760" s="83">
        <v>123.87366894883587</v>
      </c>
      <c r="N760" s="83">
        <v>22807286.18708238</v>
      </c>
      <c r="O760" s="83" t="s">
        <v>1471</v>
      </c>
      <c r="P760" s="84">
        <f t="shared" si="20"/>
        <v>1.6210577000240756E-2</v>
      </c>
    </row>
    <row r="761" spans="2:16" ht="15" customHeight="1">
      <c r="B761" s="83">
        <v>382.25965364554372</v>
      </c>
      <c r="C761" s="83">
        <v>382.94007310735492</v>
      </c>
      <c r="D761" s="83">
        <v>378.64371021991843</v>
      </c>
      <c r="E761" s="83">
        <v>379.16860523331559</v>
      </c>
      <c r="F761" s="83">
        <v>7580958.055299025</v>
      </c>
      <c r="G761" s="83" t="s">
        <v>1470</v>
      </c>
      <c r="H761" s="84">
        <f t="shared" si="19"/>
        <v>8.152173913043459E-3</v>
      </c>
      <c r="J761" s="83">
        <v>124.49000531628855</v>
      </c>
      <c r="K761" s="83">
        <v>125.99605305288662</v>
      </c>
      <c r="L761" s="83">
        <v>123.61520531087183</v>
      </c>
      <c r="M761" s="83">
        <v>123.75437803900631</v>
      </c>
      <c r="N761" s="83">
        <v>19482577.199895557</v>
      </c>
      <c r="O761" s="83" t="s">
        <v>1470</v>
      </c>
      <c r="P761" s="84">
        <f t="shared" si="20"/>
        <v>5.9442525504056487E-3</v>
      </c>
    </row>
    <row r="762" spans="2:16" ht="15" customHeight="1">
      <c r="B762" s="83">
        <v>376.72881544882108</v>
      </c>
      <c r="C762" s="83">
        <v>377.70084325140857</v>
      </c>
      <c r="D762" s="83">
        <v>372.25748755691882</v>
      </c>
      <c r="E762" s="83">
        <v>373.45308175410133</v>
      </c>
      <c r="F762" s="83">
        <v>3666103.9843861563</v>
      </c>
      <c r="G762" s="83" t="s">
        <v>1469</v>
      </c>
      <c r="H762" s="84">
        <f t="shared" si="19"/>
        <v>8.7714731910464305E-3</v>
      </c>
      <c r="J762" s="83">
        <v>123.63508712917677</v>
      </c>
      <c r="K762" s="83">
        <v>124.30112804239177</v>
      </c>
      <c r="L762" s="83">
        <v>122.57140984986327</v>
      </c>
      <c r="M762" s="83">
        <v>122.77022803291253</v>
      </c>
      <c r="N762" s="83">
        <v>25166384.297760781</v>
      </c>
      <c r="O762" s="83" t="s">
        <v>1469</v>
      </c>
      <c r="P762" s="84">
        <f t="shared" si="20"/>
        <v>7.0445344129554943E-3</v>
      </c>
    </row>
    <row r="763" spans="2:16" ht="15" customHeight="1">
      <c r="B763" s="83">
        <v>373.15175313529926</v>
      </c>
      <c r="C763" s="83">
        <v>374.38622844458536</v>
      </c>
      <c r="D763" s="83">
        <v>371.72287226549571</v>
      </c>
      <c r="E763" s="83">
        <v>373.56000481238601</v>
      </c>
      <c r="F763" s="83">
        <v>4326365.9627900664</v>
      </c>
      <c r="G763" s="83" t="s">
        <v>1468</v>
      </c>
      <c r="H763" s="84">
        <f t="shared" si="19"/>
        <v>-1.0928677369832496E-3</v>
      </c>
      <c r="J763" s="83">
        <v>122.64099621393052</v>
      </c>
      <c r="K763" s="83">
        <v>124.16195531425728</v>
      </c>
      <c r="L763" s="83">
        <v>122.37259166681402</v>
      </c>
      <c r="M763" s="83">
        <v>122.96904621596178</v>
      </c>
      <c r="N763" s="83">
        <v>41795733.531784244</v>
      </c>
      <c r="O763" s="83" t="s">
        <v>1468</v>
      </c>
      <c r="P763" s="84">
        <f t="shared" si="20"/>
        <v>-2.6677445432498059E-3</v>
      </c>
    </row>
    <row r="764" spans="2:16" ht="15" customHeight="1">
      <c r="B764" s="83">
        <v>375.19301152073291</v>
      </c>
      <c r="C764" s="83">
        <v>377.39951463260644</v>
      </c>
      <c r="D764" s="83">
        <v>373.99741732355034</v>
      </c>
      <c r="E764" s="83">
        <v>376.91350073131269</v>
      </c>
      <c r="F764" s="83">
        <v>4082651.7404505406</v>
      </c>
      <c r="G764" s="83" t="s">
        <v>1467</v>
      </c>
      <c r="H764" s="84">
        <f t="shared" si="19"/>
        <v>-4.5646791829997424E-3</v>
      </c>
      <c r="J764" s="83">
        <v>123.90349167629326</v>
      </c>
      <c r="K764" s="83">
        <v>125.63320986882174</v>
      </c>
      <c r="L764" s="83">
        <v>122.16383257461231</v>
      </c>
      <c r="M764" s="83">
        <v>125.54374168644958</v>
      </c>
      <c r="N764" s="83">
        <v>27392591.142686814</v>
      </c>
      <c r="O764" s="83" t="s">
        <v>1467</v>
      </c>
      <c r="P764" s="84">
        <f t="shared" si="20"/>
        <v>-1.3065167471692174E-2</v>
      </c>
    </row>
    <row r="765" spans="2:16" ht="15" customHeight="1">
      <c r="B765" s="83">
        <v>375.07636818442245</v>
      </c>
      <c r="C765" s="83">
        <v>375.75678764623365</v>
      </c>
      <c r="D765" s="83">
        <v>370.86262766020582</v>
      </c>
      <c r="E765" s="83">
        <v>370.96469057947746</v>
      </c>
      <c r="F765" s="83">
        <v>3130354.9053847413</v>
      </c>
      <c r="G765" s="83" t="s">
        <v>1466</v>
      </c>
      <c r="H765" s="84">
        <f t="shared" si="19"/>
        <v>1.1083743842364546E-2</v>
      </c>
      <c r="J765" s="83">
        <v>124.6888234993378</v>
      </c>
      <c r="K765" s="83">
        <v>125.25545532102817</v>
      </c>
      <c r="L765" s="83">
        <v>122.56146894071081</v>
      </c>
      <c r="M765" s="83">
        <v>123.33188940002665</v>
      </c>
      <c r="N765" s="83">
        <v>25318646.025213048</v>
      </c>
      <c r="O765" s="83" t="s">
        <v>1466</v>
      </c>
      <c r="P765" s="84">
        <f t="shared" si="20"/>
        <v>1.1002297182928444E-2</v>
      </c>
    </row>
    <row r="766" spans="2:16" ht="15" customHeight="1">
      <c r="B766" s="83">
        <v>370.26483056161453</v>
      </c>
      <c r="C766" s="83">
        <v>371.5867883731334</v>
      </c>
      <c r="D766" s="83">
        <v>368.32077495643961</v>
      </c>
      <c r="E766" s="83">
        <v>370.33287250779563</v>
      </c>
      <c r="F766" s="83">
        <v>3411293.3716231384</v>
      </c>
      <c r="G766" s="83" t="s">
        <v>1465</v>
      </c>
      <c r="H766" s="84">
        <f t="shared" si="19"/>
        <v>-1.8373185647913015E-4</v>
      </c>
      <c r="J766" s="83">
        <v>123.61520531087183</v>
      </c>
      <c r="K766" s="83">
        <v>125.23557350272324</v>
      </c>
      <c r="L766" s="83">
        <v>122.17377348376478</v>
      </c>
      <c r="M766" s="83">
        <v>124.47012349798362</v>
      </c>
      <c r="N766" s="83">
        <v>34013719.953998312</v>
      </c>
      <c r="O766" s="83" t="s">
        <v>1465</v>
      </c>
      <c r="P766" s="84">
        <f t="shared" si="20"/>
        <v>-6.868460985544389E-3</v>
      </c>
    </row>
    <row r="767" spans="2:16" ht="15" customHeight="1">
      <c r="B767" s="83">
        <v>367.06685909110178</v>
      </c>
      <c r="C767" s="83">
        <v>368.64154413129347</v>
      </c>
      <c r="D767" s="83">
        <v>366.03650962035908</v>
      </c>
      <c r="E767" s="83">
        <v>368.31105467841377</v>
      </c>
      <c r="F767" s="83">
        <v>3715523.3527129977</v>
      </c>
      <c r="G767" s="83" t="s">
        <v>1464</v>
      </c>
      <c r="H767" s="84">
        <f t="shared" si="19"/>
        <v>-3.378110897046871E-3</v>
      </c>
      <c r="J767" s="83">
        <v>120.92121893055449</v>
      </c>
      <c r="K767" s="83">
        <v>122.0245604373863</v>
      </c>
      <c r="L767" s="83">
        <v>120.03647801598532</v>
      </c>
      <c r="M767" s="83">
        <v>121.15980075021359</v>
      </c>
      <c r="N767" s="83">
        <v>23225164.465244792</v>
      </c>
      <c r="O767" s="83" t="s">
        <v>1464</v>
      </c>
      <c r="P767" s="84">
        <f t="shared" si="20"/>
        <v>-1.9691499835904347E-3</v>
      </c>
    </row>
    <row r="768" spans="2:16" ht="15" customHeight="1">
      <c r="B768" s="83">
        <v>369.83713832847604</v>
      </c>
      <c r="C768" s="83">
        <v>373.3655992518685</v>
      </c>
      <c r="D768" s="83">
        <v>369.44832720744103</v>
      </c>
      <c r="E768" s="83">
        <v>372.47133367348806</v>
      </c>
      <c r="F768" s="83">
        <v>2970351.2515941835</v>
      </c>
      <c r="G768" s="83" t="s">
        <v>1463</v>
      </c>
      <c r="H768" s="84">
        <f t="shared" si="19"/>
        <v>-7.0722096088102759E-3</v>
      </c>
      <c r="J768" s="83">
        <v>122.56146894071081</v>
      </c>
      <c r="K768" s="83">
        <v>124.67888259018534</v>
      </c>
      <c r="L768" s="83">
        <v>122.32288712105171</v>
      </c>
      <c r="M768" s="83">
        <v>124.19177804171467</v>
      </c>
      <c r="N768" s="83">
        <v>24623447.035461888</v>
      </c>
      <c r="O768" s="83" t="s">
        <v>1463</v>
      </c>
      <c r="P768" s="84">
        <f t="shared" si="20"/>
        <v>-1.3127351316737368E-2</v>
      </c>
    </row>
    <row r="769" spans="2:16" ht="15" customHeight="1">
      <c r="B769" s="83">
        <v>374.01685787960207</v>
      </c>
      <c r="C769" s="83">
        <v>375.42629819335394</v>
      </c>
      <c r="D769" s="83">
        <v>372.74350145821256</v>
      </c>
      <c r="E769" s="83">
        <v>373.90021454329161</v>
      </c>
      <c r="F769" s="83">
        <v>2864127.9525021706</v>
      </c>
      <c r="G769" s="83" t="s">
        <v>1462</v>
      </c>
      <c r="H769" s="84">
        <f t="shared" si="19"/>
        <v>3.1196381219777969E-4</v>
      </c>
      <c r="J769" s="83">
        <v>125.12622350204616</v>
      </c>
      <c r="K769" s="83">
        <v>126.29925078203672</v>
      </c>
      <c r="L769" s="83">
        <v>122.72052348715022</v>
      </c>
      <c r="M769" s="83">
        <v>122.78016894206499</v>
      </c>
      <c r="N769" s="83">
        <v>29937137.080291919</v>
      </c>
      <c r="O769" s="83" t="s">
        <v>1462</v>
      </c>
      <c r="P769" s="84">
        <f t="shared" si="20"/>
        <v>1.9107764553477402E-2</v>
      </c>
    </row>
    <row r="770" spans="2:16" ht="15" customHeight="1">
      <c r="B770" s="83">
        <v>373.81273204105872</v>
      </c>
      <c r="C770" s="83">
        <v>375.72762681215602</v>
      </c>
      <c r="D770" s="83">
        <v>372.71434062413488</v>
      </c>
      <c r="E770" s="83">
        <v>375.22217235481054</v>
      </c>
      <c r="F770" s="83">
        <v>3754052.0860478966</v>
      </c>
      <c r="G770" s="83" t="s">
        <v>1461</v>
      </c>
      <c r="H770" s="84">
        <f t="shared" si="19"/>
        <v>-3.7562820579244427E-3</v>
      </c>
      <c r="J770" s="83">
        <v>122.52170530410096</v>
      </c>
      <c r="K770" s="83">
        <v>125.73162486943112</v>
      </c>
      <c r="L770" s="83">
        <v>121.99483711902045</v>
      </c>
      <c r="M770" s="83">
        <v>123.46609167358491</v>
      </c>
      <c r="N770" s="83">
        <v>30448788.471728288</v>
      </c>
      <c r="O770" s="83" t="s">
        <v>1461</v>
      </c>
      <c r="P770" s="84">
        <f t="shared" si="20"/>
        <v>-7.6489533011272481E-3</v>
      </c>
    </row>
    <row r="771" spans="2:16" ht="15" customHeight="1">
      <c r="B771" s="83">
        <v>374.40566900063709</v>
      </c>
      <c r="C771" s="83">
        <v>374.78475984364616</v>
      </c>
      <c r="D771" s="83">
        <v>370.34259278582152</v>
      </c>
      <c r="E771" s="83">
        <v>370.59532001449423</v>
      </c>
      <c r="F771" s="83">
        <v>3436753.5487231379</v>
      </c>
      <c r="G771" s="83" t="s">
        <v>1460</v>
      </c>
      <c r="H771" s="84">
        <f t="shared" si="19"/>
        <v>1.0281697529245237E-2</v>
      </c>
      <c r="J771" s="83">
        <v>122.79010985121745</v>
      </c>
      <c r="K771" s="83">
        <v>123.16786439901104</v>
      </c>
      <c r="L771" s="83">
        <v>120.77210529326754</v>
      </c>
      <c r="M771" s="83">
        <v>120.84169165733479</v>
      </c>
      <c r="N771" s="83">
        <v>27175047.659808863</v>
      </c>
      <c r="O771" s="83" t="s">
        <v>1460</v>
      </c>
      <c r="P771" s="84">
        <f t="shared" si="20"/>
        <v>1.612372490950964E-2</v>
      </c>
    </row>
    <row r="772" spans="2:16" ht="15" customHeight="1">
      <c r="B772" s="83">
        <v>370.78000529698585</v>
      </c>
      <c r="C772" s="83">
        <v>371.40210309064179</v>
      </c>
      <c r="D772" s="83">
        <v>366.72664936019612</v>
      </c>
      <c r="E772" s="83">
        <v>368.25273301025851</v>
      </c>
      <c r="F772" s="83">
        <v>3315383.5635375697</v>
      </c>
      <c r="G772" s="83" t="s">
        <v>1459</v>
      </c>
      <c r="H772" s="84">
        <f t="shared" si="19"/>
        <v>6.8628744885836923E-3</v>
      </c>
      <c r="J772" s="83">
        <v>120.7621643841151</v>
      </c>
      <c r="K772" s="83">
        <v>121.55743711631209</v>
      </c>
      <c r="L772" s="83">
        <v>118.75410073531765</v>
      </c>
      <c r="M772" s="83">
        <v>119.46984619429496</v>
      </c>
      <c r="N772" s="83">
        <v>26818034.036047816</v>
      </c>
      <c r="O772" s="83" t="s">
        <v>1459</v>
      </c>
      <c r="P772" s="84">
        <f t="shared" si="20"/>
        <v>1.0817107671825532E-2</v>
      </c>
    </row>
    <row r="773" spans="2:16" ht="15" customHeight="1">
      <c r="B773" s="83">
        <v>366.40588018534231</v>
      </c>
      <c r="C773" s="83">
        <v>368.67070496537104</v>
      </c>
      <c r="D773" s="83">
        <v>366.36699907323884</v>
      </c>
      <c r="E773" s="83">
        <v>367.80560022106823</v>
      </c>
      <c r="F773" s="83">
        <v>2343159.3149261507</v>
      </c>
      <c r="G773" s="83" t="s">
        <v>1458</v>
      </c>
      <c r="H773" s="84">
        <f t="shared" si="19"/>
        <v>-3.8055973995083647E-3</v>
      </c>
      <c r="J773" s="83">
        <v>119.3803780119228</v>
      </c>
      <c r="K773" s="83">
        <v>120.48381892784614</v>
      </c>
      <c r="L773" s="83">
        <v>116.13964162822001</v>
      </c>
      <c r="M773" s="83">
        <v>116.13964162822001</v>
      </c>
      <c r="N773" s="83">
        <v>32562527.736189306</v>
      </c>
      <c r="O773" s="83" t="s">
        <v>1458</v>
      </c>
      <c r="P773" s="84">
        <f t="shared" si="20"/>
        <v>2.790379183428926E-2</v>
      </c>
    </row>
    <row r="774" spans="2:16" ht="15" customHeight="1">
      <c r="B774" s="83">
        <v>368.84566996983682</v>
      </c>
      <c r="C774" s="83">
        <v>369.21504053482005</v>
      </c>
      <c r="D774" s="83">
        <v>366.36699907323884</v>
      </c>
      <c r="E774" s="83">
        <v>368.14580995197389</v>
      </c>
      <c r="F774" s="83">
        <v>3994290.0703713847</v>
      </c>
      <c r="G774" s="83" t="s">
        <v>1457</v>
      </c>
      <c r="H774" s="84">
        <f t="shared" si="19"/>
        <v>1.9010402914927393E-3</v>
      </c>
      <c r="J774" s="83">
        <v>116.26887344720201</v>
      </c>
      <c r="K774" s="83">
        <v>118.09303027667889</v>
      </c>
      <c r="L774" s="83">
        <v>115.79170980788382</v>
      </c>
      <c r="M774" s="83">
        <v>115.80165071703627</v>
      </c>
      <c r="N774" s="83">
        <v>22239278.783192039</v>
      </c>
      <c r="O774" s="83" t="s">
        <v>1457</v>
      </c>
      <c r="P774" s="84">
        <f t="shared" si="20"/>
        <v>4.0346810885054651E-3</v>
      </c>
    </row>
    <row r="775" spans="2:16" ht="15" customHeight="1">
      <c r="B775" s="83">
        <v>367.57231354844726</v>
      </c>
      <c r="C775" s="83">
        <v>369.38028526125993</v>
      </c>
      <c r="D775" s="83">
        <v>365.32206918545728</v>
      </c>
      <c r="E775" s="83">
        <v>369.22476081284594</v>
      </c>
      <c r="F775" s="83">
        <v>2603850.4179228684</v>
      </c>
      <c r="G775" s="83" t="s">
        <v>1456</v>
      </c>
      <c r="H775" s="84">
        <f t="shared" si="19"/>
        <v>-4.4754508358563205E-3</v>
      </c>
      <c r="J775" s="83">
        <v>117.22320072583842</v>
      </c>
      <c r="K775" s="83">
        <v>117.56119163702215</v>
      </c>
      <c r="L775" s="83">
        <v>115.86129617195105</v>
      </c>
      <c r="M775" s="83">
        <v>116.30863708381186</v>
      </c>
      <c r="N775" s="83">
        <v>31479794.775358081</v>
      </c>
      <c r="O775" s="83" t="s">
        <v>1456</v>
      </c>
      <c r="P775" s="84">
        <f t="shared" si="20"/>
        <v>7.8632478632478797E-3</v>
      </c>
    </row>
    <row r="776" spans="2:16" ht="15" customHeight="1">
      <c r="B776" s="83">
        <v>368.0680477277669</v>
      </c>
      <c r="C776" s="83">
        <v>368.28189384433608</v>
      </c>
      <c r="D776" s="83">
        <v>366.13371240061781</v>
      </c>
      <c r="E776" s="83">
        <v>367.88336244527528</v>
      </c>
      <c r="F776" s="83">
        <v>2753647.5735313874</v>
      </c>
      <c r="G776" s="83" t="s">
        <v>1455</v>
      </c>
      <c r="H776" s="84">
        <f t="shared" si="19"/>
        <v>5.0202129627185954E-4</v>
      </c>
      <c r="J776" s="83">
        <v>116.20922799228724</v>
      </c>
      <c r="K776" s="83">
        <v>117.74012800176646</v>
      </c>
      <c r="L776" s="83">
        <v>114.25096829834364</v>
      </c>
      <c r="M776" s="83">
        <v>115.17537344043113</v>
      </c>
      <c r="N776" s="83">
        <v>57454578.976663828</v>
      </c>
      <c r="O776" s="83" t="s">
        <v>1455</v>
      </c>
      <c r="P776" s="84">
        <f t="shared" si="20"/>
        <v>8.9763507681686061E-3</v>
      </c>
    </row>
    <row r="777" spans="2:16" ht="15" customHeight="1">
      <c r="B777" s="83">
        <v>368.58322246313821</v>
      </c>
      <c r="C777" s="83">
        <v>370.17734805938164</v>
      </c>
      <c r="D777" s="83">
        <v>365.13252376395269</v>
      </c>
      <c r="E777" s="83">
        <v>369.64273276795853</v>
      </c>
      <c r="F777" s="83">
        <v>3614039.6299867393</v>
      </c>
      <c r="G777" s="83" t="s">
        <v>1454</v>
      </c>
      <c r="H777" s="84">
        <f t="shared" si="19"/>
        <v>-2.8663090354474896E-3</v>
      </c>
      <c r="J777" s="83">
        <v>111.61652796384953</v>
      </c>
      <c r="K777" s="83">
        <v>112.83925978960244</v>
      </c>
      <c r="L777" s="83">
        <v>107.83898248591377</v>
      </c>
      <c r="M777" s="83">
        <v>107.90856884998101</v>
      </c>
      <c r="N777" s="83">
        <v>47816011.866706431</v>
      </c>
      <c r="O777" s="83" t="s">
        <v>1454</v>
      </c>
      <c r="P777" s="84">
        <f t="shared" si="20"/>
        <v>3.436204514048824E-2</v>
      </c>
    </row>
    <row r="778" spans="2:16" ht="15" customHeight="1">
      <c r="B778" s="83">
        <v>366.97937658886894</v>
      </c>
      <c r="C778" s="83">
        <v>367.99028550355985</v>
      </c>
      <c r="D778" s="83">
        <v>366.77525075032554</v>
      </c>
      <c r="E778" s="83">
        <v>367.14462131530877</v>
      </c>
      <c r="F778" s="83">
        <v>2336403.3353312062</v>
      </c>
      <c r="G778" s="83" t="s">
        <v>1453</v>
      </c>
      <c r="H778" s="84">
        <f t="shared" si="19"/>
        <v>-4.500807497814785E-4</v>
      </c>
      <c r="J778" s="83">
        <v>107.3021733916808</v>
      </c>
      <c r="K778" s="83">
        <v>109.9414847716596</v>
      </c>
      <c r="L778" s="83">
        <v>107.08844384490284</v>
      </c>
      <c r="M778" s="83">
        <v>108.13720976048765</v>
      </c>
      <c r="N778" s="83">
        <v>24929754.029450029</v>
      </c>
      <c r="O778" s="83" t="s">
        <v>1453</v>
      </c>
      <c r="P778" s="84">
        <f t="shared" si="20"/>
        <v>-7.7220077220077066E-3</v>
      </c>
    </row>
    <row r="779" spans="2:16" ht="15" customHeight="1">
      <c r="B779" s="83">
        <v>368.57350218511232</v>
      </c>
      <c r="C779" s="83">
        <v>369.0011944182508</v>
      </c>
      <c r="D779" s="83">
        <v>367.30986604174865</v>
      </c>
      <c r="E779" s="83">
        <v>368.79706857970746</v>
      </c>
      <c r="F779" s="83">
        <v>3042729.8397505339</v>
      </c>
      <c r="G779" s="83" t="s">
        <v>1452</v>
      </c>
      <c r="H779" s="84">
        <f t="shared" si="19"/>
        <v>-6.0620436994285321E-4</v>
      </c>
      <c r="J779" s="83">
        <v>107.60040066625466</v>
      </c>
      <c r="K779" s="83">
        <v>107.779337030999</v>
      </c>
      <c r="L779" s="83">
        <v>105.16487792390134</v>
      </c>
      <c r="M779" s="83">
        <v>105.16984837847758</v>
      </c>
      <c r="N779" s="83">
        <v>17368653.847644184</v>
      </c>
      <c r="O779" s="83" t="s">
        <v>1452</v>
      </c>
      <c r="P779" s="84">
        <f t="shared" si="20"/>
        <v>2.3110733021409091E-2</v>
      </c>
    </row>
    <row r="780" spans="2:16" ht="15" customHeight="1">
      <c r="B780" s="83">
        <v>368.36937634656897</v>
      </c>
      <c r="C780" s="83">
        <v>369.45804748546692</v>
      </c>
      <c r="D780" s="83">
        <v>364.9283979254094</v>
      </c>
      <c r="E780" s="83">
        <v>365.22972654421147</v>
      </c>
      <c r="F780" s="83">
        <v>3229736.8363777162</v>
      </c>
      <c r="G780" s="83" t="s">
        <v>1451</v>
      </c>
      <c r="H780" s="84">
        <f t="shared" si="19"/>
        <v>8.5963698302018443E-3</v>
      </c>
      <c r="J780" s="83">
        <v>105.587366562881</v>
      </c>
      <c r="K780" s="83">
        <v>105.8110370188114</v>
      </c>
      <c r="L780" s="83">
        <v>104.11969073561144</v>
      </c>
      <c r="M780" s="83">
        <v>104.6976551937356</v>
      </c>
      <c r="N780" s="83">
        <v>20833735.307670105</v>
      </c>
      <c r="O780" s="83" t="s">
        <v>1451</v>
      </c>
      <c r="P780" s="84">
        <f t="shared" si="20"/>
        <v>8.4979111279910313E-3</v>
      </c>
    </row>
    <row r="781" spans="2:16" ht="15" customHeight="1">
      <c r="B781" s="83">
        <v>361.73042645489659</v>
      </c>
      <c r="C781" s="83">
        <v>363.64532122599394</v>
      </c>
      <c r="D781" s="83">
        <v>360.54455253573997</v>
      </c>
      <c r="E781" s="83">
        <v>363.38287371929528</v>
      </c>
      <c r="F781" s="83">
        <v>4548721.7425575415</v>
      </c>
      <c r="G781" s="83" t="s">
        <v>1450</v>
      </c>
      <c r="H781" s="84">
        <f t="shared" si="19"/>
        <v>-4.5473999572009927E-3</v>
      </c>
      <c r="J781" s="83">
        <v>104.5883051930585</v>
      </c>
      <c r="K781" s="83">
        <v>105.67186429067694</v>
      </c>
      <c r="L781" s="83">
        <v>104.08131882628292</v>
      </c>
      <c r="M781" s="83">
        <v>105.53269156254245</v>
      </c>
      <c r="N781" s="83">
        <v>19898217.252191626</v>
      </c>
      <c r="O781" s="83" t="s">
        <v>1450</v>
      </c>
      <c r="P781" s="84">
        <f t="shared" si="20"/>
        <v>-8.9487565938207725E-3</v>
      </c>
    </row>
    <row r="782" spans="2:16" ht="15" customHeight="1">
      <c r="B782" s="83">
        <v>364.39378263398623</v>
      </c>
      <c r="C782" s="83">
        <v>369.56497054375154</v>
      </c>
      <c r="D782" s="83">
        <v>364.12161484926179</v>
      </c>
      <c r="E782" s="83">
        <v>367.33902687582628</v>
      </c>
      <c r="F782" s="83">
        <v>5671688.5929854512</v>
      </c>
      <c r="G782" s="83" t="s">
        <v>1449</v>
      </c>
      <c r="H782" s="84">
        <f t="shared" si="19"/>
        <v>-8.0177820115902021E-3</v>
      </c>
      <c r="J782" s="83">
        <v>105.49292792593262</v>
      </c>
      <c r="K782" s="83">
        <v>107.49105066557757</v>
      </c>
      <c r="L782" s="83">
        <v>104.99588246830949</v>
      </c>
      <c r="M782" s="83">
        <v>105.59233701745723</v>
      </c>
      <c r="N782" s="83">
        <v>17218076.070798773</v>
      </c>
      <c r="O782" s="83" t="s">
        <v>1449</v>
      </c>
      <c r="P782" s="84">
        <f t="shared" si="20"/>
        <v>-9.4144228958747966E-4</v>
      </c>
    </row>
    <row r="783" spans="2:16" ht="15" customHeight="1">
      <c r="B783" s="83">
        <v>366.95021575479126</v>
      </c>
      <c r="C783" s="83">
        <v>370.44951584410614</v>
      </c>
      <c r="D783" s="83">
        <v>364.18965679544289</v>
      </c>
      <c r="E783" s="83">
        <v>370.40091445397678</v>
      </c>
      <c r="F783" s="83">
        <v>4435665.3055837518</v>
      </c>
      <c r="G783" s="83" t="s">
        <v>1448</v>
      </c>
      <c r="H783" s="84">
        <f t="shared" si="19"/>
        <v>-9.3161181966096018E-3</v>
      </c>
      <c r="J783" s="83">
        <v>105.35375519779814</v>
      </c>
      <c r="K783" s="83">
        <v>107.09341429947908</v>
      </c>
      <c r="L783" s="83">
        <v>103.88250064323367</v>
      </c>
      <c r="M783" s="83">
        <v>107.02382793541184</v>
      </c>
      <c r="N783" s="83">
        <v>20464039.745258734</v>
      </c>
      <c r="O783" s="83" t="s">
        <v>1448</v>
      </c>
      <c r="P783" s="84">
        <f t="shared" si="20"/>
        <v>-1.5604681404421283E-2</v>
      </c>
    </row>
    <row r="784" spans="2:16" ht="15" customHeight="1">
      <c r="B784" s="83">
        <v>371.11049474986561</v>
      </c>
      <c r="C784" s="83">
        <v>372.90874618465239</v>
      </c>
      <c r="D784" s="83">
        <v>370.84804724316695</v>
      </c>
      <c r="E784" s="83">
        <v>371.05217308171035</v>
      </c>
      <c r="F784" s="83">
        <v>3157622.6439509075</v>
      </c>
      <c r="G784" s="83" t="s">
        <v>1447</v>
      </c>
      <c r="H784" s="84">
        <f t="shared" si="19"/>
        <v>1.5717915804369653E-4</v>
      </c>
      <c r="J784" s="83">
        <v>107.07353248117414</v>
      </c>
      <c r="K784" s="83">
        <v>108.03780066896303</v>
      </c>
      <c r="L784" s="83">
        <v>106.86477338897244</v>
      </c>
      <c r="M784" s="83">
        <v>107.08347339032662</v>
      </c>
      <c r="N784" s="83">
        <v>21050649.069472853</v>
      </c>
      <c r="O784" s="83" t="s">
        <v>1447</v>
      </c>
      <c r="P784" s="84">
        <f t="shared" si="20"/>
        <v>-9.2833271444603405E-5</v>
      </c>
    </row>
    <row r="785" spans="2:16" ht="15" customHeight="1">
      <c r="B785" s="83">
        <v>371.36322197853838</v>
      </c>
      <c r="C785" s="83">
        <v>371.43126392471947</v>
      </c>
      <c r="D785" s="83">
        <v>367.42650937805911</v>
      </c>
      <c r="E785" s="83">
        <v>367.46539049016263</v>
      </c>
      <c r="F785" s="83">
        <v>3484372.5570239169</v>
      </c>
      <c r="G785" s="83" t="s">
        <v>1446</v>
      </c>
      <c r="H785" s="84">
        <f t="shared" si="19"/>
        <v>1.0607343138292258E-2</v>
      </c>
      <c r="J785" s="83">
        <v>107.58051884794975</v>
      </c>
      <c r="K785" s="83">
        <v>107.65010521201698</v>
      </c>
      <c r="L785" s="83">
        <v>105.41340065271291</v>
      </c>
      <c r="M785" s="83">
        <v>107.16300066354631</v>
      </c>
      <c r="N785" s="83">
        <v>24100282.612546738</v>
      </c>
      <c r="O785" s="83" t="s">
        <v>1446</v>
      </c>
      <c r="P785" s="84">
        <f t="shared" si="20"/>
        <v>3.8961038961040639E-3</v>
      </c>
    </row>
    <row r="786" spans="2:16" ht="15" customHeight="1">
      <c r="B786" s="83">
        <v>368.21385189815499</v>
      </c>
      <c r="C786" s="83">
        <v>368.52490079498295</v>
      </c>
      <c r="D786" s="83">
        <v>363.21762899285545</v>
      </c>
      <c r="E786" s="83">
        <v>363.43147510942464</v>
      </c>
      <c r="F786" s="83">
        <v>4426187.1816294007</v>
      </c>
      <c r="G786" s="83" t="s">
        <v>1445</v>
      </c>
      <c r="H786" s="84">
        <f t="shared" si="19"/>
        <v>1.315895049346083E-2</v>
      </c>
      <c r="J786" s="83">
        <v>107.72963248523669</v>
      </c>
      <c r="K786" s="83">
        <v>108.50502339912877</v>
      </c>
      <c r="L786" s="83">
        <v>103.80297337001397</v>
      </c>
      <c r="M786" s="83">
        <v>104.60818701136344</v>
      </c>
      <c r="N786" s="83">
        <v>38462498.161476918</v>
      </c>
      <c r="O786" s="83" t="s">
        <v>1445</v>
      </c>
      <c r="P786" s="84">
        <f t="shared" si="20"/>
        <v>2.9839399410814593E-2</v>
      </c>
    </row>
    <row r="787" spans="2:16" ht="15" customHeight="1">
      <c r="B787" s="83">
        <v>361.05000699308539</v>
      </c>
      <c r="C787" s="83">
        <v>364.19937707346878</v>
      </c>
      <c r="D787" s="83">
        <v>360.60287420389517</v>
      </c>
      <c r="E787" s="83">
        <v>363.20790871482961</v>
      </c>
      <c r="F787" s="83">
        <v>3875296.5604202193</v>
      </c>
      <c r="G787" s="83" t="s">
        <v>1444</v>
      </c>
      <c r="H787" s="84">
        <f t="shared" si="19"/>
        <v>-5.9412299951829839E-3</v>
      </c>
      <c r="J787" s="83">
        <v>103.83279609747136</v>
      </c>
      <c r="K787" s="83">
        <v>106.38760974965423</v>
      </c>
      <c r="L787" s="83">
        <v>102.65976881748078</v>
      </c>
      <c r="M787" s="83">
        <v>104.9362370133947</v>
      </c>
      <c r="N787" s="83">
        <v>37288508.959784135</v>
      </c>
      <c r="O787" s="83" t="s">
        <v>1444</v>
      </c>
      <c r="P787" s="84">
        <f t="shared" si="20"/>
        <v>-1.0515346722243302E-2</v>
      </c>
    </row>
    <row r="788" spans="2:16" ht="15" customHeight="1">
      <c r="B788" s="83">
        <v>362.66357314538061</v>
      </c>
      <c r="C788" s="83">
        <v>367.13490103728287</v>
      </c>
      <c r="D788" s="83">
        <v>362.58581092117356</v>
      </c>
      <c r="E788" s="83">
        <v>366.62944657993745</v>
      </c>
      <c r="F788" s="83">
        <v>3904649.6302851452</v>
      </c>
      <c r="G788" s="83" t="s">
        <v>1443</v>
      </c>
      <c r="H788" s="84">
        <f t="shared" si="19"/>
        <v>-1.081711649610273E-2</v>
      </c>
      <c r="J788" s="83">
        <v>103.99185064391077</v>
      </c>
      <c r="K788" s="83">
        <v>106.80512793405767</v>
      </c>
      <c r="L788" s="83">
        <v>103.94214609814846</v>
      </c>
      <c r="M788" s="83">
        <v>105.98003247440327</v>
      </c>
      <c r="N788" s="83">
        <v>31594815.442227043</v>
      </c>
      <c r="O788" s="83" t="s">
        <v>1443</v>
      </c>
      <c r="P788" s="84">
        <f t="shared" si="20"/>
        <v>-1.8759966232060776E-2</v>
      </c>
    </row>
    <row r="789" spans="2:16" ht="15" customHeight="1">
      <c r="B789" s="83">
        <v>368.48601968287943</v>
      </c>
      <c r="C789" s="83">
        <v>368.85539024786272</v>
      </c>
      <c r="D789" s="83">
        <v>366.67804797006681</v>
      </c>
      <c r="E789" s="83">
        <v>367.89308272330112</v>
      </c>
      <c r="F789" s="83">
        <v>2376858.9682825711</v>
      </c>
      <c r="G789" s="83" t="s">
        <v>1442</v>
      </c>
      <c r="H789" s="84">
        <f t="shared" si="19"/>
        <v>1.6117099978860683E-3</v>
      </c>
      <c r="J789" s="83">
        <v>106.14902792999514</v>
      </c>
      <c r="K789" s="83">
        <v>106.68583702422811</v>
      </c>
      <c r="L789" s="83">
        <v>104.73741883034545</v>
      </c>
      <c r="M789" s="83">
        <v>105.42334156186537</v>
      </c>
      <c r="N789" s="83">
        <v>21538178.924707416</v>
      </c>
      <c r="O789" s="83" t="s">
        <v>1442</v>
      </c>
      <c r="P789" s="84">
        <f t="shared" si="20"/>
        <v>6.8835454974069954E-3</v>
      </c>
    </row>
    <row r="790" spans="2:16" ht="15" customHeight="1">
      <c r="B790" s="83">
        <v>368.00000578158568</v>
      </c>
      <c r="C790" s="83">
        <v>368.49573996090538</v>
      </c>
      <c r="D790" s="83">
        <v>366.2795165710059</v>
      </c>
      <c r="E790" s="83">
        <v>368.08748828381863</v>
      </c>
      <c r="F790" s="83">
        <v>2841797.3155160467</v>
      </c>
      <c r="G790" s="83" t="s">
        <v>1441</v>
      </c>
      <c r="H790" s="84">
        <f t="shared" si="19"/>
        <v>-2.376676877576811E-4</v>
      </c>
      <c r="J790" s="83">
        <v>105.28416883373089</v>
      </c>
      <c r="K790" s="83">
        <v>106.00985520186066</v>
      </c>
      <c r="L790" s="83">
        <v>104.86168019475123</v>
      </c>
      <c r="M790" s="83">
        <v>105.46310519847522</v>
      </c>
      <c r="N790" s="83">
        <v>22512043.573455542</v>
      </c>
      <c r="O790" s="83" t="s">
        <v>1441</v>
      </c>
      <c r="P790" s="84">
        <f t="shared" si="20"/>
        <v>-1.6966726364407991E-3</v>
      </c>
    </row>
    <row r="791" spans="2:16" ht="15" customHeight="1">
      <c r="B791" s="83">
        <v>367.7861596650165</v>
      </c>
      <c r="C791" s="83">
        <v>369.43860692941519</v>
      </c>
      <c r="D791" s="83">
        <v>366.39615990731642</v>
      </c>
      <c r="E791" s="83">
        <v>367.21266326148987</v>
      </c>
      <c r="F791" s="83">
        <v>3038156.9252843349</v>
      </c>
      <c r="G791" s="83" t="s">
        <v>1440</v>
      </c>
      <c r="H791" s="84">
        <f t="shared" si="19"/>
        <v>1.5617555190852173E-3</v>
      </c>
      <c r="J791" s="83">
        <v>105.27422792457844</v>
      </c>
      <c r="K791" s="83">
        <v>106.25589270338411</v>
      </c>
      <c r="L791" s="83">
        <v>104.02167337136815</v>
      </c>
      <c r="M791" s="83">
        <v>104.03161428052061</v>
      </c>
      <c r="N791" s="83">
        <v>22649166.846497659</v>
      </c>
      <c r="O791" s="83" t="s">
        <v>1440</v>
      </c>
      <c r="P791" s="84">
        <f t="shared" si="20"/>
        <v>1.1944577161968617E-2</v>
      </c>
    </row>
    <row r="792" spans="2:16" ht="15" customHeight="1">
      <c r="B792" s="83">
        <v>369.87601944057951</v>
      </c>
      <c r="C792" s="83">
        <v>370.66336196067533</v>
      </c>
      <c r="D792" s="83">
        <v>368.07776800579273</v>
      </c>
      <c r="E792" s="83">
        <v>368.13608967394799</v>
      </c>
      <c r="F792" s="83">
        <v>2748183.7380465763</v>
      </c>
      <c r="G792" s="83" t="s">
        <v>1439</v>
      </c>
      <c r="H792" s="84">
        <f t="shared" si="19"/>
        <v>4.7263221820292856E-3</v>
      </c>
      <c r="J792" s="83">
        <v>104.39942791916172</v>
      </c>
      <c r="K792" s="83">
        <v>105.10026201441033</v>
      </c>
      <c r="L792" s="83">
        <v>103.1866370025613</v>
      </c>
      <c r="M792" s="83">
        <v>103.59918473238849</v>
      </c>
      <c r="N792" s="83">
        <v>16831474.610000998</v>
      </c>
      <c r="O792" s="83" t="s">
        <v>1439</v>
      </c>
      <c r="P792" s="84">
        <f t="shared" si="20"/>
        <v>7.7244158710358946E-3</v>
      </c>
    </row>
    <row r="793" spans="2:16" ht="15" customHeight="1">
      <c r="B793" s="83">
        <v>369.8954599966313</v>
      </c>
      <c r="C793" s="83">
        <v>371.23199822518905</v>
      </c>
      <c r="D793" s="83">
        <v>368.63182385326758</v>
      </c>
      <c r="E793" s="83">
        <v>371.15909613999497</v>
      </c>
      <c r="F793" s="83">
        <v>3106153.9515258279</v>
      </c>
      <c r="G793" s="83" t="s">
        <v>1438</v>
      </c>
      <c r="H793" s="84">
        <f t="shared" si="19"/>
        <v>-3.4045673580556102E-3</v>
      </c>
      <c r="J793" s="83">
        <v>104.49883701068636</v>
      </c>
      <c r="K793" s="83">
        <v>106.41743247711162</v>
      </c>
      <c r="L793" s="83">
        <v>104.16084609950262</v>
      </c>
      <c r="M793" s="83">
        <v>106.36772793134931</v>
      </c>
      <c r="N793" s="83">
        <v>17746232.994826131</v>
      </c>
      <c r="O793" s="83" t="s">
        <v>1438</v>
      </c>
      <c r="P793" s="84">
        <f t="shared" si="20"/>
        <v>-1.7570093457943803E-2</v>
      </c>
    </row>
    <row r="794" spans="2:16" ht="15" customHeight="1">
      <c r="B794" s="83">
        <v>369.64273276795853</v>
      </c>
      <c r="C794" s="83">
        <v>369.681613880062</v>
      </c>
      <c r="D794" s="83">
        <v>367.11546048123114</v>
      </c>
      <c r="E794" s="83">
        <v>368.24301273223256</v>
      </c>
      <c r="F794" s="83">
        <v>2799306.7613466522</v>
      </c>
      <c r="G794" s="83" t="s">
        <v>1437</v>
      </c>
      <c r="H794" s="84">
        <f t="shared" si="19"/>
        <v>3.8010769718088699E-3</v>
      </c>
      <c r="J794" s="83">
        <v>105.79115520050648</v>
      </c>
      <c r="K794" s="83">
        <v>106.07944156592789</v>
      </c>
      <c r="L794" s="83">
        <v>104.6976551937356</v>
      </c>
      <c r="M794" s="83">
        <v>104.8070051944127</v>
      </c>
      <c r="N794" s="83">
        <v>29216083.312465828</v>
      </c>
      <c r="O794" s="83" t="s">
        <v>1437</v>
      </c>
      <c r="P794" s="84">
        <f t="shared" si="20"/>
        <v>9.3901166650858237E-3</v>
      </c>
    </row>
    <row r="795" spans="2:16" ht="15" customHeight="1">
      <c r="B795" s="83">
        <v>368.3888169026207</v>
      </c>
      <c r="C795" s="83">
        <v>370.66336196067533</v>
      </c>
      <c r="D795" s="83">
        <v>366.18231379074723</v>
      </c>
      <c r="E795" s="83">
        <v>368.66098468734521</v>
      </c>
      <c r="F795" s="83">
        <v>3067456.4987370577</v>
      </c>
      <c r="G795" s="83" t="s">
        <v>1436</v>
      </c>
      <c r="H795" s="84">
        <f t="shared" si="19"/>
        <v>-7.3826034223645198E-4</v>
      </c>
      <c r="J795" s="83">
        <v>108.8131915828551</v>
      </c>
      <c r="K795" s="83">
        <v>108.93248249268466</v>
      </c>
      <c r="L795" s="83">
        <v>106.95424157134461</v>
      </c>
      <c r="M795" s="83">
        <v>107.05365066286923</v>
      </c>
      <c r="N795" s="83">
        <v>20882079.980438888</v>
      </c>
      <c r="O795" s="83" t="s">
        <v>1436</v>
      </c>
      <c r="P795" s="84">
        <f t="shared" si="20"/>
        <v>1.6436066487139023E-2</v>
      </c>
    </row>
    <row r="796" spans="2:16" ht="15" customHeight="1">
      <c r="B796" s="83">
        <v>369.14699858863889</v>
      </c>
      <c r="C796" s="83">
        <v>369.53580970967391</v>
      </c>
      <c r="D796" s="83">
        <v>364.94278393688762</v>
      </c>
      <c r="E796" s="83">
        <v>365.39497127065135</v>
      </c>
      <c r="F796" s="83">
        <v>2758017.8188975095</v>
      </c>
      <c r="G796" s="83" t="s">
        <v>1435</v>
      </c>
      <c r="H796" s="84">
        <f t="shared" si="19"/>
        <v>1.0268415312175705E-2</v>
      </c>
      <c r="J796" s="83">
        <v>107.55069612049235</v>
      </c>
      <c r="K796" s="83">
        <v>107.62525293913582</v>
      </c>
      <c r="L796" s="83">
        <v>105.8110370188114</v>
      </c>
      <c r="M796" s="83">
        <v>105.84085974626879</v>
      </c>
      <c r="N796" s="83">
        <v>21779443.577991754</v>
      </c>
      <c r="O796" s="83" t="s">
        <v>1435</v>
      </c>
      <c r="P796" s="84">
        <f t="shared" si="20"/>
        <v>1.6154785385554593E-2</v>
      </c>
    </row>
    <row r="797" spans="2:16" ht="15" customHeight="1">
      <c r="B797" s="83">
        <v>364.42294346806392</v>
      </c>
      <c r="C797" s="83">
        <v>368.02916661566337</v>
      </c>
      <c r="D797" s="83">
        <v>363.84944706453729</v>
      </c>
      <c r="E797" s="83">
        <v>367.81532049909407</v>
      </c>
      <c r="F797" s="83">
        <v>3728466.3981346516</v>
      </c>
      <c r="G797" s="83" t="s">
        <v>1434</v>
      </c>
      <c r="H797" s="84">
        <f t="shared" si="19"/>
        <v>-9.2230443974627985E-3</v>
      </c>
      <c r="J797" s="83">
        <v>104.59824610221098</v>
      </c>
      <c r="K797" s="83">
        <v>106.95165693496496</v>
      </c>
      <c r="L797" s="83">
        <v>104.34972337339941</v>
      </c>
      <c r="M797" s="83">
        <v>106.75542338829536</v>
      </c>
      <c r="N797" s="83">
        <v>22896868.53677918</v>
      </c>
      <c r="O797" s="83" t="s">
        <v>1434</v>
      </c>
      <c r="P797" s="84">
        <f t="shared" si="20"/>
        <v>-2.0206723158580853E-2</v>
      </c>
    </row>
    <row r="798" spans="2:16" ht="15" customHeight="1">
      <c r="B798" s="83">
        <v>365.8809851719451</v>
      </c>
      <c r="C798" s="83">
        <v>367.19322270543813</v>
      </c>
      <c r="D798" s="83">
        <v>365.18112515408211</v>
      </c>
      <c r="E798" s="83">
        <v>366.35727879521289</v>
      </c>
      <c r="F798" s="83">
        <v>3157318.1259122137</v>
      </c>
      <c r="G798" s="83" t="s">
        <v>1433</v>
      </c>
      <c r="H798" s="84">
        <f t="shared" si="19"/>
        <v>-1.3000795967098577E-3</v>
      </c>
      <c r="J798" s="83">
        <v>105.49292792593262</v>
      </c>
      <c r="K798" s="83">
        <v>106.58642793270349</v>
      </c>
      <c r="L798" s="83">
        <v>104.65789155712575</v>
      </c>
      <c r="M798" s="83">
        <v>106.28820065812961</v>
      </c>
      <c r="N798" s="83">
        <v>18832561.200262435</v>
      </c>
      <c r="O798" s="83" t="s">
        <v>1433</v>
      </c>
      <c r="P798" s="84">
        <f t="shared" si="20"/>
        <v>-7.4822297044517816E-3</v>
      </c>
    </row>
    <row r="799" spans="2:16" ht="15" customHeight="1">
      <c r="B799" s="83">
        <v>365.83238378181574</v>
      </c>
      <c r="C799" s="83">
        <v>365.86154461589331</v>
      </c>
      <c r="D799" s="83">
        <v>362.5274892530183</v>
      </c>
      <c r="E799" s="83">
        <v>363.10098565654494</v>
      </c>
      <c r="F799" s="83">
        <v>2747984.155277973</v>
      </c>
      <c r="G799" s="83" t="s">
        <v>1432</v>
      </c>
      <c r="H799" s="84">
        <f t="shared" si="19"/>
        <v>7.5224200240933126E-3</v>
      </c>
      <c r="J799" s="83">
        <v>106.318023385587</v>
      </c>
      <c r="K799" s="83">
        <v>107.33199611913818</v>
      </c>
      <c r="L799" s="83">
        <v>104.97600065000455</v>
      </c>
      <c r="M799" s="83">
        <v>106.75542338829536</v>
      </c>
      <c r="N799" s="83">
        <v>19858864.714712385</v>
      </c>
      <c r="O799" s="83" t="s">
        <v>1432</v>
      </c>
      <c r="P799" s="84">
        <f t="shared" si="20"/>
        <v>-4.0972157556570243E-3</v>
      </c>
    </row>
    <row r="800" spans="2:16" ht="15" customHeight="1">
      <c r="B800" s="83">
        <v>365.43385238275482</v>
      </c>
      <c r="C800" s="83">
        <v>365.66227891636288</v>
      </c>
      <c r="D800" s="83">
        <v>362.29420258039738</v>
      </c>
      <c r="E800" s="83">
        <v>363.21762899285545</v>
      </c>
      <c r="F800" s="83">
        <v>3164747.9545454849</v>
      </c>
      <c r="G800" s="83" t="s">
        <v>1431</v>
      </c>
      <c r="H800" s="84">
        <f t="shared" si="19"/>
        <v>6.1016404849196793E-3</v>
      </c>
      <c r="J800" s="83">
        <v>108.25650067031721</v>
      </c>
      <c r="K800" s="83">
        <v>108.98218703844697</v>
      </c>
      <c r="L800" s="83">
        <v>104.19563928153624</v>
      </c>
      <c r="M800" s="83">
        <v>105.14499610559642</v>
      </c>
      <c r="N800" s="83">
        <v>34890319.857120991</v>
      </c>
      <c r="O800" s="83" t="s">
        <v>1431</v>
      </c>
      <c r="P800" s="84">
        <f t="shared" si="20"/>
        <v>2.9592512054457787E-2</v>
      </c>
    </row>
    <row r="801" spans="2:16" ht="15" customHeight="1">
      <c r="B801" s="83">
        <v>364.04385262505474</v>
      </c>
      <c r="C801" s="83">
        <v>364.9186776473835</v>
      </c>
      <c r="D801" s="83">
        <v>362.45944730683721</v>
      </c>
      <c r="E801" s="83">
        <v>364.22853790754635</v>
      </c>
      <c r="F801" s="83">
        <v>3320620.0392705179</v>
      </c>
      <c r="G801" s="83" t="s">
        <v>1430</v>
      </c>
      <c r="H801" s="84">
        <f t="shared" si="19"/>
        <v>-5.0705879213253091E-4</v>
      </c>
      <c r="J801" s="83">
        <v>104.32984155509449</v>
      </c>
      <c r="K801" s="83">
        <v>105.91044611033604</v>
      </c>
      <c r="L801" s="83">
        <v>103.48695186805718</v>
      </c>
      <c r="M801" s="83">
        <v>105.49292792593262</v>
      </c>
      <c r="N801" s="83">
        <v>21994165.387361798</v>
      </c>
      <c r="O801" s="83" t="s">
        <v>1430</v>
      </c>
      <c r="P801" s="84">
        <f t="shared" si="20"/>
        <v>-1.1025254428948417E-2</v>
      </c>
    </row>
    <row r="802" spans="2:16" ht="15" customHeight="1">
      <c r="B802" s="83">
        <v>364.9283979254094</v>
      </c>
      <c r="C802" s="83">
        <v>367.81532049909407</v>
      </c>
      <c r="D802" s="83">
        <v>363.66476178204567</v>
      </c>
      <c r="E802" s="83">
        <v>367.61119466055072</v>
      </c>
      <c r="F802" s="83">
        <v>2791358.4290258749</v>
      </c>
      <c r="G802" s="83" t="s">
        <v>1429</v>
      </c>
      <c r="H802" s="84">
        <f t="shared" si="19"/>
        <v>-7.2979190354053314E-3</v>
      </c>
      <c r="J802" s="83">
        <v>104.49883701068636</v>
      </c>
      <c r="K802" s="83">
        <v>105.47304610762768</v>
      </c>
      <c r="L802" s="83">
        <v>103.98190973475829</v>
      </c>
      <c r="M802" s="83">
        <v>104.22049155441741</v>
      </c>
      <c r="N802" s="83">
        <v>20498357.531968966</v>
      </c>
      <c r="O802" s="83" t="s">
        <v>1429</v>
      </c>
      <c r="P802" s="84">
        <f t="shared" si="20"/>
        <v>2.6707363601679024E-3</v>
      </c>
    </row>
    <row r="803" spans="2:16" ht="15" customHeight="1">
      <c r="B803" s="83">
        <v>366.99881714492068</v>
      </c>
      <c r="C803" s="83">
        <v>367.33902687582628</v>
      </c>
      <c r="D803" s="83">
        <v>364.72427208686605</v>
      </c>
      <c r="E803" s="83">
        <v>365.09364265184928</v>
      </c>
      <c r="F803" s="83">
        <v>3626743.9991077953</v>
      </c>
      <c r="G803" s="83" t="s">
        <v>1428</v>
      </c>
      <c r="H803" s="84">
        <f t="shared" si="19"/>
        <v>5.2183173588924436E-3</v>
      </c>
      <c r="J803" s="83">
        <v>104.29007791848464</v>
      </c>
      <c r="K803" s="83">
        <v>104.32984155509449</v>
      </c>
      <c r="L803" s="83">
        <v>101.7750279029116</v>
      </c>
      <c r="M803" s="83">
        <v>102.06331426833303</v>
      </c>
      <c r="N803" s="83">
        <v>20843024.196501479</v>
      </c>
      <c r="O803" s="83" t="s">
        <v>1428</v>
      </c>
      <c r="P803" s="84">
        <f t="shared" si="20"/>
        <v>2.1817473458654035E-2</v>
      </c>
    </row>
    <row r="804" spans="2:16" ht="15" customHeight="1">
      <c r="B804" s="83">
        <v>365.55049571906534</v>
      </c>
      <c r="C804" s="83">
        <v>365.81294322576395</v>
      </c>
      <c r="D804" s="83">
        <v>361.25413283162874</v>
      </c>
      <c r="E804" s="83">
        <v>361.38049644596509</v>
      </c>
      <c r="F804" s="83">
        <v>4279552.4870038051</v>
      </c>
      <c r="G804" s="83" t="s">
        <v>1427</v>
      </c>
      <c r="H804" s="84">
        <f t="shared" si="19"/>
        <v>1.1539082252945532E-2</v>
      </c>
      <c r="J804" s="83">
        <v>103.38545518561055</v>
      </c>
      <c r="K804" s="83">
        <v>103.57433245950733</v>
      </c>
      <c r="L804" s="83">
        <v>100.84058244258013</v>
      </c>
      <c r="M804" s="83">
        <v>101.10898698969662</v>
      </c>
      <c r="N804" s="83">
        <v>28275032.563834593</v>
      </c>
      <c r="O804" s="83" t="s">
        <v>1427</v>
      </c>
      <c r="P804" s="84">
        <f t="shared" si="20"/>
        <v>2.2514993609281442E-2</v>
      </c>
    </row>
    <row r="805" spans="2:16" ht="15" customHeight="1">
      <c r="B805" s="83">
        <v>360.51539170166228</v>
      </c>
      <c r="C805" s="83">
        <v>361.08888810518891</v>
      </c>
      <c r="D805" s="83">
        <v>358.77740599063588</v>
      </c>
      <c r="E805" s="83">
        <v>360.84588115454204</v>
      </c>
      <c r="F805" s="83">
        <v>3412188.4077503812</v>
      </c>
      <c r="G805" s="83" t="s">
        <v>1426</v>
      </c>
      <c r="H805" s="84">
        <f t="shared" si="19"/>
        <v>-9.1587425585226701E-4</v>
      </c>
      <c r="J805" s="83">
        <v>100.72129153275057</v>
      </c>
      <c r="K805" s="83">
        <v>101.009577898172</v>
      </c>
      <c r="L805" s="83">
        <v>99.697377890046951</v>
      </c>
      <c r="M805" s="83">
        <v>100.84058244258013</v>
      </c>
      <c r="N805" s="83">
        <v>25158492.665436529</v>
      </c>
      <c r="O805" s="83" t="s">
        <v>1426</v>
      </c>
      <c r="P805" s="84">
        <f t="shared" si="20"/>
        <v>-1.1829652996846463E-3</v>
      </c>
    </row>
    <row r="806" spans="2:16" ht="15" customHeight="1">
      <c r="B806" s="83">
        <v>358.3769305359699</v>
      </c>
      <c r="C806" s="83">
        <v>358.61993748661678</v>
      </c>
      <c r="D806" s="83">
        <v>356.04406380976002</v>
      </c>
      <c r="E806" s="83">
        <v>357.12301467063207</v>
      </c>
      <c r="F806" s="83">
        <v>3740704.7312032469</v>
      </c>
      <c r="G806" s="83" t="s">
        <v>1425</v>
      </c>
      <c r="H806" s="84">
        <f t="shared" si="19"/>
        <v>3.5111594991834583E-3</v>
      </c>
      <c r="J806" s="83">
        <v>101.29786426359341</v>
      </c>
      <c r="K806" s="83">
        <v>102.21242790561996</v>
      </c>
      <c r="L806" s="83">
        <v>100.43300516732917</v>
      </c>
      <c r="M806" s="83">
        <v>102.11301881409534</v>
      </c>
      <c r="N806" s="83">
        <v>26303730.975674964</v>
      </c>
      <c r="O806" s="83" t="s">
        <v>1425</v>
      </c>
      <c r="P806" s="84">
        <f t="shared" si="20"/>
        <v>-7.9828660436137566E-3</v>
      </c>
    </row>
    <row r="807" spans="2:16" ht="15" customHeight="1">
      <c r="B807" s="83">
        <v>353.35154679659274</v>
      </c>
      <c r="C807" s="83">
        <v>354.01252570235221</v>
      </c>
      <c r="D807" s="83">
        <v>351.56495969543698</v>
      </c>
      <c r="E807" s="83">
        <v>353.37098735264453</v>
      </c>
      <c r="F807" s="83">
        <v>2483111.0731350011</v>
      </c>
      <c r="G807" s="83" t="s">
        <v>1424</v>
      </c>
      <c r="H807" s="84">
        <f t="shared" si="19"/>
        <v>-5.5014578863477048E-5</v>
      </c>
      <c r="J807" s="83">
        <v>100.76105516936043</v>
      </c>
      <c r="K807" s="83">
        <v>102.39136427036429</v>
      </c>
      <c r="L807" s="83">
        <v>99.687436980894475</v>
      </c>
      <c r="M807" s="83">
        <v>102.39136427036429</v>
      </c>
      <c r="N807" s="83">
        <v>25061570.946786549</v>
      </c>
      <c r="O807" s="83" t="s">
        <v>1424</v>
      </c>
      <c r="P807" s="84">
        <f t="shared" si="20"/>
        <v>-1.5922330097087434E-2</v>
      </c>
    </row>
    <row r="808" spans="2:16" ht="15" customHeight="1">
      <c r="B808" s="83">
        <v>353.97364459024874</v>
      </c>
      <c r="C808" s="83">
        <v>356.18014770212227</v>
      </c>
      <c r="D808" s="83">
        <v>353.23490346028223</v>
      </c>
      <c r="E808" s="83">
        <v>355.4948681012981</v>
      </c>
      <c r="F808" s="83">
        <v>4264070.4195568245</v>
      </c>
      <c r="G808" s="83" t="s">
        <v>1423</v>
      </c>
      <c r="H808" s="84">
        <f t="shared" si="19"/>
        <v>-4.279171508647206E-3</v>
      </c>
      <c r="J808" s="83">
        <v>102.45100972527906</v>
      </c>
      <c r="K808" s="83">
        <v>104.77718246695531</v>
      </c>
      <c r="L808" s="83">
        <v>102.02355063172317</v>
      </c>
      <c r="M808" s="83">
        <v>104.6976551937356</v>
      </c>
      <c r="N808" s="83">
        <v>25544360.792905513</v>
      </c>
      <c r="O808" s="83" t="s">
        <v>1423</v>
      </c>
      <c r="P808" s="84">
        <f t="shared" si="20"/>
        <v>-2.1458412457273091E-2</v>
      </c>
    </row>
    <row r="809" spans="2:16" ht="15" customHeight="1">
      <c r="B809" s="83">
        <v>353.39042790869627</v>
      </c>
      <c r="C809" s="83">
        <v>353.45846985487736</v>
      </c>
      <c r="D809" s="83">
        <v>347.71378554158554</v>
      </c>
      <c r="E809" s="83">
        <v>349.91056837543317</v>
      </c>
      <c r="F809" s="83">
        <v>3848594.6492908155</v>
      </c>
      <c r="G809" s="83" t="s">
        <v>1422</v>
      </c>
      <c r="H809" s="84">
        <f t="shared" si="19"/>
        <v>9.9449969442746422E-3</v>
      </c>
      <c r="J809" s="83">
        <v>105.43328247101783</v>
      </c>
      <c r="K809" s="83">
        <v>105.53269156254245</v>
      </c>
      <c r="L809" s="83">
        <v>104.12108246289277</v>
      </c>
      <c r="M809" s="83">
        <v>105.11517337813902</v>
      </c>
      <c r="N809" s="83">
        <v>25395071.630592592</v>
      </c>
      <c r="O809" s="83" t="s">
        <v>1422</v>
      </c>
      <c r="P809" s="84">
        <f t="shared" si="20"/>
        <v>3.0262909022131801E-3</v>
      </c>
    </row>
    <row r="810" spans="2:16" ht="15" customHeight="1">
      <c r="B810" s="83">
        <v>351.0503681767471</v>
      </c>
      <c r="C810" s="83">
        <v>356.51592735037912</v>
      </c>
      <c r="D810" s="83">
        <v>348.61090499616745</v>
      </c>
      <c r="E810" s="83">
        <v>352.83156351494813</v>
      </c>
      <c r="F810" s="83">
        <v>4945238.139291577</v>
      </c>
      <c r="G810" s="83" t="s">
        <v>1421</v>
      </c>
      <c r="H810" s="84">
        <f t="shared" si="19"/>
        <v>-5.0482879719052631E-3</v>
      </c>
      <c r="J810" s="83">
        <v>105.63210065406709</v>
      </c>
      <c r="K810" s="83">
        <v>106.46803170469765</v>
      </c>
      <c r="L810" s="83">
        <v>104.78712337610776</v>
      </c>
      <c r="M810" s="83">
        <v>105.26428701542596</v>
      </c>
      <c r="N810" s="83">
        <v>31572380.87446472</v>
      </c>
      <c r="O810" s="83" t="s">
        <v>1421</v>
      </c>
      <c r="P810" s="84">
        <f t="shared" si="20"/>
        <v>3.4941920861271125E-3</v>
      </c>
    </row>
    <row r="811" spans="2:16" ht="15" customHeight="1">
      <c r="B811" s="83">
        <v>350.21785296432705</v>
      </c>
      <c r="C811" s="83">
        <v>359.3551914411093</v>
      </c>
      <c r="D811" s="83">
        <v>350.10168805096617</v>
      </c>
      <c r="E811" s="83">
        <v>356.02609863237382</v>
      </c>
      <c r="F811" s="83">
        <v>4230027.6889393684</v>
      </c>
      <c r="G811" s="83" t="s">
        <v>1420</v>
      </c>
      <c r="H811" s="84">
        <f t="shared" si="19"/>
        <v>-1.631410082114304E-2</v>
      </c>
      <c r="J811" s="83">
        <v>103.60415518696472</v>
      </c>
      <c r="K811" s="83">
        <v>106.87471429812491</v>
      </c>
      <c r="L811" s="83">
        <v>103.59421427781226</v>
      </c>
      <c r="M811" s="83">
        <v>104.51871882899128</v>
      </c>
      <c r="N811" s="83">
        <v>32529094.174439307</v>
      </c>
      <c r="O811" s="83" t="s">
        <v>1420</v>
      </c>
      <c r="P811" s="84">
        <f t="shared" si="20"/>
        <v>-8.7502377782006091E-3</v>
      </c>
    </row>
    <row r="812" spans="2:16" ht="15" customHeight="1">
      <c r="B812" s="83">
        <v>356.12290272684129</v>
      </c>
      <c r="C812" s="83">
        <v>356.63596442751879</v>
      </c>
      <c r="D812" s="83">
        <v>353.21877989281791</v>
      </c>
      <c r="E812" s="83">
        <v>354.70956294761658</v>
      </c>
      <c r="F812" s="83">
        <v>4253569.048553722</v>
      </c>
      <c r="G812" s="83" t="s">
        <v>1419</v>
      </c>
      <c r="H812" s="84">
        <f t="shared" si="19"/>
        <v>3.9844986627366463E-3</v>
      </c>
      <c r="J812" s="83">
        <v>105.21458246966365</v>
      </c>
      <c r="K812" s="83">
        <v>105.3338733794932</v>
      </c>
      <c r="L812" s="83">
        <v>101.25810062698356</v>
      </c>
      <c r="M812" s="83">
        <v>101.37739153681312</v>
      </c>
      <c r="N812" s="83">
        <v>33319688.865474492</v>
      </c>
      <c r="O812" s="83" t="s">
        <v>1419</v>
      </c>
      <c r="P812" s="84">
        <f t="shared" si="20"/>
        <v>3.7850558933123946E-2</v>
      </c>
    </row>
    <row r="813" spans="2:16" ht="15" customHeight="1">
      <c r="B813" s="83">
        <v>351.52470823963756</v>
      </c>
      <c r="C813" s="83">
        <v>351.9603266647411</v>
      </c>
      <c r="D813" s="83">
        <v>348.32049271276509</v>
      </c>
      <c r="E813" s="83">
        <v>348.94971932680352</v>
      </c>
      <c r="F813" s="83">
        <v>3202088.7309083808</v>
      </c>
      <c r="G813" s="83" t="s">
        <v>1418</v>
      </c>
      <c r="H813" s="84">
        <f t="shared" si="19"/>
        <v>7.3792548617082065E-3</v>
      </c>
      <c r="J813" s="83">
        <v>101.32768699105081</v>
      </c>
      <c r="K813" s="83">
        <v>101.97384608596086</v>
      </c>
      <c r="L813" s="83">
        <v>100.19442334767007</v>
      </c>
      <c r="M813" s="83">
        <v>100.46282789478656</v>
      </c>
      <c r="N813" s="83">
        <v>26188667.053204991</v>
      </c>
      <c r="O813" s="83" t="s">
        <v>1418</v>
      </c>
      <c r="P813" s="84">
        <f t="shared" si="20"/>
        <v>8.6087472788443087E-3</v>
      </c>
    </row>
    <row r="814" spans="2:16" ht="15" customHeight="1">
      <c r="B814" s="83">
        <v>348.37857516944558</v>
      </c>
      <c r="C814" s="83">
        <v>352.16361526312278</v>
      </c>
      <c r="D814" s="83">
        <v>346.96533219431535</v>
      </c>
      <c r="E814" s="83">
        <v>351.16653309010803</v>
      </c>
      <c r="F814" s="83">
        <v>5361247.4023454525</v>
      </c>
      <c r="G814" s="83" t="s">
        <v>1417</v>
      </c>
      <c r="H814" s="84">
        <f t="shared" si="19"/>
        <v>-7.9391333112801554E-3</v>
      </c>
      <c r="J814" s="83">
        <v>101.85455517613131</v>
      </c>
      <c r="K814" s="83">
        <v>102.87846881883495</v>
      </c>
      <c r="L814" s="83">
        <v>100.15465971106022</v>
      </c>
      <c r="M814" s="83">
        <v>100.24412789343238</v>
      </c>
      <c r="N814" s="83">
        <v>76592903.961041227</v>
      </c>
      <c r="O814" s="83" t="s">
        <v>1417</v>
      </c>
      <c r="P814" s="84">
        <f t="shared" si="20"/>
        <v>1.606505355017851E-2</v>
      </c>
    </row>
    <row r="815" spans="2:16" ht="15" customHeight="1">
      <c r="B815" s="83">
        <v>352.23137812924995</v>
      </c>
      <c r="C815" s="83">
        <v>352.61859450711972</v>
      </c>
      <c r="D815" s="83">
        <v>343.64485494998746</v>
      </c>
      <c r="E815" s="83">
        <v>344.17727746955842</v>
      </c>
      <c r="F815" s="83">
        <v>5216558.2745037554</v>
      </c>
      <c r="G815" s="83" t="s">
        <v>1416</v>
      </c>
      <c r="H815" s="84">
        <f t="shared" si="19"/>
        <v>2.3401023794791032E-2</v>
      </c>
      <c r="J815" s="83">
        <v>100.47276880393902</v>
      </c>
      <c r="K815" s="83">
        <v>101.36745062766065</v>
      </c>
      <c r="L815" s="83">
        <v>95.303496044658502</v>
      </c>
      <c r="M815" s="83">
        <v>95.999359685330859</v>
      </c>
      <c r="N815" s="83">
        <v>54912683.702050999</v>
      </c>
      <c r="O815" s="83" t="s">
        <v>1416</v>
      </c>
      <c r="P815" s="84">
        <f t="shared" si="20"/>
        <v>4.6598322460391639E-2</v>
      </c>
    </row>
    <row r="816" spans="2:16" ht="15" customHeight="1">
      <c r="B816" s="83">
        <v>346.30696754784225</v>
      </c>
      <c r="C816" s="83">
        <v>346.44249328009664</v>
      </c>
      <c r="D816" s="83">
        <v>341.29735565915189</v>
      </c>
      <c r="E816" s="83">
        <v>343.13179324930996</v>
      </c>
      <c r="F816" s="83">
        <v>6828629.549572384</v>
      </c>
      <c r="G816" s="83" t="s">
        <v>1415</v>
      </c>
      <c r="H816" s="84">
        <f t="shared" ref="H816:H879" si="21">B816/E816-1</f>
        <v>9.2535123850365775E-3</v>
      </c>
      <c r="J816" s="83">
        <v>95.979477867025949</v>
      </c>
      <c r="K816" s="83">
        <v>96.67534150769832</v>
      </c>
      <c r="L816" s="83">
        <v>92.490218754511602</v>
      </c>
      <c r="M816" s="83">
        <v>92.987264212134718</v>
      </c>
      <c r="N816" s="83">
        <v>38595397.474782959</v>
      </c>
      <c r="O816" s="83" t="s">
        <v>1415</v>
      </c>
      <c r="P816" s="84">
        <f t="shared" ref="P816:P879" si="22">J816/M816-1</f>
        <v>3.217874706008117E-2</v>
      </c>
    </row>
    <row r="817" spans="2:16" ht="15" customHeight="1">
      <c r="B817" s="83">
        <v>348.45601844501954</v>
      </c>
      <c r="C817" s="83">
        <v>349.95648190926494</v>
      </c>
      <c r="D817" s="83">
        <v>344.2644011545791</v>
      </c>
      <c r="E817" s="83">
        <v>347.41053422477114</v>
      </c>
      <c r="F817" s="83">
        <v>4957239.6977627501</v>
      </c>
      <c r="G817" s="83" t="s">
        <v>1414</v>
      </c>
      <c r="H817" s="84">
        <f t="shared" si="21"/>
        <v>3.0093624609897063E-3</v>
      </c>
      <c r="J817" s="83">
        <v>93.693068761959552</v>
      </c>
      <c r="K817" s="83">
        <v>94.269641492802378</v>
      </c>
      <c r="L817" s="83">
        <v>92.231755116547561</v>
      </c>
      <c r="M817" s="83">
        <v>92.520041481968974</v>
      </c>
      <c r="N817" s="83">
        <v>32495902.039299607</v>
      </c>
      <c r="O817" s="83" t="s">
        <v>1414</v>
      </c>
      <c r="P817" s="84">
        <f t="shared" si="22"/>
        <v>1.2678628988933127E-2</v>
      </c>
    </row>
    <row r="818" spans="2:16" ht="15" customHeight="1">
      <c r="B818" s="83">
        <v>342.76393769033371</v>
      </c>
      <c r="C818" s="83">
        <v>347.20724562638952</v>
      </c>
      <c r="D818" s="83">
        <v>338.58200080934</v>
      </c>
      <c r="E818" s="83">
        <v>339.5500417540145</v>
      </c>
      <c r="F818" s="83">
        <v>6692581.585150498</v>
      </c>
      <c r="G818" s="83" t="s">
        <v>1413</v>
      </c>
      <c r="H818" s="84">
        <f t="shared" si="21"/>
        <v>9.4651613638954135E-3</v>
      </c>
      <c r="J818" s="83">
        <v>91.118373291471755</v>
      </c>
      <c r="K818" s="83">
        <v>92.529982391121436</v>
      </c>
      <c r="L818" s="83">
        <v>89.408536917248199</v>
      </c>
      <c r="M818" s="83">
        <v>90.029843739277112</v>
      </c>
      <c r="N818" s="83">
        <v>31695863.544024769</v>
      </c>
      <c r="O818" s="83" t="s">
        <v>1413</v>
      </c>
      <c r="P818" s="84">
        <f t="shared" si="22"/>
        <v>1.2090763539998717E-2</v>
      </c>
    </row>
    <row r="819" spans="2:16" ht="15" customHeight="1">
      <c r="B819" s="83">
        <v>343.34476225713837</v>
      </c>
      <c r="C819" s="83">
        <v>349.69511085420288</v>
      </c>
      <c r="D819" s="83">
        <v>341.8539792023397</v>
      </c>
      <c r="E819" s="83">
        <v>347.84615264987463</v>
      </c>
      <c r="F819" s="83">
        <v>8636413.6207187772</v>
      </c>
      <c r="G819" s="83" t="s">
        <v>1412</v>
      </c>
      <c r="H819" s="84">
        <f t="shared" si="21"/>
        <v>-1.2940750841844539E-2</v>
      </c>
      <c r="J819" s="83">
        <v>90.472214196561694</v>
      </c>
      <c r="K819" s="83">
        <v>92.629391482646071</v>
      </c>
      <c r="L819" s="83">
        <v>90.263455104359977</v>
      </c>
      <c r="M819" s="83">
        <v>91.953409660278609</v>
      </c>
      <c r="N819" s="83">
        <v>33045359.831965074</v>
      </c>
      <c r="O819" s="83" t="s">
        <v>1412</v>
      </c>
      <c r="P819" s="84">
        <f t="shared" si="22"/>
        <v>-1.6108108108108032E-2</v>
      </c>
    </row>
    <row r="820" spans="2:16" ht="15" customHeight="1">
      <c r="B820" s="83">
        <v>348.3398535316586</v>
      </c>
      <c r="C820" s="83">
        <v>357.09094367151573</v>
      </c>
      <c r="D820" s="83">
        <v>347.38149299643089</v>
      </c>
      <c r="E820" s="83">
        <v>355.60984102616385</v>
      </c>
      <c r="F820" s="83">
        <v>4555209.1822757469</v>
      </c>
      <c r="G820" s="83" t="s">
        <v>1411</v>
      </c>
      <c r="H820" s="84">
        <f t="shared" si="21"/>
        <v>-2.0443718524567944E-2</v>
      </c>
      <c r="J820" s="83">
        <v>92.112464206718002</v>
      </c>
      <c r="K820" s="83">
        <v>95.353200590420812</v>
      </c>
      <c r="L820" s="83">
        <v>91.809266477567903</v>
      </c>
      <c r="M820" s="83">
        <v>93.931650581618655</v>
      </c>
      <c r="N820" s="83">
        <v>24584159.884356271</v>
      </c>
      <c r="O820" s="83" t="s">
        <v>1411</v>
      </c>
      <c r="P820" s="84">
        <f t="shared" si="22"/>
        <v>-1.9367128796698108E-2</v>
      </c>
    </row>
    <row r="821" spans="2:16" ht="15" customHeight="1">
      <c r="B821" s="83">
        <v>354.83540827042424</v>
      </c>
      <c r="C821" s="83">
        <v>355.56018052570204</v>
      </c>
      <c r="D821" s="83">
        <v>352.79284187716115</v>
      </c>
      <c r="E821" s="83">
        <v>354.40947025476748</v>
      </c>
      <c r="F821" s="83">
        <v>3002205.6566804931</v>
      </c>
      <c r="G821" s="83" t="s">
        <v>1410</v>
      </c>
      <c r="H821" s="84">
        <f t="shared" si="21"/>
        <v>1.201824588238587E-3</v>
      </c>
      <c r="J821" s="83">
        <v>94.090705128058062</v>
      </c>
      <c r="K821" s="83">
        <v>95.671309683299597</v>
      </c>
      <c r="L821" s="83">
        <v>93.847152853822735</v>
      </c>
      <c r="M821" s="83">
        <v>93.847152853822735</v>
      </c>
      <c r="N821" s="83">
        <v>25546154.391431216</v>
      </c>
      <c r="O821" s="83" t="s">
        <v>1410</v>
      </c>
      <c r="P821" s="84">
        <f t="shared" si="22"/>
        <v>2.5952015253429828E-3</v>
      </c>
    </row>
    <row r="822" spans="2:16" ht="15" customHeight="1">
      <c r="B822" s="83">
        <v>354.28362493195982</v>
      </c>
      <c r="C822" s="83">
        <v>360.00474691498584</v>
      </c>
      <c r="D822" s="83">
        <v>353.70764056987849</v>
      </c>
      <c r="E822" s="83">
        <v>359.75305626937052</v>
      </c>
      <c r="F822" s="83">
        <v>3663213.85423683</v>
      </c>
      <c r="G822" s="83" t="s">
        <v>1409</v>
      </c>
      <c r="H822" s="84">
        <f t="shared" si="21"/>
        <v>-1.5203293598471501E-2</v>
      </c>
      <c r="J822" s="83">
        <v>93.613541488739855</v>
      </c>
      <c r="K822" s="83">
        <v>95.522196046012667</v>
      </c>
      <c r="L822" s="83">
        <v>93.28976607764416</v>
      </c>
      <c r="M822" s="83">
        <v>94.856155132797682</v>
      </c>
      <c r="N822" s="83">
        <v>24244800.581473567</v>
      </c>
      <c r="O822" s="83" t="s">
        <v>1409</v>
      </c>
      <c r="P822" s="84">
        <f t="shared" si="22"/>
        <v>-1.3099979040033571E-2</v>
      </c>
    </row>
    <row r="823" spans="2:16" ht="15" customHeight="1">
      <c r="B823" s="83">
        <v>359.84986036383799</v>
      </c>
      <c r="C823" s="83">
        <v>362.47325132390574</v>
      </c>
      <c r="D823" s="83">
        <v>359.43360275762797</v>
      </c>
      <c r="E823" s="83">
        <v>360.36292206451543</v>
      </c>
      <c r="F823" s="83">
        <v>2725427.0746649345</v>
      </c>
      <c r="G823" s="83" t="s">
        <v>1408</v>
      </c>
      <c r="H823" s="84">
        <f t="shared" si="21"/>
        <v>-1.4237360984257208E-3</v>
      </c>
      <c r="J823" s="83">
        <v>95.015209679237074</v>
      </c>
      <c r="K823" s="83">
        <v>95.730955138214384</v>
      </c>
      <c r="L823" s="83">
        <v>93.742773307721862</v>
      </c>
      <c r="M823" s="83">
        <v>93.802418762636648</v>
      </c>
      <c r="N823" s="83">
        <v>28456357.02544618</v>
      </c>
      <c r="O823" s="83" t="s">
        <v>1408</v>
      </c>
      <c r="P823" s="84">
        <f t="shared" si="22"/>
        <v>1.2929207291225042E-2</v>
      </c>
    </row>
    <row r="824" spans="2:16" ht="15" customHeight="1">
      <c r="B824" s="83">
        <v>359.41424193873445</v>
      </c>
      <c r="C824" s="83">
        <v>359.7917779071575</v>
      </c>
      <c r="D824" s="83">
        <v>354.98061441212542</v>
      </c>
      <c r="E824" s="83">
        <v>355.55175856948335</v>
      </c>
      <c r="F824" s="83">
        <v>5075817.3267685166</v>
      </c>
      <c r="G824" s="83" t="s">
        <v>1407</v>
      </c>
      <c r="H824" s="84">
        <f t="shared" si="21"/>
        <v>1.0863350485992074E-2</v>
      </c>
      <c r="J824" s="83">
        <v>93.464427851452911</v>
      </c>
      <c r="K824" s="83">
        <v>93.553896033825083</v>
      </c>
      <c r="L824" s="83">
        <v>92.112464206718002</v>
      </c>
      <c r="M824" s="83">
        <v>92.191991479937712</v>
      </c>
      <c r="N824" s="83">
        <v>30422305.984466568</v>
      </c>
      <c r="O824" s="83" t="s">
        <v>1407</v>
      </c>
      <c r="P824" s="84">
        <f t="shared" si="22"/>
        <v>1.3802027172740816E-2</v>
      </c>
    </row>
    <row r="825" spans="2:16" ht="15" customHeight="1">
      <c r="B825" s="83">
        <v>353.8092848690693</v>
      </c>
      <c r="C825" s="83">
        <v>354.65148049093614</v>
      </c>
      <c r="D825" s="83">
        <v>349.00780178348396</v>
      </c>
      <c r="E825" s="83">
        <v>349.27885324799286</v>
      </c>
      <c r="F825" s="83">
        <v>2820969.5209930725</v>
      </c>
      <c r="G825" s="83" t="s">
        <v>1406</v>
      </c>
      <c r="H825" s="84">
        <f t="shared" si="21"/>
        <v>1.297081566475411E-2</v>
      </c>
      <c r="J825" s="83">
        <v>91.764532386381831</v>
      </c>
      <c r="K825" s="83">
        <v>91.933527841973685</v>
      </c>
      <c r="L825" s="83">
        <v>89.23954146165633</v>
      </c>
      <c r="M825" s="83">
        <v>89.329009644028503</v>
      </c>
      <c r="N825" s="83">
        <v>23483326.96936186</v>
      </c>
      <c r="O825" s="83" t="s">
        <v>1406</v>
      </c>
      <c r="P825" s="84">
        <f t="shared" si="22"/>
        <v>2.7264633874916511E-2</v>
      </c>
    </row>
    <row r="826" spans="2:16" ht="15" customHeight="1">
      <c r="B826" s="83">
        <v>351.18589390900149</v>
      </c>
      <c r="C826" s="83">
        <v>352.86060474328832</v>
      </c>
      <c r="D826" s="83">
        <v>349.8983994525845</v>
      </c>
      <c r="E826" s="83">
        <v>351.72799683801918</v>
      </c>
      <c r="F826" s="83">
        <v>3889013.1876250538</v>
      </c>
      <c r="G826" s="83" t="s">
        <v>1405</v>
      </c>
      <c r="H826" s="84">
        <f t="shared" si="21"/>
        <v>-1.5412561237407862E-3</v>
      </c>
      <c r="J826" s="83">
        <v>89.975168738938564</v>
      </c>
      <c r="K826" s="83">
        <v>90.661091470458487</v>
      </c>
      <c r="L826" s="83">
        <v>89.319068734876026</v>
      </c>
      <c r="M826" s="83">
        <v>89.627236918602364</v>
      </c>
      <c r="N826" s="83">
        <v>26480350.636218291</v>
      </c>
      <c r="O826" s="83" t="s">
        <v>1405</v>
      </c>
      <c r="P826" s="84">
        <f t="shared" si="22"/>
        <v>3.8819875776399115E-3</v>
      </c>
    </row>
    <row r="827" spans="2:16" ht="15" customHeight="1">
      <c r="B827" s="83">
        <v>352.4733883654186</v>
      </c>
      <c r="C827" s="83">
        <v>355.13550096327333</v>
      </c>
      <c r="D827" s="83">
        <v>352.41530590873811</v>
      </c>
      <c r="E827" s="83">
        <v>353.34462521562557</v>
      </c>
      <c r="F827" s="83">
        <v>3121975.3840229558</v>
      </c>
      <c r="G827" s="83" t="s">
        <v>1404</v>
      </c>
      <c r="H827" s="84">
        <f t="shared" si="21"/>
        <v>-2.4656858716197716E-3</v>
      </c>
      <c r="J827" s="83">
        <v>89.766409646736847</v>
      </c>
      <c r="K827" s="83">
        <v>90.909614199270052</v>
      </c>
      <c r="L827" s="83">
        <v>88.991018732844765</v>
      </c>
      <c r="M827" s="83">
        <v>89.010900551149703</v>
      </c>
      <c r="N827" s="83">
        <v>30728489.24731693</v>
      </c>
      <c r="O827" s="83" t="s">
        <v>1404</v>
      </c>
      <c r="P827" s="84">
        <f t="shared" si="22"/>
        <v>8.4878266696446492E-3</v>
      </c>
    </row>
    <row r="828" spans="2:16" ht="15" customHeight="1">
      <c r="B828" s="83">
        <v>353.8092848690693</v>
      </c>
      <c r="C828" s="83">
        <v>356.98445916760153</v>
      </c>
      <c r="D828" s="83">
        <v>352.94153296626314</v>
      </c>
      <c r="E828" s="83">
        <v>355.74536675841824</v>
      </c>
      <c r="F828" s="83">
        <v>3409099.602816686</v>
      </c>
      <c r="G828" s="83" t="s">
        <v>1403</v>
      </c>
      <c r="H828" s="84">
        <f t="shared" si="21"/>
        <v>-5.4423249612234326E-3</v>
      </c>
      <c r="J828" s="83">
        <v>89.567591463687592</v>
      </c>
      <c r="K828" s="83">
        <v>89.915423874932259</v>
      </c>
      <c r="L828" s="83">
        <v>89.080486915216937</v>
      </c>
      <c r="M828" s="83">
        <v>89.557650554535144</v>
      </c>
      <c r="N828" s="83">
        <v>22859339.776151929</v>
      </c>
      <c r="O828" s="83" t="s">
        <v>1403</v>
      </c>
      <c r="P828" s="84">
        <f t="shared" si="22"/>
        <v>1.1100011099984819E-4</v>
      </c>
    </row>
    <row r="829" spans="2:16" ht="15" customHeight="1">
      <c r="B829" s="83">
        <v>352.58955327877953</v>
      </c>
      <c r="C829" s="83">
        <v>353.36398603451903</v>
      </c>
      <c r="D829" s="83">
        <v>350.16945091709334</v>
      </c>
      <c r="E829" s="83">
        <v>351.69895560967899</v>
      </c>
      <c r="F829" s="83">
        <v>4188879.6360402266</v>
      </c>
      <c r="G829" s="83" t="s">
        <v>1402</v>
      </c>
      <c r="H829" s="84">
        <f t="shared" si="21"/>
        <v>2.5322727147616408E-3</v>
      </c>
      <c r="J829" s="83">
        <v>88.822023277252896</v>
      </c>
      <c r="K829" s="83">
        <v>89.597414191144978</v>
      </c>
      <c r="L829" s="83">
        <v>88.334918728782242</v>
      </c>
      <c r="M829" s="83">
        <v>89.100368733521847</v>
      </c>
      <c r="N829" s="83">
        <v>31481646.718647942</v>
      </c>
      <c r="O829" s="83" t="s">
        <v>1402</v>
      </c>
      <c r="P829" s="84">
        <f t="shared" si="22"/>
        <v>-3.1239540332478333E-3</v>
      </c>
    </row>
    <row r="830" spans="2:16" ht="15" customHeight="1">
      <c r="B830" s="83">
        <v>356.40363460079692</v>
      </c>
      <c r="C830" s="83">
        <v>357.75889192334114</v>
      </c>
      <c r="D830" s="83">
        <v>352.49274918431206</v>
      </c>
      <c r="E830" s="83">
        <v>357.27487145100389</v>
      </c>
      <c r="F830" s="83">
        <v>2961850.9586536069</v>
      </c>
      <c r="G830" s="83" t="s">
        <v>1401</v>
      </c>
      <c r="H830" s="84">
        <f t="shared" si="21"/>
        <v>-2.4385617904461032E-3</v>
      </c>
      <c r="J830" s="83">
        <v>90.531859651476466</v>
      </c>
      <c r="K830" s="83">
        <v>91.585596021637485</v>
      </c>
      <c r="L830" s="83">
        <v>89.478123281315447</v>
      </c>
      <c r="M830" s="83">
        <v>91.585596021637485</v>
      </c>
      <c r="N830" s="83">
        <v>32616453.387432907</v>
      </c>
      <c r="O830" s="83" t="s">
        <v>1401</v>
      </c>
      <c r="P830" s="84">
        <f t="shared" si="22"/>
        <v>-1.1505481384999294E-2</v>
      </c>
    </row>
    <row r="831" spans="2:16" ht="15" customHeight="1">
      <c r="B831" s="83">
        <v>354.62243926259583</v>
      </c>
      <c r="C831" s="83">
        <v>356.81989220700694</v>
      </c>
      <c r="D831" s="83">
        <v>353.18005825503087</v>
      </c>
      <c r="E831" s="83">
        <v>355.44527406556915</v>
      </c>
      <c r="F831" s="83">
        <v>3999834.9463432003</v>
      </c>
      <c r="G831" s="83" t="s">
        <v>1400</v>
      </c>
      <c r="H831" s="84">
        <f t="shared" si="21"/>
        <v>-2.3149409009205479E-3</v>
      </c>
      <c r="J831" s="83">
        <v>91.257546019606224</v>
      </c>
      <c r="K831" s="83">
        <v>91.814236932144141</v>
      </c>
      <c r="L831" s="83">
        <v>90.333041468427226</v>
      </c>
      <c r="M831" s="83">
        <v>91.390754202249227</v>
      </c>
      <c r="N831" s="83">
        <v>30068814.171383306</v>
      </c>
      <c r="O831" s="83" t="s">
        <v>1400</v>
      </c>
      <c r="P831" s="84">
        <f t="shared" si="22"/>
        <v>-1.4575673852982307E-3</v>
      </c>
    </row>
    <row r="832" spans="2:16" ht="15" customHeight="1">
      <c r="B832" s="83">
        <v>355.06773809714616</v>
      </c>
      <c r="C832" s="83">
        <v>359.46748419069155</v>
      </c>
      <c r="D832" s="83">
        <v>354.76764540429707</v>
      </c>
      <c r="E832" s="83">
        <v>358.56236590742088</v>
      </c>
      <c r="F832" s="83">
        <v>3211822.8233058555</v>
      </c>
      <c r="G832" s="83" t="s">
        <v>1399</v>
      </c>
      <c r="H832" s="84">
        <f t="shared" si="21"/>
        <v>-9.7462203023755967E-3</v>
      </c>
      <c r="J832" s="83">
        <v>91.506068748417789</v>
      </c>
      <c r="K832" s="83">
        <v>92.862903438637417</v>
      </c>
      <c r="L832" s="83">
        <v>91.456364202655479</v>
      </c>
      <c r="M832" s="83">
        <v>92.689036937560829</v>
      </c>
      <c r="N832" s="83">
        <v>28535818.570450272</v>
      </c>
      <c r="O832" s="83" t="s">
        <v>1399</v>
      </c>
      <c r="P832" s="84">
        <f t="shared" si="22"/>
        <v>-1.2762762762762669E-2</v>
      </c>
    </row>
    <row r="833" spans="2:16" ht="15" customHeight="1">
      <c r="B833" s="83">
        <v>362.26028231607739</v>
      </c>
      <c r="C833" s="83">
        <v>362.48293173335247</v>
      </c>
      <c r="D833" s="83">
        <v>359.45296357652143</v>
      </c>
      <c r="E833" s="83">
        <v>361.25255169267126</v>
      </c>
      <c r="F833" s="83">
        <v>3393789.3000019803</v>
      </c>
      <c r="G833" s="83" t="s">
        <v>1398</v>
      </c>
      <c r="H833" s="84">
        <f t="shared" si="21"/>
        <v>2.7895460355487067E-3</v>
      </c>
      <c r="J833" s="83">
        <v>94.03105967314329</v>
      </c>
      <c r="K833" s="83">
        <v>95.184205134828943</v>
      </c>
      <c r="L833" s="83">
        <v>92.89779602976256</v>
      </c>
      <c r="M833" s="83">
        <v>94.508223312461482</v>
      </c>
      <c r="N833" s="83">
        <v>31279902.595525842</v>
      </c>
      <c r="O833" s="83" t="s">
        <v>1398</v>
      </c>
      <c r="P833" s="84">
        <f t="shared" si="22"/>
        <v>-5.0489113284947207E-3</v>
      </c>
    </row>
    <row r="834" spans="2:16" ht="15" customHeight="1">
      <c r="B834" s="83">
        <v>363.19928203241159</v>
      </c>
      <c r="C834" s="83">
        <v>367.30377563783134</v>
      </c>
      <c r="D834" s="83">
        <v>363.10247793794412</v>
      </c>
      <c r="E834" s="83">
        <v>363.65426127640865</v>
      </c>
      <c r="F834" s="83">
        <v>3179102.099896112</v>
      </c>
      <c r="G834" s="83" t="s">
        <v>1397</v>
      </c>
      <c r="H834" s="84">
        <f t="shared" si="21"/>
        <v>-1.2511313421712522E-3</v>
      </c>
      <c r="J834" s="83">
        <v>95.214027862286329</v>
      </c>
      <c r="K834" s="83">
        <v>97.301618784303457</v>
      </c>
      <c r="L834" s="83">
        <v>94.408814220936861</v>
      </c>
      <c r="M834" s="83">
        <v>94.97544604262724</v>
      </c>
      <c r="N834" s="83">
        <v>35853970.148364924</v>
      </c>
      <c r="O834" s="83" t="s">
        <v>1397</v>
      </c>
      <c r="P834" s="84">
        <f t="shared" si="22"/>
        <v>2.5120368432069995E-3</v>
      </c>
    </row>
    <row r="835" spans="2:16" ht="15" customHeight="1">
      <c r="B835" s="83">
        <v>368.32021862973954</v>
      </c>
      <c r="C835" s="83">
        <v>368.36862067697319</v>
      </c>
      <c r="D835" s="83">
        <v>364.30284870934048</v>
      </c>
      <c r="E835" s="83">
        <v>365.09664228397355</v>
      </c>
      <c r="F835" s="83">
        <v>2925104.579075662</v>
      </c>
      <c r="G835" s="83" t="s">
        <v>1396</v>
      </c>
      <c r="H835" s="84">
        <f t="shared" si="21"/>
        <v>8.8293782314730063E-3</v>
      </c>
      <c r="J835" s="83">
        <v>96.526227870411375</v>
      </c>
      <c r="K835" s="83">
        <v>96.764809690070493</v>
      </c>
      <c r="L835" s="83">
        <v>93.802418762636648</v>
      </c>
      <c r="M835" s="83">
        <v>94.18017331043022</v>
      </c>
      <c r="N835" s="83">
        <v>37249998.397608325</v>
      </c>
      <c r="O835" s="83" t="s">
        <v>1396</v>
      </c>
      <c r="P835" s="84">
        <f t="shared" si="22"/>
        <v>2.4910280768418724E-2</v>
      </c>
    </row>
    <row r="836" spans="2:16" ht="15" customHeight="1">
      <c r="B836" s="83">
        <v>367.09080663000293</v>
      </c>
      <c r="C836" s="83">
        <v>369.23017711773355</v>
      </c>
      <c r="D836" s="83">
        <v>363.45097267802697</v>
      </c>
      <c r="E836" s="83">
        <v>365.88075544915984</v>
      </c>
      <c r="F836" s="83">
        <v>4873799.0122789731</v>
      </c>
      <c r="G836" s="83" t="s">
        <v>1395</v>
      </c>
      <c r="H836" s="84">
        <f t="shared" si="21"/>
        <v>3.3072282781247964E-3</v>
      </c>
      <c r="J836" s="83">
        <v>94.388932402631937</v>
      </c>
      <c r="K836" s="83">
        <v>94.61260285856234</v>
      </c>
      <c r="L836" s="83">
        <v>92.102523297565554</v>
      </c>
      <c r="M836" s="83">
        <v>94.100646037210524</v>
      </c>
      <c r="N836" s="83">
        <v>42765785.651978016</v>
      </c>
      <c r="O836" s="83" t="s">
        <v>1395</v>
      </c>
      <c r="P836" s="84">
        <f t="shared" si="22"/>
        <v>3.0635960278893037E-3</v>
      </c>
    </row>
    <row r="837" spans="2:16" ht="15" customHeight="1">
      <c r="B837" s="83">
        <v>367.22633236225738</v>
      </c>
      <c r="C837" s="83">
        <v>367.31345604727807</v>
      </c>
      <c r="D837" s="83">
        <v>363.20896244185832</v>
      </c>
      <c r="E837" s="83">
        <v>363.6436128260172</v>
      </c>
      <c r="F837" s="83">
        <v>3079001.995109133</v>
      </c>
      <c r="G837" s="83" t="s">
        <v>1394</v>
      </c>
      <c r="H837" s="84">
        <f t="shared" si="21"/>
        <v>9.852282316737071E-3</v>
      </c>
      <c r="J837" s="83">
        <v>94.438636948394247</v>
      </c>
      <c r="K837" s="83">
        <v>94.786568768730433</v>
      </c>
      <c r="L837" s="83">
        <v>93.494250578910311</v>
      </c>
      <c r="M837" s="83">
        <v>94.448577857546724</v>
      </c>
      <c r="N837" s="83">
        <v>43372852.863582611</v>
      </c>
      <c r="O837" s="83" t="s">
        <v>1394</v>
      </c>
      <c r="P837" s="84">
        <f t="shared" si="22"/>
        <v>-1.0525207872869036E-4</v>
      </c>
    </row>
    <row r="838" spans="2:16" ht="15" customHeight="1">
      <c r="B838" s="83">
        <v>363.03471507181695</v>
      </c>
      <c r="C838" s="83">
        <v>363.39289022134648</v>
      </c>
      <c r="D838" s="83">
        <v>360.30483960783494</v>
      </c>
      <c r="E838" s="83">
        <v>361.07927236357455</v>
      </c>
      <c r="F838" s="83">
        <v>3364222.3688122826</v>
      </c>
      <c r="G838" s="83" t="s">
        <v>1393</v>
      </c>
      <c r="H838" s="84">
        <f t="shared" si="21"/>
        <v>5.4155495978551738E-3</v>
      </c>
      <c r="J838" s="83">
        <v>94.299464220259779</v>
      </c>
      <c r="K838" s="83">
        <v>96.446700597191679</v>
      </c>
      <c r="L838" s="83">
        <v>93.971414218228517</v>
      </c>
      <c r="M838" s="83">
        <v>95.174264225676467</v>
      </c>
      <c r="N838" s="83">
        <v>49618474.772783928</v>
      </c>
      <c r="O838" s="83" t="s">
        <v>1393</v>
      </c>
      <c r="P838" s="84">
        <f t="shared" si="22"/>
        <v>-9.1915604762897729E-3</v>
      </c>
    </row>
    <row r="839" spans="2:16" ht="15" customHeight="1">
      <c r="B839" s="83">
        <v>362.15379781216319</v>
      </c>
      <c r="C839" s="83">
        <v>368.82359992097025</v>
      </c>
      <c r="D839" s="83">
        <v>361.02951505901825</v>
      </c>
      <c r="E839" s="83">
        <v>368.79455869263001</v>
      </c>
      <c r="F839" s="83">
        <v>3437576.7040711897</v>
      </c>
      <c r="G839" s="83" t="s">
        <v>1392</v>
      </c>
      <c r="H839" s="84">
        <f t="shared" si="21"/>
        <v>-1.8006667191642345E-2</v>
      </c>
      <c r="J839" s="83">
        <v>94.895918769407515</v>
      </c>
      <c r="K839" s="83">
        <v>100.01548698292574</v>
      </c>
      <c r="L839" s="83">
        <v>93.305373305013518</v>
      </c>
      <c r="M839" s="83">
        <v>99.945900618858516</v>
      </c>
      <c r="N839" s="83">
        <v>98379908.215712279</v>
      </c>
      <c r="O839" s="83" t="s">
        <v>1392</v>
      </c>
      <c r="P839" s="84">
        <f t="shared" si="22"/>
        <v>-5.0527153371792588E-2</v>
      </c>
    </row>
    <row r="840" spans="2:16" ht="15" customHeight="1">
      <c r="B840" s="83">
        <v>365.28057006346165</v>
      </c>
      <c r="C840" s="83">
        <v>368.75583705484303</v>
      </c>
      <c r="D840" s="83">
        <v>364.69006508721031</v>
      </c>
      <c r="E840" s="83">
        <v>367.55546628344666</v>
      </c>
      <c r="F840" s="83">
        <v>3017953.9574975902</v>
      </c>
      <c r="G840" s="83" t="s">
        <v>1391</v>
      </c>
      <c r="H840" s="84">
        <f t="shared" si="21"/>
        <v>-6.1892596591957005E-3</v>
      </c>
      <c r="J840" s="83">
        <v>99.409091524625524</v>
      </c>
      <c r="K840" s="83">
        <v>102.96793700120712</v>
      </c>
      <c r="L840" s="83">
        <v>97.87322106057006</v>
      </c>
      <c r="M840" s="83">
        <v>102.08319608663795</v>
      </c>
      <c r="N840" s="83">
        <v>73983202.011036634</v>
      </c>
      <c r="O840" s="83" t="s">
        <v>1391</v>
      </c>
      <c r="P840" s="84">
        <f t="shared" si="22"/>
        <v>-2.619534521375011E-2</v>
      </c>
    </row>
    <row r="841" spans="2:16" ht="15" customHeight="1">
      <c r="B841" s="83">
        <v>369.32698121220096</v>
      </c>
      <c r="C841" s="83">
        <v>370.51457384312761</v>
      </c>
      <c r="D841" s="83">
        <v>362.64749869394717</v>
      </c>
      <c r="E841" s="83">
        <v>363.78010659921631</v>
      </c>
      <c r="F841" s="83">
        <v>4653349.6592076896</v>
      </c>
      <c r="G841" s="83" t="s">
        <v>1390</v>
      </c>
      <c r="H841" s="84">
        <f t="shared" si="21"/>
        <v>1.5247877804092758E-2</v>
      </c>
      <c r="J841" s="83">
        <v>107.40158248320543</v>
      </c>
      <c r="K841" s="83">
        <v>108.02785975981057</v>
      </c>
      <c r="L841" s="83">
        <v>102.93562904646161</v>
      </c>
      <c r="M841" s="83">
        <v>103.01764154696943</v>
      </c>
      <c r="N841" s="83">
        <v>33939378.665021047</v>
      </c>
      <c r="O841" s="83" t="s">
        <v>1390</v>
      </c>
      <c r="P841" s="84">
        <f t="shared" si="22"/>
        <v>4.2555244620283927E-2</v>
      </c>
    </row>
    <row r="842" spans="2:16" ht="15" customHeight="1">
      <c r="B842" s="83">
        <v>364.62230222108309</v>
      </c>
      <c r="C842" s="83">
        <v>365.85171422081964</v>
      </c>
      <c r="D842" s="83">
        <v>363.03471507181695</v>
      </c>
      <c r="E842" s="83">
        <v>364.54001874078574</v>
      </c>
      <c r="F842" s="83">
        <v>2975182.0063443012</v>
      </c>
      <c r="G842" s="83" t="s">
        <v>1389</v>
      </c>
      <c r="H842" s="84">
        <f t="shared" si="21"/>
        <v>2.2571864834364241E-4</v>
      </c>
      <c r="J842" s="83">
        <v>102.85858700053004</v>
      </c>
      <c r="K842" s="83">
        <v>104.08131882628292</v>
      </c>
      <c r="L842" s="83">
        <v>101.60603244731975</v>
      </c>
      <c r="M842" s="83">
        <v>102.07822563206172</v>
      </c>
      <c r="N842" s="83">
        <v>25725057.545330316</v>
      </c>
      <c r="O842" s="83" t="s">
        <v>1389</v>
      </c>
      <c r="P842" s="84">
        <f t="shared" si="22"/>
        <v>7.6447387641818132E-3</v>
      </c>
    </row>
    <row r="843" spans="2:16" ht="15" customHeight="1">
      <c r="B843" s="83">
        <v>366.74231188992019</v>
      </c>
      <c r="C843" s="83">
        <v>370.95328999925403</v>
      </c>
      <c r="D843" s="83">
        <v>365.71618848856525</v>
      </c>
      <c r="E843" s="83">
        <v>366.14212650422201</v>
      </c>
      <c r="F843" s="83">
        <v>6686193.425606193</v>
      </c>
      <c r="G843" s="83" t="s">
        <v>1388</v>
      </c>
      <c r="H843" s="84">
        <f t="shared" si="21"/>
        <v>1.6392142347250171E-3</v>
      </c>
      <c r="J843" s="83">
        <v>104.59824610221098</v>
      </c>
      <c r="K843" s="83">
        <v>107.38170066490049</v>
      </c>
      <c r="L843" s="83">
        <v>102.68959154493817</v>
      </c>
      <c r="M843" s="83">
        <v>102.89835063713988</v>
      </c>
      <c r="N843" s="83">
        <v>37042307.132319115</v>
      </c>
      <c r="O843" s="83" t="s">
        <v>1388</v>
      </c>
      <c r="P843" s="84">
        <f t="shared" si="22"/>
        <v>1.6520142981354402E-2</v>
      </c>
    </row>
    <row r="844" spans="2:16" ht="15" customHeight="1">
      <c r="B844" s="83">
        <v>370.7015993536387</v>
      </c>
      <c r="C844" s="83">
        <v>372.1246195423102</v>
      </c>
      <c r="D844" s="83">
        <v>367.27473440949109</v>
      </c>
      <c r="E844" s="83">
        <v>369.06561015713885</v>
      </c>
      <c r="F844" s="83">
        <v>5379861.2844329085</v>
      </c>
      <c r="G844" s="83" t="s">
        <v>1387</v>
      </c>
      <c r="H844" s="84">
        <f t="shared" si="21"/>
        <v>4.432786885245843E-3</v>
      </c>
      <c r="J844" s="83">
        <v>108.15709157879257</v>
      </c>
      <c r="K844" s="83">
        <v>108.17697339709748</v>
      </c>
      <c r="L844" s="83">
        <v>105.91044611033604</v>
      </c>
      <c r="M844" s="83">
        <v>106.1589688391476</v>
      </c>
      <c r="N844" s="83">
        <v>46899761.666618474</v>
      </c>
      <c r="O844" s="83" t="s">
        <v>1387</v>
      </c>
      <c r="P844" s="84">
        <f t="shared" si="22"/>
        <v>1.882198707744176E-2</v>
      </c>
    </row>
    <row r="845" spans="2:16" ht="15" customHeight="1">
      <c r="B845" s="83">
        <v>365.46449784294981</v>
      </c>
      <c r="C845" s="83">
        <v>368.01044552744372</v>
      </c>
      <c r="D845" s="83">
        <v>357.94281970282924</v>
      </c>
      <c r="E845" s="83">
        <v>360.53716943455686</v>
      </c>
      <c r="F845" s="83">
        <v>5104837.7934693824</v>
      </c>
      <c r="G845" s="83" t="s">
        <v>1386</v>
      </c>
      <c r="H845" s="84">
        <f t="shared" si="21"/>
        <v>1.36666308667166E-2</v>
      </c>
      <c r="J845" s="83">
        <v>100.83064153342768</v>
      </c>
      <c r="K845" s="83">
        <v>101.58605121992329</v>
      </c>
      <c r="L845" s="83">
        <v>97.83842787853645</v>
      </c>
      <c r="M845" s="83">
        <v>99.150627886661496</v>
      </c>
      <c r="N845" s="83">
        <v>26549450.955863588</v>
      </c>
      <c r="O845" s="83" t="s">
        <v>1386</v>
      </c>
      <c r="P845" s="84">
        <f t="shared" si="22"/>
        <v>1.6944054541808917E-2</v>
      </c>
    </row>
    <row r="846" spans="2:16" ht="15" customHeight="1">
      <c r="B846" s="83">
        <v>361.5052103792313</v>
      </c>
      <c r="C846" s="83">
        <v>361.60201447369877</v>
      </c>
      <c r="D846" s="83">
        <v>356.55852115194477</v>
      </c>
      <c r="E846" s="83">
        <v>356.82957261645367</v>
      </c>
      <c r="F846" s="83">
        <v>4319740.8363819132</v>
      </c>
      <c r="G846" s="83" t="s">
        <v>1385</v>
      </c>
      <c r="H846" s="84">
        <f t="shared" si="21"/>
        <v>1.3103279889313812E-2</v>
      </c>
      <c r="J846" s="83">
        <v>99.279859705643517</v>
      </c>
      <c r="K846" s="83">
        <v>99.319623342253365</v>
      </c>
      <c r="L846" s="83">
        <v>97.212150601931313</v>
      </c>
      <c r="M846" s="83">
        <v>97.281736965998533</v>
      </c>
      <c r="N846" s="83">
        <v>22439374.163754616</v>
      </c>
      <c r="O846" s="83" t="s">
        <v>1385</v>
      </c>
      <c r="P846" s="84">
        <f t="shared" si="22"/>
        <v>2.0539546290619271E-2</v>
      </c>
    </row>
    <row r="847" spans="2:16" ht="15" customHeight="1">
      <c r="B847" s="83">
        <v>356.44235623858384</v>
      </c>
      <c r="C847" s="83">
        <v>360.39196329285568</v>
      </c>
      <c r="D847" s="83">
        <v>356.10354190794783</v>
      </c>
      <c r="E847" s="83">
        <v>358.32035567125229</v>
      </c>
      <c r="F847" s="83">
        <v>3388900.0439988766</v>
      </c>
      <c r="G847" s="83" t="s">
        <v>1384</v>
      </c>
      <c r="H847" s="84">
        <f t="shared" si="21"/>
        <v>-5.2411184654869158E-3</v>
      </c>
      <c r="J847" s="83">
        <v>97.371205148370706</v>
      </c>
      <c r="K847" s="83">
        <v>98.821384975531942</v>
      </c>
      <c r="L847" s="83">
        <v>96.94374605481481</v>
      </c>
      <c r="M847" s="83">
        <v>98.161507425991473</v>
      </c>
      <c r="N847" s="83">
        <v>24509973.510787282</v>
      </c>
      <c r="O847" s="83" t="s">
        <v>1384</v>
      </c>
      <c r="P847" s="84">
        <f t="shared" si="22"/>
        <v>-8.0510405590156209E-3</v>
      </c>
    </row>
    <row r="848" spans="2:16" ht="15" customHeight="1">
      <c r="B848" s="83">
        <v>360.95342704076688</v>
      </c>
      <c r="C848" s="83">
        <v>363.09279752849739</v>
      </c>
      <c r="D848" s="83">
        <v>358.91086064750374</v>
      </c>
      <c r="E848" s="83">
        <v>359.0367059703114</v>
      </c>
      <c r="F848" s="83">
        <v>5732734.7882647878</v>
      </c>
      <c r="G848" s="83" t="s">
        <v>1383</v>
      </c>
      <c r="H848" s="84">
        <f t="shared" si="21"/>
        <v>5.3385100703713384E-3</v>
      </c>
      <c r="J848" s="83">
        <v>100.11489607445036</v>
      </c>
      <c r="K848" s="83">
        <v>100.97975517071461</v>
      </c>
      <c r="L848" s="83">
        <v>98.385177881921877</v>
      </c>
      <c r="M848" s="83">
        <v>98.464705155141587</v>
      </c>
      <c r="N848" s="83">
        <v>29192857.066610556</v>
      </c>
      <c r="O848" s="83" t="s">
        <v>1383</v>
      </c>
      <c r="P848" s="84">
        <f t="shared" si="22"/>
        <v>1.6759212518929756E-2</v>
      </c>
    </row>
    <row r="849" spans="2:16" ht="15" customHeight="1">
      <c r="B849" s="83">
        <v>359.92730363941195</v>
      </c>
      <c r="C849" s="83">
        <v>360.16931387558054</v>
      </c>
      <c r="D849" s="83">
        <v>355.86153167177918</v>
      </c>
      <c r="E849" s="83">
        <v>358.62044836410138</v>
      </c>
      <c r="F849" s="83">
        <v>3575193.8169969241</v>
      </c>
      <c r="G849" s="83" t="s">
        <v>1382</v>
      </c>
      <c r="H849" s="84">
        <f t="shared" si="21"/>
        <v>3.6441181234143638E-3</v>
      </c>
      <c r="J849" s="83">
        <v>98.57405515581867</v>
      </c>
      <c r="K849" s="83">
        <v>98.62375970158098</v>
      </c>
      <c r="L849" s="83">
        <v>96.247882414142424</v>
      </c>
      <c r="M849" s="83">
        <v>97.699255150401967</v>
      </c>
      <c r="N849" s="83">
        <v>24687943.148459882</v>
      </c>
      <c r="O849" s="83" t="s">
        <v>1382</v>
      </c>
      <c r="P849" s="84">
        <f t="shared" si="22"/>
        <v>8.9540089540089962E-3</v>
      </c>
    </row>
    <row r="850" spans="2:16" ht="15" customHeight="1">
      <c r="B850" s="83">
        <v>356.12290272684129</v>
      </c>
      <c r="C850" s="83">
        <v>356.39395419135013</v>
      </c>
      <c r="D850" s="83">
        <v>350.10168805096617</v>
      </c>
      <c r="E850" s="83">
        <v>352.15393485367593</v>
      </c>
      <c r="F850" s="83">
        <v>3162761.8819672936</v>
      </c>
      <c r="G850" s="83" t="s">
        <v>1381</v>
      </c>
      <c r="H850" s="84">
        <f t="shared" si="21"/>
        <v>1.1270548133487379E-2</v>
      </c>
      <c r="J850" s="83">
        <v>96.15841423177028</v>
      </c>
      <c r="K850" s="83">
        <v>97.142564237864065</v>
      </c>
      <c r="L850" s="83">
        <v>94.699088768188773</v>
      </c>
      <c r="M850" s="83">
        <v>96.62563696193601</v>
      </c>
      <c r="N850" s="83">
        <v>31185125.54993071</v>
      </c>
      <c r="O850" s="83" t="s">
        <v>1381</v>
      </c>
      <c r="P850" s="84">
        <f t="shared" si="22"/>
        <v>-4.8353909465019829E-3</v>
      </c>
    </row>
    <row r="851" spans="2:16" ht="15" customHeight="1">
      <c r="B851" s="83">
        <v>355.99705740403363</v>
      </c>
      <c r="C851" s="83">
        <v>356.82957261645367</v>
      </c>
      <c r="D851" s="83">
        <v>353.74152200294213</v>
      </c>
      <c r="E851" s="83">
        <v>354.85476908931776</v>
      </c>
      <c r="F851" s="83">
        <v>2791596.796464812</v>
      </c>
      <c r="G851" s="83" t="s">
        <v>1380</v>
      </c>
      <c r="H851" s="84">
        <f t="shared" si="21"/>
        <v>3.2190304716697149E-3</v>
      </c>
      <c r="J851" s="83">
        <v>98.62375970158098</v>
      </c>
      <c r="K851" s="83">
        <v>100.49265062224394</v>
      </c>
      <c r="L851" s="83">
        <v>98.116773334805401</v>
      </c>
      <c r="M851" s="83">
        <v>98.961750612764703</v>
      </c>
      <c r="N851" s="83">
        <v>27554192.056180932</v>
      </c>
      <c r="O851" s="83" t="s">
        <v>1380</v>
      </c>
      <c r="P851" s="84">
        <f t="shared" si="22"/>
        <v>-3.4153691612255344E-3</v>
      </c>
    </row>
    <row r="852" spans="2:16" ht="15" customHeight="1">
      <c r="B852" s="83">
        <v>356.37459337245662</v>
      </c>
      <c r="C852" s="83">
        <v>358.17514952955116</v>
      </c>
      <c r="D852" s="83">
        <v>352.02808953086827</v>
      </c>
      <c r="E852" s="83">
        <v>352.86060474328832</v>
      </c>
      <c r="F852" s="83">
        <v>3350357.2528026351</v>
      </c>
      <c r="G852" s="83" t="s">
        <v>1379</v>
      </c>
      <c r="H852" s="84">
        <f t="shared" si="21"/>
        <v>9.9585745247043889E-3</v>
      </c>
      <c r="J852" s="83">
        <v>100.61194153207349</v>
      </c>
      <c r="K852" s="83">
        <v>100.80081880597029</v>
      </c>
      <c r="L852" s="83">
        <v>98.166477880567712</v>
      </c>
      <c r="M852" s="83">
        <v>98.544232428361283</v>
      </c>
      <c r="N852" s="83">
        <v>31980759.015511744</v>
      </c>
      <c r="O852" s="83" t="s">
        <v>1379</v>
      </c>
      <c r="P852" s="84">
        <f t="shared" si="22"/>
        <v>2.0982548169070858E-2</v>
      </c>
    </row>
    <row r="853" spans="2:16" ht="15" customHeight="1">
      <c r="B853" s="83">
        <v>352.08617198754877</v>
      </c>
      <c r="C853" s="83">
        <v>352.27978017648371</v>
      </c>
      <c r="D853" s="83">
        <v>345.4744523354222</v>
      </c>
      <c r="E853" s="83">
        <v>346.99427661856112</v>
      </c>
      <c r="F853" s="83">
        <v>3372855.2681188406</v>
      </c>
      <c r="G853" s="83" t="s">
        <v>1378</v>
      </c>
      <c r="H853" s="84">
        <f t="shared" si="21"/>
        <v>1.4674292090947061E-2</v>
      </c>
      <c r="J853" s="83">
        <v>98.693346065648228</v>
      </c>
      <c r="K853" s="83">
        <v>98.832518793782697</v>
      </c>
      <c r="L853" s="83">
        <v>95.343259681268336</v>
      </c>
      <c r="M853" s="83">
        <v>95.383023317878198</v>
      </c>
      <c r="N853" s="83">
        <v>54023995.36736165</v>
      </c>
      <c r="O853" s="83" t="s">
        <v>1378</v>
      </c>
      <c r="P853" s="84">
        <f t="shared" si="22"/>
        <v>3.4705575820739964E-2</v>
      </c>
    </row>
    <row r="854" spans="2:16" ht="15" customHeight="1">
      <c r="B854" s="83">
        <v>345.72614298103753</v>
      </c>
      <c r="C854" s="83">
        <v>347.87035367349154</v>
      </c>
      <c r="D854" s="83">
        <v>344.47737016240751</v>
      </c>
      <c r="E854" s="83">
        <v>346.32632836673571</v>
      </c>
      <c r="F854" s="83">
        <v>3630917.699645442</v>
      </c>
      <c r="G854" s="83" t="s">
        <v>1377</v>
      </c>
      <c r="H854" s="84">
        <f t="shared" si="21"/>
        <v>-1.7330053667263812E-3</v>
      </c>
      <c r="J854" s="83">
        <v>93.355077850775828</v>
      </c>
      <c r="K854" s="83">
        <v>93.842182399246497</v>
      </c>
      <c r="L854" s="83">
        <v>90.840027835202804</v>
      </c>
      <c r="M854" s="83">
        <v>90.849968744355266</v>
      </c>
      <c r="N854" s="83">
        <v>28878297.306326926</v>
      </c>
      <c r="O854" s="83" t="s">
        <v>1377</v>
      </c>
      <c r="P854" s="84">
        <f t="shared" si="22"/>
        <v>2.757413283729071E-2</v>
      </c>
    </row>
    <row r="855" spans="2:16" ht="15" customHeight="1">
      <c r="B855" s="83">
        <v>348.23336902774446</v>
      </c>
      <c r="C855" s="83">
        <v>355.90993371901294</v>
      </c>
      <c r="D855" s="83">
        <v>348.08816288604322</v>
      </c>
      <c r="E855" s="83">
        <v>354.95157318378523</v>
      </c>
      <c r="F855" s="83">
        <v>4061608.1598926638</v>
      </c>
      <c r="G855" s="83" t="s">
        <v>1376</v>
      </c>
      <c r="H855" s="84">
        <f t="shared" si="21"/>
        <v>-1.8927100662721297E-2</v>
      </c>
      <c r="J855" s="83">
        <v>91.237664201301314</v>
      </c>
      <c r="K855" s="83">
        <v>93.03498057606653</v>
      </c>
      <c r="L855" s="83">
        <v>90.859909653507742</v>
      </c>
      <c r="M855" s="83">
        <v>92.390809662986968</v>
      </c>
      <c r="N855" s="83">
        <v>19758375.91789519</v>
      </c>
      <c r="O855" s="83" t="s">
        <v>1376</v>
      </c>
      <c r="P855" s="84">
        <f t="shared" si="22"/>
        <v>-1.2481170647729689E-2</v>
      </c>
    </row>
    <row r="856" spans="2:16" ht="15" customHeight="1">
      <c r="B856" s="83">
        <v>353.98353223911073</v>
      </c>
      <c r="C856" s="83">
        <v>355.96801617569338</v>
      </c>
      <c r="D856" s="83">
        <v>353.20909948337118</v>
      </c>
      <c r="E856" s="83">
        <v>354.48691353034144</v>
      </c>
      <c r="F856" s="83">
        <v>5105159.0608720798</v>
      </c>
      <c r="G856" s="83" t="s">
        <v>1375</v>
      </c>
      <c r="H856" s="84">
        <f t="shared" si="21"/>
        <v>-1.4200278543925471E-3</v>
      </c>
      <c r="J856" s="83">
        <v>91.615418749094886</v>
      </c>
      <c r="K856" s="83">
        <v>92.420632390444354</v>
      </c>
      <c r="L856" s="83">
        <v>90.303218740969825</v>
      </c>
      <c r="M856" s="83">
        <v>92.231755116547561</v>
      </c>
      <c r="N856" s="83">
        <v>23072158.339077428</v>
      </c>
      <c r="O856" s="83" t="s">
        <v>1375</v>
      </c>
      <c r="P856" s="84">
        <f t="shared" si="22"/>
        <v>-6.6824746712653704E-3</v>
      </c>
    </row>
    <row r="857" spans="2:16" ht="15" customHeight="1">
      <c r="B857" s="83">
        <v>354.52563516812842</v>
      </c>
      <c r="C857" s="83">
        <v>355.00936522818222</v>
      </c>
      <c r="D857" s="83">
        <v>349.91776027147802</v>
      </c>
      <c r="E857" s="83">
        <v>350.1217264985209</v>
      </c>
      <c r="F857" s="83">
        <v>3114702.9643606166</v>
      </c>
      <c r="G857" s="83" t="s">
        <v>1374</v>
      </c>
      <c r="H857" s="84">
        <f t="shared" si="21"/>
        <v>1.257822161923472E-2</v>
      </c>
      <c r="J857" s="83">
        <v>92.251636934852485</v>
      </c>
      <c r="K857" s="83">
        <v>92.430573299596816</v>
      </c>
      <c r="L857" s="83">
        <v>90.392686923341998</v>
      </c>
      <c r="M857" s="83">
        <v>90.987153290659251</v>
      </c>
      <c r="N857" s="83">
        <v>18741453.839143895</v>
      </c>
      <c r="O857" s="83" t="s">
        <v>1374</v>
      </c>
      <c r="P857" s="84">
        <f t="shared" si="22"/>
        <v>1.3897386592081062E-2</v>
      </c>
    </row>
    <row r="858" spans="2:16" ht="15" customHeight="1">
      <c r="B858" s="83">
        <v>353.15101702669068</v>
      </c>
      <c r="C858" s="83">
        <v>354.44819189255446</v>
      </c>
      <c r="D858" s="83">
        <v>349.07556464961124</v>
      </c>
      <c r="E858" s="83">
        <v>352.83156351494813</v>
      </c>
      <c r="F858" s="83">
        <v>4900061.3311817646</v>
      </c>
      <c r="G858" s="83" t="s">
        <v>1373</v>
      </c>
      <c r="H858" s="84">
        <f t="shared" si="21"/>
        <v>9.0539947322199055E-4</v>
      </c>
      <c r="J858" s="83">
        <v>91.36689602028332</v>
      </c>
      <c r="K858" s="83">
        <v>92.072700570108168</v>
      </c>
      <c r="L858" s="83">
        <v>90.034814193853336</v>
      </c>
      <c r="M858" s="83">
        <v>91.854000568753989</v>
      </c>
      <c r="N858" s="83">
        <v>22889471.82900605</v>
      </c>
      <c r="O858" s="83" t="s">
        <v>1373</v>
      </c>
      <c r="P858" s="84">
        <f t="shared" si="22"/>
        <v>-5.3030303030303649E-3</v>
      </c>
    </row>
    <row r="859" spans="2:16" ht="15" customHeight="1">
      <c r="B859" s="83">
        <v>351.83448134193338</v>
      </c>
      <c r="C859" s="83">
        <v>351.89256379861388</v>
      </c>
      <c r="D859" s="83">
        <v>348.16560616161723</v>
      </c>
      <c r="E859" s="83">
        <v>348.89163687012308</v>
      </c>
      <c r="F859" s="83">
        <v>5899060.3976160996</v>
      </c>
      <c r="G859" s="83" t="s">
        <v>1372</v>
      </c>
      <c r="H859" s="84">
        <f t="shared" si="21"/>
        <v>8.4348381010515006E-3</v>
      </c>
      <c r="J859" s="83">
        <v>91.71482784061952</v>
      </c>
      <c r="K859" s="83">
        <v>91.903705114516299</v>
      </c>
      <c r="L859" s="83">
        <v>89.209718734198944</v>
      </c>
      <c r="M859" s="83">
        <v>89.527827827077758</v>
      </c>
      <c r="N859" s="83">
        <v>26153386.577886179</v>
      </c>
      <c r="O859" s="83" t="s">
        <v>1372</v>
      </c>
      <c r="P859" s="84">
        <f t="shared" si="22"/>
        <v>2.4428159005107641E-2</v>
      </c>
    </row>
    <row r="860" spans="2:16" ht="15" customHeight="1">
      <c r="B860" s="83">
        <v>347.40085381532435</v>
      </c>
      <c r="C860" s="83">
        <v>347.47829709089831</v>
      </c>
      <c r="D860" s="83">
        <v>343.61581372164721</v>
      </c>
      <c r="E860" s="83">
        <v>344.46768975296072</v>
      </c>
      <c r="F860" s="83">
        <v>3611127.2144336384</v>
      </c>
      <c r="G860" s="83" t="s">
        <v>1371</v>
      </c>
      <c r="H860" s="84">
        <f t="shared" si="21"/>
        <v>8.5150629496402175E-3</v>
      </c>
      <c r="J860" s="83">
        <v>88.712673276575813</v>
      </c>
      <c r="K860" s="83">
        <v>88.946284641658679</v>
      </c>
      <c r="L860" s="83">
        <v>86.187682351850327</v>
      </c>
      <c r="M860" s="83">
        <v>86.207564170155251</v>
      </c>
      <c r="N860" s="83">
        <v>22991448.417309232</v>
      </c>
      <c r="O860" s="83" t="s">
        <v>1371</v>
      </c>
      <c r="P860" s="84">
        <f t="shared" si="22"/>
        <v>2.9059040590405871E-2</v>
      </c>
    </row>
    <row r="861" spans="2:16" ht="15" customHeight="1">
      <c r="B861" s="83">
        <v>344.94202981585124</v>
      </c>
      <c r="C861" s="83">
        <v>350.16945091709334</v>
      </c>
      <c r="D861" s="83">
        <v>344.83690056925963</v>
      </c>
      <c r="E861" s="83">
        <v>347.26532808306996</v>
      </c>
      <c r="F861" s="83">
        <v>3899961.0716565126</v>
      </c>
      <c r="G861" s="83" t="s">
        <v>1370</v>
      </c>
      <c r="H861" s="84">
        <f t="shared" si="21"/>
        <v>-6.6902684470214746E-3</v>
      </c>
      <c r="J861" s="83">
        <v>88.275273273867469</v>
      </c>
      <c r="K861" s="83">
        <v>90.293277831817363</v>
      </c>
      <c r="L861" s="83">
        <v>88.05657327251329</v>
      </c>
      <c r="M861" s="83">
        <v>88.667939185389727</v>
      </c>
      <c r="N861" s="83">
        <v>23133378.091784779</v>
      </c>
      <c r="O861" s="83" t="s">
        <v>1370</v>
      </c>
      <c r="P861" s="84">
        <f t="shared" si="22"/>
        <v>-4.4284993553448393E-3</v>
      </c>
    </row>
    <row r="862" spans="2:16" ht="15" customHeight="1">
      <c r="B862" s="83">
        <v>345.19372046146657</v>
      </c>
      <c r="C862" s="83">
        <v>346.23920468171502</v>
      </c>
      <c r="D862" s="83">
        <v>337.59450224167756</v>
      </c>
      <c r="E862" s="83">
        <v>340.35351573809425</v>
      </c>
      <c r="F862" s="83">
        <v>3579163.6904006698</v>
      </c>
      <c r="G862" s="83" t="s">
        <v>1369</v>
      </c>
      <c r="H862" s="84">
        <f t="shared" si="21"/>
        <v>1.4221109815410138E-2</v>
      </c>
      <c r="J862" s="83">
        <v>87.639055088109856</v>
      </c>
      <c r="K862" s="83">
        <v>87.947223271836208</v>
      </c>
      <c r="L862" s="83">
        <v>85.06435961762206</v>
      </c>
      <c r="M862" s="83">
        <v>86.843782355912865</v>
      </c>
      <c r="N862" s="83">
        <v>26770819.038626406</v>
      </c>
      <c r="O862" s="83" t="s">
        <v>1369</v>
      </c>
      <c r="P862" s="84">
        <f t="shared" si="22"/>
        <v>9.1575091575089029E-3</v>
      </c>
    </row>
    <row r="863" spans="2:16" ht="15" customHeight="1">
      <c r="B863" s="83">
        <v>337.51715577019814</v>
      </c>
      <c r="C863" s="83">
        <v>339.58876339180148</v>
      </c>
      <c r="D863" s="83">
        <v>336.93633120339342</v>
      </c>
      <c r="E863" s="83">
        <v>339.52100052567425</v>
      </c>
      <c r="F863" s="83">
        <v>3322729.2891848423</v>
      </c>
      <c r="G863" s="83" t="s">
        <v>1368</v>
      </c>
      <c r="H863" s="84">
        <f t="shared" si="21"/>
        <v>-5.9019758788810828E-3</v>
      </c>
      <c r="J863" s="83">
        <v>86.257268715917562</v>
      </c>
      <c r="K863" s="83">
        <v>87.688759633872166</v>
      </c>
      <c r="L863" s="83">
        <v>86.048509623715859</v>
      </c>
      <c r="M863" s="83">
        <v>87.549586905737698</v>
      </c>
      <c r="N863" s="83">
        <v>23273609.732434534</v>
      </c>
      <c r="O863" s="83" t="s">
        <v>1368</v>
      </c>
      <c r="P863" s="84">
        <f t="shared" si="22"/>
        <v>-1.4760985579652552E-2</v>
      </c>
    </row>
    <row r="864" spans="2:16" ht="15" customHeight="1">
      <c r="B864" s="83">
        <v>341.24411340719479</v>
      </c>
      <c r="C864" s="83">
        <v>343.23198548708376</v>
      </c>
      <c r="D864" s="83">
        <v>338.03989788032231</v>
      </c>
      <c r="E864" s="83">
        <v>340.84721661987828</v>
      </c>
      <c r="F864" s="83">
        <v>3222061.0266117426</v>
      </c>
      <c r="G864" s="83" t="s">
        <v>1367</v>
      </c>
      <c r="H864" s="84">
        <f t="shared" si="21"/>
        <v>1.1644419199090539E-3</v>
      </c>
      <c r="J864" s="83">
        <v>88.185805091495297</v>
      </c>
      <c r="K864" s="83">
        <v>90.700855107068321</v>
      </c>
      <c r="L864" s="83">
        <v>87.281182358621209</v>
      </c>
      <c r="M864" s="83">
        <v>90.472214196561694</v>
      </c>
      <c r="N864" s="83">
        <v>27207252.963678952</v>
      </c>
      <c r="O864" s="83" t="s">
        <v>1367</v>
      </c>
      <c r="P864" s="84">
        <f t="shared" si="22"/>
        <v>-2.527194813756739E-2</v>
      </c>
    </row>
    <row r="865" spans="2:16" ht="15" customHeight="1">
      <c r="B865" s="83">
        <v>338.80465022661514</v>
      </c>
      <c r="C865" s="83">
        <v>343.69548349139393</v>
      </c>
      <c r="D865" s="83">
        <v>336.09413558152664</v>
      </c>
      <c r="E865" s="83">
        <v>341.89366888107133</v>
      </c>
      <c r="F865" s="83">
        <v>5120996.2009066427</v>
      </c>
      <c r="G865" s="83" t="s">
        <v>1366</v>
      </c>
      <c r="H865" s="84">
        <f t="shared" si="21"/>
        <v>-9.0350273655717128E-3</v>
      </c>
      <c r="J865" s="83">
        <v>89.169955097589096</v>
      </c>
      <c r="K865" s="83">
        <v>91.009023290794673</v>
      </c>
      <c r="L865" s="83">
        <v>88.493973275221634</v>
      </c>
      <c r="M865" s="83">
        <v>89.299186916571102</v>
      </c>
      <c r="N865" s="83">
        <v>20861730.735023052</v>
      </c>
      <c r="O865" s="83" t="s">
        <v>1366</v>
      </c>
      <c r="P865" s="84">
        <f t="shared" si="22"/>
        <v>-1.4471780028942893E-3</v>
      </c>
    </row>
    <row r="866" spans="2:16" ht="15" customHeight="1">
      <c r="B866" s="83">
        <v>340.11150550192565</v>
      </c>
      <c r="C866" s="83">
        <v>340.25671164362683</v>
      </c>
      <c r="D866" s="83">
        <v>336.6493070632975</v>
      </c>
      <c r="E866" s="83">
        <v>338.61104203768025</v>
      </c>
      <c r="F866" s="83">
        <v>5501262.1411286136</v>
      </c>
      <c r="G866" s="83" t="s">
        <v>1365</v>
      </c>
      <c r="H866" s="84">
        <f t="shared" si="21"/>
        <v>4.4312301666713516E-3</v>
      </c>
      <c r="J866" s="83">
        <v>88.205686909800235</v>
      </c>
      <c r="K866" s="83">
        <v>88.305096001324856</v>
      </c>
      <c r="L866" s="83">
        <v>86.515732353881603</v>
      </c>
      <c r="M866" s="83">
        <v>86.848752810489088</v>
      </c>
      <c r="N866" s="83">
        <v>19304367.141556866</v>
      </c>
      <c r="O866" s="83" t="s">
        <v>1365</v>
      </c>
      <c r="P866" s="84">
        <f t="shared" si="22"/>
        <v>1.5624105763177631E-2</v>
      </c>
    </row>
    <row r="867" spans="2:16" ht="15" customHeight="1">
      <c r="B867" s="83">
        <v>341.0505052182599</v>
      </c>
      <c r="C867" s="83">
        <v>341.83945858816958</v>
      </c>
      <c r="D867" s="83">
        <v>337.33322799070999</v>
      </c>
      <c r="E867" s="83">
        <v>337.75916600636674</v>
      </c>
      <c r="F867" s="83">
        <v>4221489.8269352159</v>
      </c>
      <c r="G867" s="83" t="s">
        <v>1364</v>
      </c>
      <c r="H867" s="84">
        <f t="shared" si="21"/>
        <v>9.7446332865207541E-3</v>
      </c>
      <c r="J867" s="83">
        <v>88.424386911154414</v>
      </c>
      <c r="K867" s="83">
        <v>88.836934640981596</v>
      </c>
      <c r="L867" s="83">
        <v>86.475968717271741</v>
      </c>
      <c r="M867" s="83">
        <v>86.515732353881603</v>
      </c>
      <c r="N867" s="83">
        <v>18389324.07452042</v>
      </c>
      <c r="O867" s="83" t="s">
        <v>1364</v>
      </c>
      <c r="P867" s="84">
        <f t="shared" si="22"/>
        <v>2.206135815236121E-2</v>
      </c>
    </row>
    <row r="868" spans="2:16" ht="15" customHeight="1">
      <c r="B868" s="83">
        <v>335.10673381795874</v>
      </c>
      <c r="C868" s="83">
        <v>340.9440207143457</v>
      </c>
      <c r="D868" s="83">
        <v>334.84536276289657</v>
      </c>
      <c r="E868" s="83">
        <v>339.22090783282516</v>
      </c>
      <c r="F868" s="83">
        <v>4612040.4561001211</v>
      </c>
      <c r="G868" s="83" t="s">
        <v>1363</v>
      </c>
      <c r="H868" s="84">
        <f t="shared" si="21"/>
        <v>-1.2128303179042121E-2</v>
      </c>
      <c r="J868" s="83">
        <v>85.949100532191224</v>
      </c>
      <c r="K868" s="83">
        <v>87.996927817598518</v>
      </c>
      <c r="L868" s="83">
        <v>85.859731758910584</v>
      </c>
      <c r="M868" s="83">
        <v>86.982955084047333</v>
      </c>
      <c r="N868" s="83">
        <v>17985846.893662527</v>
      </c>
      <c r="O868" s="83" t="s">
        <v>1363</v>
      </c>
      <c r="P868" s="84">
        <f t="shared" si="22"/>
        <v>-1.1885714285714277E-2</v>
      </c>
    </row>
    <row r="869" spans="2:16" ht="15" customHeight="1">
      <c r="B869" s="83">
        <v>339.26930988005893</v>
      </c>
      <c r="C869" s="83">
        <v>340.78913416319784</v>
      </c>
      <c r="D869" s="83">
        <v>337.7010835496863</v>
      </c>
      <c r="E869" s="83">
        <v>340.51808269868894</v>
      </c>
      <c r="F869" s="83">
        <v>4445282.0138172004</v>
      </c>
      <c r="G869" s="83" t="s">
        <v>1362</v>
      </c>
      <c r="H869" s="84">
        <f t="shared" si="21"/>
        <v>-3.6672731407776382E-3</v>
      </c>
      <c r="J869" s="83">
        <v>87.410414177603229</v>
      </c>
      <c r="K869" s="83">
        <v>88.971136914539841</v>
      </c>
      <c r="L869" s="83">
        <v>87.017748266080957</v>
      </c>
      <c r="M869" s="83">
        <v>88.782259640643062</v>
      </c>
      <c r="N869" s="83">
        <v>15562832.093850864</v>
      </c>
      <c r="O869" s="83" t="s">
        <v>1362</v>
      </c>
      <c r="P869" s="84">
        <f t="shared" si="22"/>
        <v>-1.5451797111185717E-2</v>
      </c>
    </row>
    <row r="870" spans="2:16" ht="15" customHeight="1">
      <c r="B870" s="83">
        <v>340.62456720260315</v>
      </c>
      <c r="C870" s="83">
        <v>340.69997759219331</v>
      </c>
      <c r="D870" s="83">
        <v>336.24902213267461</v>
      </c>
      <c r="E870" s="83">
        <v>337.7785268252602</v>
      </c>
      <c r="F870" s="83">
        <v>4722921.0966251921</v>
      </c>
      <c r="G870" s="83" t="s">
        <v>1361</v>
      </c>
      <c r="H870" s="84">
        <f t="shared" si="21"/>
        <v>8.4257587481730845E-3</v>
      </c>
      <c r="J870" s="83">
        <v>89.279305098266192</v>
      </c>
      <c r="K870" s="83">
        <v>89.567591463687592</v>
      </c>
      <c r="L870" s="83">
        <v>87.102245993876892</v>
      </c>
      <c r="M870" s="83">
        <v>87.102245993876892</v>
      </c>
      <c r="N870" s="83">
        <v>17920906.153323896</v>
      </c>
      <c r="O870" s="83" t="s">
        <v>1361</v>
      </c>
      <c r="P870" s="84">
        <f t="shared" si="22"/>
        <v>2.4994293540287593E-2</v>
      </c>
    </row>
    <row r="871" spans="2:16" ht="15" customHeight="1">
      <c r="B871" s="83">
        <v>338.72720695104124</v>
      </c>
      <c r="C871" s="83">
        <v>340.99242276157946</v>
      </c>
      <c r="D871" s="83">
        <v>333.33521888920438</v>
      </c>
      <c r="E871" s="83">
        <v>340.73105170651735</v>
      </c>
      <c r="F871" s="83">
        <v>6675578.1721331533</v>
      </c>
      <c r="G871" s="83" t="s">
        <v>1360</v>
      </c>
      <c r="H871" s="84">
        <f t="shared" si="21"/>
        <v>-5.8810159668162276E-3</v>
      </c>
      <c r="J871" s="83">
        <v>87.738464179634491</v>
      </c>
      <c r="K871" s="83">
        <v>88.653027821661055</v>
      </c>
      <c r="L871" s="83">
        <v>86.426363580600963</v>
      </c>
      <c r="M871" s="83">
        <v>88.40450509284949</v>
      </c>
      <c r="N871" s="83">
        <v>23796682.614426609</v>
      </c>
      <c r="O871" s="83" t="s">
        <v>1360</v>
      </c>
      <c r="P871" s="84">
        <f t="shared" si="22"/>
        <v>-7.5340155178230672E-3</v>
      </c>
    </row>
    <row r="872" spans="2:16" ht="15" customHeight="1">
      <c r="B872" s="83">
        <v>343.55773126496672</v>
      </c>
      <c r="C872" s="83">
        <v>344.57572312238642</v>
      </c>
      <c r="D872" s="83">
        <v>340.46000024200845</v>
      </c>
      <c r="E872" s="83">
        <v>340.9440207143457</v>
      </c>
      <c r="F872" s="83">
        <v>3958973.0383654321</v>
      </c>
      <c r="G872" s="83" t="s">
        <v>1359</v>
      </c>
      <c r="H872" s="84">
        <f t="shared" si="21"/>
        <v>7.6660988074956915E-3</v>
      </c>
      <c r="J872" s="83">
        <v>89.716705100974536</v>
      </c>
      <c r="K872" s="83">
        <v>90.377775559613298</v>
      </c>
      <c r="L872" s="83">
        <v>88.384623274544552</v>
      </c>
      <c r="M872" s="83">
        <v>89.199777825046482</v>
      </c>
      <c r="N872" s="83">
        <v>20457270.746672392</v>
      </c>
      <c r="O872" s="83" t="s">
        <v>1359</v>
      </c>
      <c r="P872" s="84">
        <f t="shared" si="22"/>
        <v>5.7951632675805609E-3</v>
      </c>
    </row>
    <row r="873" spans="2:16" ht="15" customHeight="1">
      <c r="B873" s="83">
        <v>338.49487712431932</v>
      </c>
      <c r="C873" s="83">
        <v>339.94209833660767</v>
      </c>
      <c r="D873" s="83">
        <v>336.11156031853085</v>
      </c>
      <c r="E873" s="83">
        <v>337.31386717181647</v>
      </c>
      <c r="F873" s="83">
        <v>5235532.6785318591</v>
      </c>
      <c r="G873" s="83" t="s">
        <v>1358</v>
      </c>
      <c r="H873" s="84">
        <f t="shared" si="21"/>
        <v>3.5012196871861967E-3</v>
      </c>
      <c r="J873" s="83">
        <v>89.100368733521847</v>
      </c>
      <c r="K873" s="83">
        <v>89.249482370808792</v>
      </c>
      <c r="L873" s="83">
        <v>87.519764178280326</v>
      </c>
      <c r="M873" s="83">
        <v>88.205686909800235</v>
      </c>
      <c r="N873" s="83">
        <v>22107480.978795502</v>
      </c>
      <c r="O873" s="83" t="s">
        <v>1358</v>
      </c>
      <c r="P873" s="84">
        <f t="shared" si="22"/>
        <v>1.0143130846387738E-2</v>
      </c>
    </row>
    <row r="874" spans="2:16" ht="15" customHeight="1">
      <c r="B874" s="83">
        <v>337.98016975403596</v>
      </c>
      <c r="C874" s="83">
        <v>341.38107052434395</v>
      </c>
      <c r="D874" s="83">
        <v>336.47722210483471</v>
      </c>
      <c r="E874" s="83">
        <v>341.17875064848994</v>
      </c>
      <c r="F874" s="83">
        <v>5748731.7303378517</v>
      </c>
      <c r="G874" s="83" t="s">
        <v>1357</v>
      </c>
      <c r="H874" s="84">
        <f t="shared" si="21"/>
        <v>-9.3750882444300077E-3</v>
      </c>
      <c r="J874" s="83">
        <v>88.623205094203655</v>
      </c>
      <c r="K874" s="83">
        <v>90.661091470458487</v>
      </c>
      <c r="L874" s="83">
        <v>88.399534638273252</v>
      </c>
      <c r="M874" s="83">
        <v>90.342982377579673</v>
      </c>
      <c r="N874" s="83">
        <v>23157375.896848805</v>
      </c>
      <c r="O874" s="83" t="s">
        <v>1357</v>
      </c>
      <c r="P874" s="84">
        <f t="shared" si="22"/>
        <v>-1.9036091549295753E-2</v>
      </c>
    </row>
    <row r="875" spans="2:16" ht="15" customHeight="1">
      <c r="B875" s="83">
        <v>340.91862509382048</v>
      </c>
      <c r="C875" s="83">
        <v>343.7800061951844</v>
      </c>
      <c r="D875" s="83">
        <v>338.92432917468807</v>
      </c>
      <c r="E875" s="83">
        <v>342.64219775050066</v>
      </c>
      <c r="F875" s="83">
        <v>4705150.8705297643</v>
      </c>
      <c r="G875" s="83" t="s">
        <v>1356</v>
      </c>
      <c r="H875" s="84">
        <f t="shared" si="21"/>
        <v>-5.0302404899212894E-3</v>
      </c>
      <c r="J875" s="83">
        <v>90.323100559274749</v>
      </c>
      <c r="K875" s="83">
        <v>91.207841473843914</v>
      </c>
      <c r="L875" s="83">
        <v>89.478123281315447</v>
      </c>
      <c r="M875" s="83">
        <v>90.661091470458487</v>
      </c>
      <c r="N875" s="83">
        <v>48773715.015783258</v>
      </c>
      <c r="O875" s="83" t="s">
        <v>1356</v>
      </c>
      <c r="P875" s="84">
        <f t="shared" si="22"/>
        <v>-3.7280701754387469E-3</v>
      </c>
    </row>
    <row r="876" spans="2:16" ht="15" customHeight="1">
      <c r="B876" s="83">
        <v>345.03246256951883</v>
      </c>
      <c r="C876" s="83">
        <v>349.95557954863324</v>
      </c>
      <c r="D876" s="83">
        <v>343.42353784248922</v>
      </c>
      <c r="E876" s="83">
        <v>349.2137400038352</v>
      </c>
      <c r="F876" s="83">
        <v>5321365.0683377795</v>
      </c>
      <c r="G876" s="83" t="s">
        <v>1355</v>
      </c>
      <c r="H876" s="84">
        <f t="shared" si="21"/>
        <v>-1.1973404695561074E-2</v>
      </c>
      <c r="J876" s="83">
        <v>90.661091470458487</v>
      </c>
      <c r="K876" s="83">
        <v>93.474368760605387</v>
      </c>
      <c r="L876" s="83">
        <v>89.895641465718867</v>
      </c>
      <c r="M876" s="83">
        <v>92.987264212134718</v>
      </c>
      <c r="N876" s="83">
        <v>28466969.736857377</v>
      </c>
      <c r="O876" s="83" t="s">
        <v>1355</v>
      </c>
      <c r="P876" s="84">
        <f t="shared" si="22"/>
        <v>-2.5016035920461754E-2</v>
      </c>
    </row>
    <row r="877" spans="2:16" ht="15" customHeight="1">
      <c r="B877" s="83">
        <v>353.73221723124158</v>
      </c>
      <c r="C877" s="83">
        <v>359.16595103989226</v>
      </c>
      <c r="D877" s="83">
        <v>350.92864180869304</v>
      </c>
      <c r="E877" s="83">
        <v>355.60126751294058</v>
      </c>
      <c r="F877" s="83">
        <v>4885798.5199301215</v>
      </c>
      <c r="G877" s="83" t="s">
        <v>1354</v>
      </c>
      <c r="H877" s="84">
        <f t="shared" si="21"/>
        <v>-5.2560281766458328E-3</v>
      </c>
      <c r="J877" s="83">
        <v>94.746805132120585</v>
      </c>
      <c r="K877" s="83">
        <v>96.645518780240934</v>
      </c>
      <c r="L877" s="83">
        <v>93.384900578233214</v>
      </c>
      <c r="M877" s="83">
        <v>94.97544604262724</v>
      </c>
      <c r="N877" s="83">
        <v>26610180.813740868</v>
      </c>
      <c r="O877" s="83" t="s">
        <v>1354</v>
      </c>
      <c r="P877" s="84">
        <f t="shared" si="22"/>
        <v>-2.4073686414068929E-3</v>
      </c>
    </row>
    <row r="878" spans="2:16" ht="15" customHeight="1">
      <c r="B878" s="83">
        <v>355.88066162721515</v>
      </c>
      <c r="C878" s="83">
        <v>363.39539987322149</v>
      </c>
      <c r="D878" s="83">
        <v>353.38634658632918</v>
      </c>
      <c r="E878" s="83">
        <v>363.31832563480089</v>
      </c>
      <c r="F878" s="83">
        <v>6395729.7548643742</v>
      </c>
      <c r="G878" s="83" t="s">
        <v>1353</v>
      </c>
      <c r="H878" s="84">
        <f t="shared" si="21"/>
        <v>-2.0471480469889336E-2</v>
      </c>
      <c r="J878" s="83">
        <v>95.283614226353563</v>
      </c>
      <c r="K878" s="83">
        <v>99.210273341576269</v>
      </c>
      <c r="L878" s="83">
        <v>94.816391496187819</v>
      </c>
      <c r="M878" s="83">
        <v>97.49049605820025</v>
      </c>
      <c r="N878" s="83">
        <v>34995312.266164526</v>
      </c>
      <c r="O878" s="83" t="s">
        <v>1353</v>
      </c>
      <c r="P878" s="84">
        <f t="shared" si="22"/>
        <v>-2.2636892015907017E-2</v>
      </c>
    </row>
    <row r="879" spans="2:16" ht="15" customHeight="1">
      <c r="B879" s="83">
        <v>353.2697718007181</v>
      </c>
      <c r="C879" s="83">
        <v>353.2697718007181</v>
      </c>
      <c r="D879" s="83">
        <v>348.35628910140622</v>
      </c>
      <c r="E879" s="83">
        <v>349.03068868758629</v>
      </c>
      <c r="F879" s="83">
        <v>3058055.2572423751</v>
      </c>
      <c r="G879" s="83" t="s">
        <v>1352</v>
      </c>
      <c r="H879" s="84">
        <f t="shared" si="21"/>
        <v>1.2145301976371981E-2</v>
      </c>
      <c r="J879" s="83">
        <v>93.007146030439642</v>
      </c>
      <c r="K879" s="83">
        <v>93.319787623284583</v>
      </c>
      <c r="L879" s="83">
        <v>91.356955111130858</v>
      </c>
      <c r="M879" s="83">
        <v>92.539923300273912</v>
      </c>
      <c r="N879" s="83">
        <v>27543706.093740147</v>
      </c>
      <c r="O879" s="83" t="s">
        <v>1352</v>
      </c>
      <c r="P879" s="84">
        <f t="shared" si="22"/>
        <v>5.0488774304435768E-3</v>
      </c>
    </row>
    <row r="880" spans="2:16" ht="15" customHeight="1">
      <c r="B880" s="83">
        <v>348.29848342259078</v>
      </c>
      <c r="C880" s="83">
        <v>352.07531379079518</v>
      </c>
      <c r="D880" s="83">
        <v>348.1253554145386</v>
      </c>
      <c r="E880" s="83">
        <v>349.72435683337147</v>
      </c>
      <c r="F880" s="83">
        <v>4433496.9375288524</v>
      </c>
      <c r="G880" s="83" t="s">
        <v>1351</v>
      </c>
      <c r="H880" s="84">
        <f t="shared" ref="H880:H943" si="23">B880/E880-1</f>
        <v>-4.077134986225972E-3</v>
      </c>
      <c r="J880" s="83">
        <v>92.520041481968974</v>
      </c>
      <c r="K880" s="83">
        <v>93.931650581618655</v>
      </c>
      <c r="L880" s="83">
        <v>92.470336936206664</v>
      </c>
      <c r="M880" s="83">
        <v>93.34513694162338</v>
      </c>
      <c r="N880" s="83">
        <v>22015398.857737869</v>
      </c>
      <c r="O880" s="83" t="s">
        <v>1351</v>
      </c>
      <c r="P880" s="84">
        <f t="shared" ref="P880:P943" si="24">J880/M880-1</f>
        <v>-8.839190628328164E-3</v>
      </c>
    </row>
    <row r="881" spans="2:16" ht="15" customHeight="1">
      <c r="B881" s="83">
        <v>350.86120185007502</v>
      </c>
      <c r="C881" s="83">
        <v>351.79572699092449</v>
      </c>
      <c r="D881" s="83">
        <v>348.37555766101138</v>
      </c>
      <c r="E881" s="83">
        <v>349.84960247080494</v>
      </c>
      <c r="F881" s="83">
        <v>3741344.5258644498</v>
      </c>
      <c r="G881" s="83" t="s">
        <v>1350</v>
      </c>
      <c r="H881" s="84">
        <f t="shared" si="23"/>
        <v>2.8915264505824378E-3</v>
      </c>
      <c r="J881" s="83">
        <v>93.39484148738569</v>
      </c>
      <c r="K881" s="83">
        <v>95.303496044658502</v>
      </c>
      <c r="L881" s="83">
        <v>93.245727850098746</v>
      </c>
      <c r="M881" s="83">
        <v>95.124559679914157</v>
      </c>
      <c r="N881" s="83">
        <v>25745363.535145141</v>
      </c>
      <c r="O881" s="83" t="s">
        <v>1350</v>
      </c>
      <c r="P881" s="84">
        <f t="shared" si="24"/>
        <v>-1.8183718256870929E-2</v>
      </c>
    </row>
    <row r="882" spans="2:16" ht="15" customHeight="1">
      <c r="B882" s="83">
        <v>348.11543210634193</v>
      </c>
      <c r="C882" s="83">
        <v>350.31204790132841</v>
      </c>
      <c r="D882" s="83">
        <v>347.1327355664796</v>
      </c>
      <c r="E882" s="83">
        <v>347.84567227186994</v>
      </c>
      <c r="F882" s="83">
        <v>3464687.6241946043</v>
      </c>
      <c r="G882" s="83" t="s">
        <v>1349</v>
      </c>
      <c r="H882" s="84">
        <f t="shared" si="23"/>
        <v>7.7551585652946287E-4</v>
      </c>
      <c r="J882" s="83">
        <v>94.587750585681192</v>
      </c>
      <c r="K882" s="83">
        <v>96.734986962613107</v>
      </c>
      <c r="L882" s="83">
        <v>94.46348922127541</v>
      </c>
      <c r="M882" s="83">
        <v>96.198177868380114</v>
      </c>
      <c r="N882" s="83">
        <v>26806277.566070314</v>
      </c>
      <c r="O882" s="83" t="s">
        <v>1349</v>
      </c>
      <c r="P882" s="84">
        <f t="shared" si="24"/>
        <v>-1.6740725431435233E-2</v>
      </c>
    </row>
    <row r="883" spans="2:16" ht="15" customHeight="1">
      <c r="B883" s="83">
        <v>348.78983169252194</v>
      </c>
      <c r="C883" s="83">
        <v>354.1657598223573</v>
      </c>
      <c r="D883" s="83">
        <v>346.76759636196209</v>
      </c>
      <c r="E883" s="83">
        <v>353.6647772726235</v>
      </c>
      <c r="F883" s="83">
        <v>4059504.2703200369</v>
      </c>
      <c r="G883" s="83" t="s">
        <v>1348</v>
      </c>
      <c r="H883" s="84">
        <f t="shared" si="23"/>
        <v>-1.3784085646571742E-2</v>
      </c>
      <c r="J883" s="83">
        <v>96.734986962613107</v>
      </c>
      <c r="K883" s="83">
        <v>99.617850616827226</v>
      </c>
      <c r="L883" s="83">
        <v>96.188634595593768</v>
      </c>
      <c r="M883" s="83">
        <v>99.081041522594262</v>
      </c>
      <c r="N883" s="83">
        <v>21001723.966895137</v>
      </c>
      <c r="O883" s="83" t="s">
        <v>1348</v>
      </c>
      <c r="P883" s="84">
        <f t="shared" si="24"/>
        <v>-2.3678137854921122E-2</v>
      </c>
    </row>
    <row r="884" spans="2:16" ht="15" customHeight="1">
      <c r="B884" s="83">
        <v>353.90563426768784</v>
      </c>
      <c r="C884" s="83">
        <v>358.57825997193538</v>
      </c>
      <c r="D884" s="83">
        <v>352.60500649434061</v>
      </c>
      <c r="E884" s="83">
        <v>357.70154050990129</v>
      </c>
      <c r="F884" s="83">
        <v>3847711.5840151175</v>
      </c>
      <c r="G884" s="83" t="s">
        <v>1347</v>
      </c>
      <c r="H884" s="84">
        <f t="shared" si="23"/>
        <v>-1.061193708252528E-2</v>
      </c>
      <c r="J884" s="83">
        <v>99.279859705643517</v>
      </c>
      <c r="K884" s="83">
        <v>101.14865121721495</v>
      </c>
      <c r="L884" s="83">
        <v>98.767902884291701</v>
      </c>
      <c r="M884" s="83">
        <v>99.225184705304969</v>
      </c>
      <c r="N884" s="83">
        <v>20074165.947947156</v>
      </c>
      <c r="O884" s="83" t="s">
        <v>1347</v>
      </c>
      <c r="P884" s="84">
        <f t="shared" si="24"/>
        <v>5.5101938586399335E-4</v>
      </c>
    </row>
    <row r="885" spans="2:16" ht="15" customHeight="1">
      <c r="B885" s="83">
        <v>360.32206461620092</v>
      </c>
      <c r="C885" s="83">
        <v>361.16988123882732</v>
      </c>
      <c r="D885" s="83">
        <v>356.1407871818846</v>
      </c>
      <c r="E885" s="83">
        <v>356.1407871818846</v>
      </c>
      <c r="F885" s="83">
        <v>3732488.6485442561</v>
      </c>
      <c r="G885" s="83" t="s">
        <v>1346</v>
      </c>
      <c r="H885" s="84">
        <f t="shared" si="23"/>
        <v>1.1740518314126369E-2</v>
      </c>
      <c r="J885" s="83">
        <v>100.23418698427992</v>
      </c>
      <c r="K885" s="83">
        <v>100.55229607715873</v>
      </c>
      <c r="L885" s="83">
        <v>98.583996064971132</v>
      </c>
      <c r="M885" s="83">
        <v>98.782814248020387</v>
      </c>
      <c r="N885" s="83">
        <v>18933406.101329826</v>
      </c>
      <c r="O885" s="83" t="s">
        <v>1346</v>
      </c>
      <c r="P885" s="84">
        <f t="shared" si="24"/>
        <v>1.4692563147831406E-2</v>
      </c>
    </row>
    <row r="886" spans="2:16" ht="15" customHeight="1">
      <c r="B886" s="83">
        <v>360.84231572553983</v>
      </c>
      <c r="C886" s="83">
        <v>363.21234855697259</v>
      </c>
      <c r="D886" s="83">
        <v>358.44338005469939</v>
      </c>
      <c r="E886" s="83">
        <v>362.12367493928195</v>
      </c>
      <c r="F886" s="83">
        <v>4783572.9233954372</v>
      </c>
      <c r="G886" s="83" t="s">
        <v>1345</v>
      </c>
      <c r="H886" s="84">
        <f t="shared" si="23"/>
        <v>-3.5384574453933837E-3</v>
      </c>
      <c r="J886" s="83">
        <v>100.68152789614074</v>
      </c>
      <c r="K886" s="83">
        <v>101.98378699511333</v>
      </c>
      <c r="L886" s="83">
        <v>100.07513243784052</v>
      </c>
      <c r="M886" s="83">
        <v>100.80081880597029</v>
      </c>
      <c r="N886" s="83">
        <v>21900950.573124167</v>
      </c>
      <c r="O886" s="83" t="s">
        <v>1345</v>
      </c>
      <c r="P886" s="84">
        <f t="shared" si="24"/>
        <v>-1.1834319526627946E-3</v>
      </c>
    </row>
    <row r="887" spans="2:16" ht="15" customHeight="1">
      <c r="B887" s="83">
        <v>360.79414432652698</v>
      </c>
      <c r="C887" s="83">
        <v>360.89048712455269</v>
      </c>
      <c r="D887" s="83">
        <v>348.42372906002424</v>
      </c>
      <c r="E887" s="83">
        <v>350.15789942448725</v>
      </c>
      <c r="F887" s="83">
        <v>4929099.109963703</v>
      </c>
      <c r="G887" s="83" t="s">
        <v>1344</v>
      </c>
      <c r="H887" s="84">
        <f t="shared" si="23"/>
        <v>3.0375567478332588E-2</v>
      </c>
      <c r="J887" s="83">
        <v>100.8505233517326</v>
      </c>
      <c r="K887" s="83">
        <v>100.8505233517326</v>
      </c>
      <c r="L887" s="83">
        <v>94.110586946362986</v>
      </c>
      <c r="M887" s="83">
        <v>94.557927858223806</v>
      </c>
      <c r="N887" s="83">
        <v>40125177.072077923</v>
      </c>
      <c r="O887" s="83" t="s">
        <v>1344</v>
      </c>
      <c r="P887" s="84">
        <f t="shared" si="24"/>
        <v>6.6547518923465221E-2</v>
      </c>
    </row>
    <row r="888" spans="2:16" ht="15" customHeight="1">
      <c r="B888" s="83">
        <v>350.02301950725126</v>
      </c>
      <c r="C888" s="83">
        <v>351.82462983033224</v>
      </c>
      <c r="D888" s="83">
        <v>348.25994630338056</v>
      </c>
      <c r="E888" s="83">
        <v>350.62034485501073</v>
      </c>
      <c r="F888" s="83">
        <v>2602965.7134625264</v>
      </c>
      <c r="G888" s="83" t="s">
        <v>1343</v>
      </c>
      <c r="H888" s="84">
        <f t="shared" si="23"/>
        <v>-1.7036243233587989E-3</v>
      </c>
      <c r="J888" s="83">
        <v>94.876036951102606</v>
      </c>
      <c r="K888" s="83">
        <v>95.820522729678075</v>
      </c>
      <c r="L888" s="83">
        <v>93.832241490094034</v>
      </c>
      <c r="M888" s="83">
        <v>95.432727863640508</v>
      </c>
      <c r="N888" s="83">
        <v>20340198.95956007</v>
      </c>
      <c r="O888" s="83" t="s">
        <v>1343</v>
      </c>
      <c r="P888" s="84">
        <f t="shared" si="24"/>
        <v>-5.833333333333357E-3</v>
      </c>
    </row>
    <row r="889" spans="2:16" ht="15" customHeight="1">
      <c r="B889" s="83">
        <v>350.63961341461584</v>
      </c>
      <c r="C889" s="83">
        <v>354.90759936715534</v>
      </c>
      <c r="D889" s="83">
        <v>349.86887103041005</v>
      </c>
      <c r="E889" s="83">
        <v>353.44318883716437</v>
      </c>
      <c r="F889" s="83">
        <v>3692025.8419838818</v>
      </c>
      <c r="G889" s="83" t="s">
        <v>1342</v>
      </c>
      <c r="H889" s="84">
        <f t="shared" si="23"/>
        <v>-7.932181213542E-3</v>
      </c>
      <c r="J889" s="83">
        <v>95.681250592452074</v>
      </c>
      <c r="K889" s="83">
        <v>97.251914238541147</v>
      </c>
      <c r="L889" s="83">
        <v>95.323377862963412</v>
      </c>
      <c r="M889" s="83">
        <v>96.62563696193601</v>
      </c>
      <c r="N889" s="83">
        <v>20100751.041518256</v>
      </c>
      <c r="O889" s="83" t="s">
        <v>1342</v>
      </c>
      <c r="P889" s="84">
        <f t="shared" si="24"/>
        <v>-9.7736625514402986E-3</v>
      </c>
    </row>
    <row r="890" spans="2:16" ht="15" customHeight="1">
      <c r="B890" s="83">
        <v>356.2756670991206</v>
      </c>
      <c r="C890" s="83">
        <v>356.79591820845945</v>
      </c>
      <c r="D890" s="83">
        <v>355.56273039373025</v>
      </c>
      <c r="E890" s="83">
        <v>355.88066162721515</v>
      </c>
      <c r="F890" s="83">
        <v>1477478.3680456949</v>
      </c>
      <c r="G890" s="83" t="s">
        <v>1341</v>
      </c>
      <c r="H890" s="84">
        <f t="shared" si="23"/>
        <v>1.109938005901645E-3</v>
      </c>
      <c r="J890" s="83">
        <v>97.023273328034506</v>
      </c>
      <c r="K890" s="83">
        <v>98.35535515446449</v>
      </c>
      <c r="L890" s="83">
        <v>96.953686963967272</v>
      </c>
      <c r="M890" s="83">
        <v>97.883161969722522</v>
      </c>
      <c r="N890" s="83">
        <v>8618747.9118824732</v>
      </c>
      <c r="O890" s="83" t="s">
        <v>1341</v>
      </c>
      <c r="P890" s="84">
        <f t="shared" si="24"/>
        <v>-8.7848474077083516E-3</v>
      </c>
    </row>
    <row r="891" spans="2:16" ht="15" customHeight="1">
      <c r="B891" s="83">
        <v>356.31420421833087</v>
      </c>
      <c r="C891" s="83">
        <v>356.81509042526659</v>
      </c>
      <c r="D891" s="83">
        <v>353.59974588395613</v>
      </c>
      <c r="E891" s="83">
        <v>353.78038863025438</v>
      </c>
      <c r="F891" s="83">
        <v>2689208.7972245491</v>
      </c>
      <c r="G891" s="83" t="s">
        <v>1340</v>
      </c>
      <c r="H891" s="84">
        <f t="shared" si="23"/>
        <v>7.1621143215054861E-3</v>
      </c>
      <c r="J891" s="83">
        <v>98.236064244634932</v>
      </c>
      <c r="K891" s="83">
        <v>98.483095837073634</v>
      </c>
      <c r="L891" s="83">
        <v>96.764809690070493</v>
      </c>
      <c r="M891" s="83">
        <v>96.764809690070493</v>
      </c>
      <c r="N891" s="83">
        <v>17673291.980188612</v>
      </c>
      <c r="O891" s="83" t="s">
        <v>1340</v>
      </c>
      <c r="P891" s="84">
        <f t="shared" si="24"/>
        <v>1.5204438052188074E-2</v>
      </c>
    </row>
    <row r="892" spans="2:16" ht="15" customHeight="1">
      <c r="B892" s="83">
        <v>354.09831986373928</v>
      </c>
      <c r="C892" s="83">
        <v>354.23319978097533</v>
      </c>
      <c r="D892" s="83">
        <v>349.92667670922549</v>
      </c>
      <c r="E892" s="83">
        <v>351.17913308355992</v>
      </c>
      <c r="F892" s="83">
        <v>2403878.6992481472</v>
      </c>
      <c r="G892" s="83" t="s">
        <v>1339</v>
      </c>
      <c r="H892" s="84">
        <f t="shared" si="23"/>
        <v>8.3125291487200492E-3</v>
      </c>
      <c r="J892" s="83">
        <v>96.754868780918017</v>
      </c>
      <c r="K892" s="83">
        <v>96.971083554984091</v>
      </c>
      <c r="L892" s="83">
        <v>93.852123308398959</v>
      </c>
      <c r="M892" s="83">
        <v>95.591782410079901</v>
      </c>
      <c r="N892" s="83">
        <v>18981010.399160348</v>
      </c>
      <c r="O892" s="83" t="s">
        <v>1339</v>
      </c>
      <c r="P892" s="84">
        <f t="shared" si="24"/>
        <v>1.2167221297836983E-2</v>
      </c>
    </row>
    <row r="893" spans="2:16" ht="15" customHeight="1">
      <c r="B893" s="83">
        <v>349.44496271909691</v>
      </c>
      <c r="C893" s="83">
        <v>350.4359447395895</v>
      </c>
      <c r="D893" s="83">
        <v>347.67225523542362</v>
      </c>
      <c r="E893" s="83">
        <v>349.50276839791235</v>
      </c>
      <c r="F893" s="83">
        <v>2488899.0657711653</v>
      </c>
      <c r="G893" s="83" t="s">
        <v>1338</v>
      </c>
      <c r="H893" s="84">
        <f t="shared" si="23"/>
        <v>-1.6539405132731666E-4</v>
      </c>
      <c r="J893" s="83">
        <v>95.263732408048639</v>
      </c>
      <c r="K893" s="83">
        <v>98.136655153110311</v>
      </c>
      <c r="L893" s="83">
        <v>95.104677861609247</v>
      </c>
      <c r="M893" s="83">
        <v>96.983509691424672</v>
      </c>
      <c r="N893" s="83">
        <v>18808012.137771551</v>
      </c>
      <c r="O893" s="83" t="s">
        <v>1338</v>
      </c>
      <c r="P893" s="84">
        <f t="shared" si="24"/>
        <v>-1.7732677326773416E-2</v>
      </c>
    </row>
    <row r="894" spans="2:16" ht="15" customHeight="1">
      <c r="B894" s="83">
        <v>350.67815053382617</v>
      </c>
      <c r="C894" s="83">
        <v>352.21963530223769</v>
      </c>
      <c r="D894" s="83">
        <v>348.01908930831621</v>
      </c>
      <c r="E894" s="83">
        <v>352.09438966480423</v>
      </c>
      <c r="F894" s="83">
        <v>2672093.8697593976</v>
      </c>
      <c r="G894" s="83" t="s">
        <v>1337</v>
      </c>
      <c r="H894" s="84">
        <f t="shared" si="23"/>
        <v>-4.0223280249547244E-3</v>
      </c>
      <c r="J894" s="83">
        <v>97.222091511083761</v>
      </c>
      <c r="K894" s="83">
        <v>98.57405515581867</v>
      </c>
      <c r="L894" s="83">
        <v>96.168355140922728</v>
      </c>
      <c r="M894" s="83">
        <v>98.424941518531739</v>
      </c>
      <c r="N894" s="83">
        <v>25118306.200207539</v>
      </c>
      <c r="O894" s="83" t="s">
        <v>1337</v>
      </c>
      <c r="P894" s="84">
        <f t="shared" si="24"/>
        <v>-1.222098777901226E-2</v>
      </c>
    </row>
    <row r="895" spans="2:16" ht="15" customHeight="1">
      <c r="B895" s="83">
        <v>349.13666576541459</v>
      </c>
      <c r="C895" s="83">
        <v>349.71472255356895</v>
      </c>
      <c r="D895" s="83">
        <v>345.45155374093071</v>
      </c>
      <c r="E895" s="83">
        <v>345.67795931629115</v>
      </c>
      <c r="F895" s="83">
        <v>3409101.7359939087</v>
      </c>
      <c r="G895" s="83" t="s">
        <v>1336</v>
      </c>
      <c r="H895" s="84">
        <f t="shared" si="23"/>
        <v>1.0005574136008999E-2</v>
      </c>
      <c r="J895" s="83">
        <v>97.917955151756146</v>
      </c>
      <c r="K895" s="83">
        <v>98.892164248697483</v>
      </c>
      <c r="L895" s="83">
        <v>96.526227870411375</v>
      </c>
      <c r="M895" s="83">
        <v>96.605755143631086</v>
      </c>
      <c r="N895" s="83">
        <v>21948427.11604007</v>
      </c>
      <c r="O895" s="83" t="s">
        <v>1336</v>
      </c>
      <c r="P895" s="84">
        <f t="shared" si="24"/>
        <v>1.3583041778143734E-2</v>
      </c>
    </row>
    <row r="896" spans="2:16" ht="15" customHeight="1">
      <c r="B896" s="83">
        <v>350.14826514468467</v>
      </c>
      <c r="C896" s="83">
        <v>352.15219534361967</v>
      </c>
      <c r="D896" s="83">
        <v>349.57984263633296</v>
      </c>
      <c r="E896" s="83">
        <v>351.36218439980877</v>
      </c>
      <c r="F896" s="83">
        <v>2859708.3087252881</v>
      </c>
      <c r="G896" s="83" t="s">
        <v>1335</v>
      </c>
      <c r="H896" s="84">
        <f t="shared" si="23"/>
        <v>-3.4548944337812193E-3</v>
      </c>
      <c r="J896" s="83">
        <v>98.405059700226801</v>
      </c>
      <c r="K896" s="83">
        <v>99.259977887338579</v>
      </c>
      <c r="L896" s="83">
        <v>97.322991738981258</v>
      </c>
      <c r="M896" s="83">
        <v>97.44079151243794</v>
      </c>
      <c r="N896" s="83">
        <v>24806780.367660034</v>
      </c>
      <c r="O896" s="83" t="s">
        <v>1335</v>
      </c>
      <c r="P896" s="84">
        <f t="shared" si="24"/>
        <v>9.8959396041622405E-3</v>
      </c>
    </row>
    <row r="897" spans="2:16" ht="15" customHeight="1">
      <c r="B897" s="83">
        <v>352.8265949297998</v>
      </c>
      <c r="C897" s="83">
        <v>356.21978827626572</v>
      </c>
      <c r="D897" s="83">
        <v>349.32935136146602</v>
      </c>
      <c r="E897" s="83">
        <v>355.1677249218248</v>
      </c>
      <c r="F897" s="83">
        <v>4772333.8892155197</v>
      </c>
      <c r="G897" s="83" t="s">
        <v>1334</v>
      </c>
      <c r="H897" s="84">
        <f t="shared" si="23"/>
        <v>-6.5916180659160162E-3</v>
      </c>
      <c r="J897" s="83">
        <v>98.136655153110311</v>
      </c>
      <c r="K897" s="83">
        <v>99.826609709028958</v>
      </c>
      <c r="L897" s="83">
        <v>96.446700597191679</v>
      </c>
      <c r="M897" s="83">
        <v>98.086950607348001</v>
      </c>
      <c r="N897" s="83">
        <v>32020178.951253027</v>
      </c>
      <c r="O897" s="83" t="s">
        <v>1334</v>
      </c>
      <c r="P897" s="84">
        <f t="shared" si="24"/>
        <v>5.067396371742916E-4</v>
      </c>
    </row>
    <row r="898" spans="2:16" ht="15" customHeight="1">
      <c r="B898" s="83">
        <v>349.93631098902813</v>
      </c>
      <c r="C898" s="83">
        <v>354.33917685880363</v>
      </c>
      <c r="D898" s="83">
        <v>349.61837975554317</v>
      </c>
      <c r="E898" s="83">
        <v>351.2369387623753</v>
      </c>
      <c r="F898" s="83">
        <v>5474526.4909078442</v>
      </c>
      <c r="G898" s="83" t="s">
        <v>1333</v>
      </c>
      <c r="H898" s="84">
        <f t="shared" si="23"/>
        <v>-3.7029925665851282E-3</v>
      </c>
      <c r="J898" s="83">
        <v>95.462550591097894</v>
      </c>
      <c r="K898" s="83">
        <v>96.605755143631086</v>
      </c>
      <c r="L898" s="83">
        <v>94.550472176359449</v>
      </c>
      <c r="M898" s="83">
        <v>94.935682406017378</v>
      </c>
      <c r="N898" s="83">
        <v>24313747.997599006</v>
      </c>
      <c r="O898" s="83" t="s">
        <v>1333</v>
      </c>
      <c r="P898" s="84">
        <f t="shared" si="24"/>
        <v>5.5497382198952394E-3</v>
      </c>
    </row>
    <row r="899" spans="2:16" ht="15" customHeight="1">
      <c r="B899" s="83">
        <v>352.76878925098436</v>
      </c>
      <c r="C899" s="83">
        <v>353.59733731400553</v>
      </c>
      <c r="D899" s="83">
        <v>348.51043757824743</v>
      </c>
      <c r="E899" s="83">
        <v>350.38912213974896</v>
      </c>
      <c r="F899" s="83">
        <v>5062532.0210212357</v>
      </c>
      <c r="G899" s="83" t="s">
        <v>1332</v>
      </c>
      <c r="H899" s="84">
        <f t="shared" si="23"/>
        <v>6.7914982540075997E-3</v>
      </c>
      <c r="J899" s="83">
        <v>96.15841423177028</v>
      </c>
      <c r="K899" s="83">
        <v>96.784691508375417</v>
      </c>
      <c r="L899" s="83">
        <v>93.603600579587393</v>
      </c>
      <c r="M899" s="83">
        <v>94.150350582972834</v>
      </c>
      <c r="N899" s="83">
        <v>30750821.208769873</v>
      </c>
      <c r="O899" s="83" t="s">
        <v>1332</v>
      </c>
      <c r="P899" s="84">
        <f t="shared" si="24"/>
        <v>2.1328265230704302E-2</v>
      </c>
    </row>
    <row r="900" spans="2:16" ht="15" customHeight="1">
      <c r="B900" s="83">
        <v>349.42569415949174</v>
      </c>
      <c r="C900" s="83">
        <v>349.73399111317406</v>
      </c>
      <c r="D900" s="83">
        <v>341.44851048296198</v>
      </c>
      <c r="E900" s="83">
        <v>343.48134352130467</v>
      </c>
      <c r="F900" s="83">
        <v>4778387.2737128669</v>
      </c>
      <c r="G900" s="83" t="s">
        <v>1331</v>
      </c>
      <c r="H900" s="84">
        <f t="shared" si="23"/>
        <v>1.7306181981375568E-2</v>
      </c>
      <c r="J900" s="83">
        <v>93.613541488739855</v>
      </c>
      <c r="K900" s="83">
        <v>93.991296036533427</v>
      </c>
      <c r="L900" s="83">
        <v>91.108432382319293</v>
      </c>
      <c r="M900" s="83">
        <v>91.794355113839217</v>
      </c>
      <c r="N900" s="83">
        <v>42623079.388572663</v>
      </c>
      <c r="O900" s="83" t="s">
        <v>1331</v>
      </c>
      <c r="P900" s="84">
        <f t="shared" si="24"/>
        <v>1.9818063677712772E-2</v>
      </c>
    </row>
    <row r="901" spans="2:16" ht="15" customHeight="1">
      <c r="B901" s="83">
        <v>331.29397957105084</v>
      </c>
      <c r="C901" s="83">
        <v>337.41174724568424</v>
      </c>
      <c r="D901" s="83">
        <v>330.80080078795714</v>
      </c>
      <c r="E901" s="83">
        <v>336.31343934819097</v>
      </c>
      <c r="F901" s="83">
        <v>3706341.390507102</v>
      </c>
      <c r="G901" s="83" t="s">
        <v>1330</v>
      </c>
      <c r="H901" s="84">
        <f t="shared" si="23"/>
        <v>-1.492494557121582E-2</v>
      </c>
      <c r="J901" s="83">
        <v>86.883545992522713</v>
      </c>
      <c r="K901" s="83">
        <v>88.961196005387379</v>
      </c>
      <c r="L901" s="83">
        <v>86.843682946821332</v>
      </c>
      <c r="M901" s="83">
        <v>88.02178009047968</v>
      </c>
      <c r="N901" s="83">
        <v>26902854.245856408</v>
      </c>
      <c r="O901" s="83" t="s">
        <v>1330</v>
      </c>
      <c r="P901" s="84">
        <f t="shared" si="24"/>
        <v>-1.2931277881303327E-2</v>
      </c>
    </row>
    <row r="902" spans="2:16" ht="15" customHeight="1">
      <c r="B902" s="83">
        <v>338.20175818949514</v>
      </c>
      <c r="C902" s="83">
        <v>340.92825937362306</v>
      </c>
      <c r="D902" s="83">
        <v>334.38658338767652</v>
      </c>
      <c r="E902" s="83">
        <v>337.4021129658816</v>
      </c>
      <c r="F902" s="83">
        <v>3360080.9467208064</v>
      </c>
      <c r="G902" s="83" t="s">
        <v>1329</v>
      </c>
      <c r="H902" s="84">
        <f t="shared" si="23"/>
        <v>2.3700065674883142E-3</v>
      </c>
      <c r="J902" s="83">
        <v>88.384623274544552</v>
      </c>
      <c r="K902" s="83">
        <v>89.870789192837705</v>
      </c>
      <c r="L902" s="83">
        <v>87.132068721334278</v>
      </c>
      <c r="M902" s="83">
        <v>88.633146003356117</v>
      </c>
      <c r="N902" s="83">
        <v>30351349.697754577</v>
      </c>
      <c r="O902" s="83" t="s">
        <v>1329</v>
      </c>
      <c r="P902" s="84">
        <f t="shared" si="24"/>
        <v>-2.8039479587258498E-3</v>
      </c>
    </row>
    <row r="903" spans="2:16" ht="15" customHeight="1">
      <c r="B903" s="83">
        <v>336.37124502700641</v>
      </c>
      <c r="C903" s="83">
        <v>336.92039897575302</v>
      </c>
      <c r="D903" s="83">
        <v>332.47899598676725</v>
      </c>
      <c r="E903" s="83">
        <v>334.36731482807141</v>
      </c>
      <c r="F903" s="83">
        <v>3442496.0328788823</v>
      </c>
      <c r="G903" s="83" t="s">
        <v>1328</v>
      </c>
      <c r="H903" s="84">
        <f t="shared" si="23"/>
        <v>5.9932000230507043E-3</v>
      </c>
      <c r="J903" s="83">
        <v>88.126159636580539</v>
      </c>
      <c r="K903" s="83">
        <v>88.414446002001938</v>
      </c>
      <c r="L903" s="83">
        <v>86.446145989814354</v>
      </c>
      <c r="M903" s="83">
        <v>86.82390053760794</v>
      </c>
      <c r="N903" s="83">
        <v>27059777.518775925</v>
      </c>
      <c r="O903" s="83" t="s">
        <v>1328</v>
      </c>
      <c r="P903" s="84">
        <f t="shared" si="24"/>
        <v>1.4998855049232818E-2</v>
      </c>
    </row>
    <row r="904" spans="2:16" ht="15" customHeight="1">
      <c r="B904" s="83">
        <v>333.17266413255243</v>
      </c>
      <c r="C904" s="83">
        <v>335.2922056891183</v>
      </c>
      <c r="D904" s="83">
        <v>327.56551328745542</v>
      </c>
      <c r="E904" s="83">
        <v>333.7410866409042</v>
      </c>
      <c r="F904" s="83">
        <v>3794205.7682651565</v>
      </c>
      <c r="G904" s="83" t="s">
        <v>1327</v>
      </c>
      <c r="H904" s="84">
        <f t="shared" si="23"/>
        <v>-1.7031840882192339E-3</v>
      </c>
      <c r="J904" s="83">
        <v>86.187682351850327</v>
      </c>
      <c r="K904" s="83">
        <v>86.217505079307728</v>
      </c>
      <c r="L904" s="83">
        <v>83.38434597085589</v>
      </c>
      <c r="M904" s="83">
        <v>85.004714162707288</v>
      </c>
      <c r="N904" s="83">
        <v>40412082.42009566</v>
      </c>
      <c r="O904" s="83" t="s">
        <v>1327</v>
      </c>
      <c r="P904" s="84">
        <f t="shared" si="24"/>
        <v>1.391650099403563E-2</v>
      </c>
    </row>
    <row r="905" spans="2:16" ht="15" customHeight="1">
      <c r="B905" s="83">
        <v>328.3651585110689</v>
      </c>
      <c r="C905" s="83">
        <v>331.2361738922354</v>
      </c>
      <c r="D905" s="83">
        <v>326.50574250917242</v>
      </c>
      <c r="E905" s="83">
        <v>328.85650678100006</v>
      </c>
      <c r="F905" s="83">
        <v>4706915.4030478531</v>
      </c>
      <c r="G905" s="83" t="s">
        <v>1326</v>
      </c>
      <c r="H905" s="84">
        <f t="shared" si="23"/>
        <v>-1.494111443135826E-3</v>
      </c>
      <c r="J905" s="83">
        <v>82.996650513909842</v>
      </c>
      <c r="K905" s="83">
        <v>86.038568714563397</v>
      </c>
      <c r="L905" s="83">
        <v>82.956886877300008</v>
      </c>
      <c r="M905" s="83">
        <v>85.834780076937903</v>
      </c>
      <c r="N905" s="83">
        <v>48798719.771001086</v>
      </c>
      <c r="O905" s="83" t="s">
        <v>1326</v>
      </c>
      <c r="P905" s="84">
        <f t="shared" si="24"/>
        <v>-3.3065029822224812E-2</v>
      </c>
    </row>
    <row r="906" spans="2:16" ht="15" customHeight="1">
      <c r="B906" s="83">
        <v>331.90093919861289</v>
      </c>
      <c r="C906" s="83">
        <v>344.06421744936034</v>
      </c>
      <c r="D906" s="83">
        <v>331.81423068038976</v>
      </c>
      <c r="E906" s="83">
        <v>339.87812287514265</v>
      </c>
      <c r="F906" s="83">
        <v>5213191.9592568334</v>
      </c>
      <c r="G906" s="83" t="s">
        <v>1325</v>
      </c>
      <c r="H906" s="84">
        <f t="shared" si="23"/>
        <v>-2.3470718294687831E-2</v>
      </c>
      <c r="J906" s="83">
        <v>86.555495990491437</v>
      </c>
      <c r="K906" s="83">
        <v>90.760500561983108</v>
      </c>
      <c r="L906" s="83">
        <v>86.495850535576679</v>
      </c>
      <c r="M906" s="83">
        <v>90.37280510503706</v>
      </c>
      <c r="N906" s="83">
        <v>43812442.435620643</v>
      </c>
      <c r="O906" s="83" t="s">
        <v>1325</v>
      </c>
      <c r="P906" s="84">
        <f t="shared" si="24"/>
        <v>-4.2239577604224032E-2</v>
      </c>
    </row>
    <row r="907" spans="2:16" ht="15" customHeight="1">
      <c r="B907" s="83">
        <v>340.591059580533</v>
      </c>
      <c r="C907" s="83">
        <v>345.64423933698214</v>
      </c>
      <c r="D907" s="83">
        <v>339.40604316481665</v>
      </c>
      <c r="E907" s="83">
        <v>345.41783376162169</v>
      </c>
      <c r="F907" s="83">
        <v>8318503.4732542224</v>
      </c>
      <c r="G907" s="83" t="s">
        <v>1324</v>
      </c>
      <c r="H907" s="84">
        <f t="shared" si="23"/>
        <v>-1.3973726048029489E-2</v>
      </c>
      <c r="J907" s="83">
        <v>89.965227829786102</v>
      </c>
      <c r="K907" s="83">
        <v>95.596752864656139</v>
      </c>
      <c r="L907" s="83">
        <v>89.895641465718867</v>
      </c>
      <c r="M907" s="83">
        <v>95.02515058838955</v>
      </c>
      <c r="N907" s="83">
        <v>43477511.299148567</v>
      </c>
      <c r="O907" s="83" t="s">
        <v>1324</v>
      </c>
      <c r="P907" s="84">
        <f t="shared" si="24"/>
        <v>-5.3248247724657527E-2</v>
      </c>
    </row>
    <row r="908" spans="2:16" ht="15" customHeight="1">
      <c r="B908" s="83">
        <v>341.96876159230084</v>
      </c>
      <c r="C908" s="83">
        <v>343.86671471340759</v>
      </c>
      <c r="D908" s="83">
        <v>341.10167641006939</v>
      </c>
      <c r="E908" s="83">
        <v>342.17108146815491</v>
      </c>
      <c r="F908" s="83">
        <v>6675082.2394456752</v>
      </c>
      <c r="G908" s="83" t="s">
        <v>1323</v>
      </c>
      <c r="H908" s="84">
        <f t="shared" si="23"/>
        <v>-5.9128280211750983E-4</v>
      </c>
      <c r="J908" s="83">
        <v>94.100646037210524</v>
      </c>
      <c r="K908" s="83">
        <v>95.780659683976694</v>
      </c>
      <c r="L908" s="83">
        <v>93.822300580941572</v>
      </c>
      <c r="M908" s="83">
        <v>95.214027862286329</v>
      </c>
      <c r="N908" s="83">
        <v>30046259.896260042</v>
      </c>
      <c r="O908" s="83" t="s">
        <v>1323</v>
      </c>
      <c r="P908" s="84">
        <f t="shared" si="24"/>
        <v>-1.1693464188765934E-2</v>
      </c>
    </row>
    <row r="909" spans="2:16" ht="15" customHeight="1">
      <c r="B909" s="83">
        <v>344.3098915843259</v>
      </c>
      <c r="C909" s="83">
        <v>344.88794837248025</v>
      </c>
      <c r="D909" s="83">
        <v>336.1881937107575</v>
      </c>
      <c r="E909" s="83">
        <v>336.27490222898069</v>
      </c>
      <c r="F909" s="83">
        <v>4554650.7781810993</v>
      </c>
      <c r="G909" s="83" t="s">
        <v>1322</v>
      </c>
      <c r="H909" s="84">
        <f t="shared" si="23"/>
        <v>2.3894109557643706E-2</v>
      </c>
      <c r="J909" s="83">
        <v>96.009300594483335</v>
      </c>
      <c r="K909" s="83">
        <v>96.287646050752286</v>
      </c>
      <c r="L909" s="83">
        <v>91.776958522822412</v>
      </c>
      <c r="M909" s="83">
        <v>91.983232387735995</v>
      </c>
      <c r="N909" s="83">
        <v>35909115.003990546</v>
      </c>
      <c r="O909" s="83" t="s">
        <v>1322</v>
      </c>
      <c r="P909" s="84">
        <f t="shared" si="24"/>
        <v>4.3769588241651336E-2</v>
      </c>
    </row>
    <row r="910" spans="2:16" ht="15" customHeight="1">
      <c r="B910" s="83">
        <v>336.4579535452296</v>
      </c>
      <c r="C910" s="83">
        <v>340.85118513520251</v>
      </c>
      <c r="D910" s="83">
        <v>335.84617677776623</v>
      </c>
      <c r="E910" s="83">
        <v>339.17482044955494</v>
      </c>
      <c r="F910" s="83">
        <v>4302618.4467813289</v>
      </c>
      <c r="G910" s="83" t="s">
        <v>1321</v>
      </c>
      <c r="H910" s="84">
        <f t="shared" si="23"/>
        <v>-8.0102258201959486E-3</v>
      </c>
      <c r="J910" s="83">
        <v>92.05281875180323</v>
      </c>
      <c r="K910" s="83">
        <v>94.607632403986116</v>
      </c>
      <c r="L910" s="83">
        <v>91.356955111130858</v>
      </c>
      <c r="M910" s="83">
        <v>93.752714216874338</v>
      </c>
      <c r="N910" s="83">
        <v>54357689.19245594</v>
      </c>
      <c r="O910" s="83" t="s">
        <v>1321</v>
      </c>
      <c r="P910" s="84">
        <f t="shared" si="24"/>
        <v>-1.8131693351712608E-2</v>
      </c>
    </row>
    <row r="911" spans="2:16" ht="15" customHeight="1">
      <c r="B911" s="83">
        <v>338.26919814811316</v>
      </c>
      <c r="C911" s="83">
        <v>343.14414372821471</v>
      </c>
      <c r="D911" s="83">
        <v>337.62370140134078</v>
      </c>
      <c r="E911" s="83">
        <v>337.87419267620766</v>
      </c>
      <c r="F911" s="83">
        <v>4440091.0993449781</v>
      </c>
      <c r="G911" s="83" t="s">
        <v>1320</v>
      </c>
      <c r="H911" s="84">
        <f t="shared" si="23"/>
        <v>1.1690903906473871E-3</v>
      </c>
      <c r="J911" s="83">
        <v>94.259700583649916</v>
      </c>
      <c r="K911" s="83">
        <v>97.957718788365995</v>
      </c>
      <c r="L911" s="83">
        <v>94.011177854838351</v>
      </c>
      <c r="M911" s="83">
        <v>96.188236959227666</v>
      </c>
      <c r="N911" s="83">
        <v>72097846.28425613</v>
      </c>
      <c r="O911" s="83" t="s">
        <v>1320</v>
      </c>
      <c r="P911" s="84">
        <f t="shared" si="24"/>
        <v>-2.0049607275733905E-2</v>
      </c>
    </row>
    <row r="912" spans="2:16" ht="15" customHeight="1">
      <c r="B912" s="83">
        <v>340.81264801599218</v>
      </c>
      <c r="C912" s="83">
        <v>341.08240785046422</v>
      </c>
      <c r="D912" s="83">
        <v>335.30183996892089</v>
      </c>
      <c r="E912" s="83">
        <v>335.32110852852605</v>
      </c>
      <c r="F912" s="83">
        <v>5400918.4979356388</v>
      </c>
      <c r="G912" s="83" t="s">
        <v>1319</v>
      </c>
      <c r="H912" s="84">
        <f t="shared" si="23"/>
        <v>1.6376957333716247E-2</v>
      </c>
      <c r="J912" s="83">
        <v>104.30995973678957</v>
      </c>
      <c r="K912" s="83">
        <v>104.4788557832899</v>
      </c>
      <c r="L912" s="83">
        <v>102.41124608866922</v>
      </c>
      <c r="M912" s="83">
        <v>102.68959154493817</v>
      </c>
      <c r="N912" s="83">
        <v>30087962.319412891</v>
      </c>
      <c r="O912" s="83" t="s">
        <v>1319</v>
      </c>
      <c r="P912" s="84">
        <f t="shared" si="24"/>
        <v>1.577928363988379E-2</v>
      </c>
    </row>
    <row r="913" spans="2:16" ht="15" customHeight="1">
      <c r="B913" s="83">
        <v>335.35964564773627</v>
      </c>
      <c r="C913" s="83">
        <v>336.4579535452296</v>
      </c>
      <c r="D913" s="83">
        <v>330.33055159079362</v>
      </c>
      <c r="E913" s="83">
        <v>332.81619577985725</v>
      </c>
      <c r="F913" s="83">
        <v>5853490.9879764495</v>
      </c>
      <c r="G913" s="83" t="s">
        <v>1318</v>
      </c>
      <c r="H913" s="84">
        <f t="shared" si="23"/>
        <v>7.642205818497505E-3</v>
      </c>
      <c r="J913" s="83">
        <v>102.36154154290691</v>
      </c>
      <c r="K913" s="83">
        <v>102.49077336188891</v>
      </c>
      <c r="L913" s="83">
        <v>99.707318799199399</v>
      </c>
      <c r="M913" s="83">
        <v>101.4867415374902</v>
      </c>
      <c r="N913" s="83">
        <v>24827539.032369174</v>
      </c>
      <c r="O913" s="83" t="s">
        <v>1318</v>
      </c>
      <c r="P913" s="84">
        <f t="shared" si="24"/>
        <v>8.6198452345969123E-3</v>
      </c>
    </row>
    <row r="914" spans="2:16" ht="15" customHeight="1">
      <c r="B914" s="83">
        <v>331.32288241045853</v>
      </c>
      <c r="C914" s="83">
        <v>331.79544383477469</v>
      </c>
      <c r="D914" s="83">
        <v>321.91019104334549</v>
      </c>
      <c r="E914" s="83">
        <v>323.23008737629789</v>
      </c>
      <c r="F914" s="83">
        <v>4528029.1722846711</v>
      </c>
      <c r="G914" s="83" t="s">
        <v>1317</v>
      </c>
      <c r="H914" s="84">
        <f t="shared" si="23"/>
        <v>2.5037257824143122E-2</v>
      </c>
      <c r="J914" s="83">
        <v>100.88034607918999</v>
      </c>
      <c r="K914" s="83">
        <v>101.01951880732446</v>
      </c>
      <c r="L914" s="83">
        <v>97.649550604639657</v>
      </c>
      <c r="M914" s="83">
        <v>97.878191515146284</v>
      </c>
      <c r="N914" s="83">
        <v>29161042.06909379</v>
      </c>
      <c r="O914" s="83" t="s">
        <v>1317</v>
      </c>
      <c r="P914" s="84">
        <f t="shared" si="24"/>
        <v>3.0672354255535383E-2</v>
      </c>
    </row>
    <row r="915" spans="2:16" ht="15" customHeight="1">
      <c r="B915" s="83">
        <v>323.54801860978279</v>
      </c>
      <c r="C915" s="83">
        <v>329.89700899967789</v>
      </c>
      <c r="D915" s="83">
        <v>322.79654478518216</v>
      </c>
      <c r="E915" s="83">
        <v>325.80244008358471</v>
      </c>
      <c r="F915" s="83">
        <v>3590365.9338152912</v>
      </c>
      <c r="G915" s="83" t="s">
        <v>1316</v>
      </c>
      <c r="H915" s="84">
        <f t="shared" si="23"/>
        <v>-6.9195966525712471E-3</v>
      </c>
      <c r="J915" s="83">
        <v>99.93595970970604</v>
      </c>
      <c r="K915" s="83">
        <v>102.39136427036429</v>
      </c>
      <c r="L915" s="83">
        <v>99.379268797168137</v>
      </c>
      <c r="M915" s="83">
        <v>100.22424607512745</v>
      </c>
      <c r="N915" s="83">
        <v>25274430.753424637</v>
      </c>
      <c r="O915" s="83" t="s">
        <v>1316</v>
      </c>
      <c r="P915" s="84">
        <f t="shared" si="24"/>
        <v>-2.8764134100376371E-3</v>
      </c>
    </row>
    <row r="916" spans="2:16" ht="15" customHeight="1">
      <c r="B916" s="83">
        <v>326.22634839489785</v>
      </c>
      <c r="C916" s="83">
        <v>329.17443801448496</v>
      </c>
      <c r="D916" s="83">
        <v>323.61545856840075</v>
      </c>
      <c r="E916" s="83">
        <v>326.64062242640847</v>
      </c>
      <c r="F916" s="83">
        <v>4570381.0665997043</v>
      </c>
      <c r="G916" s="83" t="s">
        <v>1315</v>
      </c>
      <c r="H916" s="84">
        <f t="shared" si="23"/>
        <v>-1.2682869277961251E-3</v>
      </c>
      <c r="J916" s="83">
        <v>99.697377890046951</v>
      </c>
      <c r="K916" s="83">
        <v>101.05848717120212</v>
      </c>
      <c r="L916" s="83">
        <v>99.046248340560652</v>
      </c>
      <c r="M916" s="83">
        <v>100.10495516529791</v>
      </c>
      <c r="N916" s="83">
        <v>21701924.511256386</v>
      </c>
      <c r="O916" s="83" t="s">
        <v>1315</v>
      </c>
      <c r="P916" s="84">
        <f t="shared" si="24"/>
        <v>-4.0714995034756285E-3</v>
      </c>
    </row>
    <row r="917" spans="2:16" ht="15" customHeight="1">
      <c r="B917" s="83">
        <v>328.50003842830495</v>
      </c>
      <c r="C917" s="83">
        <v>332.38265318874153</v>
      </c>
      <c r="D917" s="83">
        <v>325.41225175158047</v>
      </c>
      <c r="E917" s="83">
        <v>332.07435623505921</v>
      </c>
      <c r="F917" s="83">
        <v>5089407.9271923304</v>
      </c>
      <c r="G917" s="83" t="s">
        <v>1314</v>
      </c>
      <c r="H917" s="84">
        <f t="shared" si="23"/>
        <v>-1.0763606823720462E-2</v>
      </c>
      <c r="J917" s="83">
        <v>100.79087789681782</v>
      </c>
      <c r="K917" s="83">
        <v>103.60415518696472</v>
      </c>
      <c r="L917" s="83">
        <v>100.0552506195356</v>
      </c>
      <c r="M917" s="83">
        <v>103.32580973069577</v>
      </c>
      <c r="N917" s="83">
        <v>21738998.585100897</v>
      </c>
      <c r="O917" s="83" t="s">
        <v>1314</v>
      </c>
      <c r="P917" s="84">
        <f t="shared" si="24"/>
        <v>-2.4533384644987444E-2</v>
      </c>
    </row>
    <row r="918" spans="2:16" ht="15" customHeight="1">
      <c r="B918" s="83">
        <v>324.67522934668375</v>
      </c>
      <c r="C918" s="83">
        <v>325.73500012496669</v>
      </c>
      <c r="D918" s="83">
        <v>322.22812227683039</v>
      </c>
      <c r="E918" s="83">
        <v>322.33409935465869</v>
      </c>
      <c r="F918" s="83">
        <v>4037163.2127204295</v>
      </c>
      <c r="G918" s="83" t="s">
        <v>1313</v>
      </c>
      <c r="H918" s="84">
        <f t="shared" si="23"/>
        <v>7.2630540694025303E-3</v>
      </c>
      <c r="J918" s="83">
        <v>100.18448243851761</v>
      </c>
      <c r="K918" s="83">
        <v>101.16863244461139</v>
      </c>
      <c r="L918" s="83">
        <v>98.921986976154869</v>
      </c>
      <c r="M918" s="83">
        <v>98.931927885307317</v>
      </c>
      <c r="N918" s="83">
        <v>23450173.060102124</v>
      </c>
      <c r="O918" s="83" t="s">
        <v>1313</v>
      </c>
      <c r="P918" s="84">
        <f t="shared" si="24"/>
        <v>1.2660771704180229E-2</v>
      </c>
    </row>
    <row r="919" spans="2:16" ht="15" customHeight="1">
      <c r="B919" s="83">
        <v>316.63060571153591</v>
      </c>
      <c r="C919" s="83">
        <v>327.74856460370427</v>
      </c>
      <c r="D919" s="83">
        <v>316.02846322387512</v>
      </c>
      <c r="E919" s="83">
        <v>326.23598267470044</v>
      </c>
      <c r="F919" s="83">
        <v>5069396.0525165992</v>
      </c>
      <c r="G919" s="83" t="s">
        <v>1312</v>
      </c>
      <c r="H919" s="84">
        <f t="shared" si="23"/>
        <v>-2.9443033488866677E-2</v>
      </c>
      <c r="J919" s="83">
        <v>96.605755143631086</v>
      </c>
      <c r="K919" s="83">
        <v>100.6914688052932</v>
      </c>
      <c r="L919" s="83">
        <v>96.456641506344155</v>
      </c>
      <c r="M919" s="83">
        <v>100.03039834665444</v>
      </c>
      <c r="N919" s="83">
        <v>22759318.743392196</v>
      </c>
      <c r="O919" s="83" t="s">
        <v>1312</v>
      </c>
      <c r="P919" s="84">
        <f t="shared" si="24"/>
        <v>-3.4236024844720547E-2</v>
      </c>
    </row>
    <row r="920" spans="2:16" ht="15" customHeight="1">
      <c r="B920" s="83">
        <v>323.92375552208313</v>
      </c>
      <c r="C920" s="83">
        <v>325.32554323335739</v>
      </c>
      <c r="D920" s="83">
        <v>308.17170804487751</v>
      </c>
      <c r="E920" s="83">
        <v>309.10623318572698</v>
      </c>
      <c r="F920" s="83">
        <v>6639718.9318625769</v>
      </c>
      <c r="G920" s="83" t="s">
        <v>1311</v>
      </c>
      <c r="H920" s="84">
        <f t="shared" si="23"/>
        <v>4.7936666251091165E-2</v>
      </c>
      <c r="J920" s="83">
        <v>99.12080515920411</v>
      </c>
      <c r="K920" s="83">
        <v>99.93595970970604</v>
      </c>
      <c r="L920" s="83">
        <v>94.707041495510737</v>
      </c>
      <c r="M920" s="83">
        <v>95.363141499573274</v>
      </c>
      <c r="N920" s="83">
        <v>33007262.712859403</v>
      </c>
      <c r="O920" s="83" t="s">
        <v>1311</v>
      </c>
      <c r="P920" s="84">
        <f t="shared" si="24"/>
        <v>3.9403731887834859E-2</v>
      </c>
    </row>
    <row r="921" spans="2:16" ht="15" customHeight="1">
      <c r="B921" s="83">
        <v>315.6575434514761</v>
      </c>
      <c r="C921" s="83">
        <v>318.49002171343233</v>
      </c>
      <c r="D921" s="83">
        <v>315.46485785542467</v>
      </c>
      <c r="E921" s="83">
        <v>317.11231970166455</v>
      </c>
      <c r="F921" s="83">
        <v>3357865.9394304533</v>
      </c>
      <c r="G921" s="83" t="s">
        <v>1310</v>
      </c>
      <c r="H921" s="84">
        <f t="shared" si="23"/>
        <v>-4.5875740543825927E-3</v>
      </c>
      <c r="J921" s="83">
        <v>97.719136968706891</v>
      </c>
      <c r="K921" s="83">
        <v>99.058773886092737</v>
      </c>
      <c r="L921" s="83">
        <v>97.092859692101754</v>
      </c>
      <c r="M921" s="83">
        <v>97.689314241249505</v>
      </c>
      <c r="N921" s="83">
        <v>17446523.988908701</v>
      </c>
      <c r="O921" s="83" t="s">
        <v>1310</v>
      </c>
      <c r="P921" s="84">
        <f t="shared" si="24"/>
        <v>3.0528136766050373E-4</v>
      </c>
    </row>
    <row r="922" spans="2:16" ht="15" customHeight="1">
      <c r="B922" s="83">
        <v>316.64023999133855</v>
      </c>
      <c r="C922" s="83">
        <v>321.36103709459888</v>
      </c>
      <c r="D922" s="83">
        <v>314.89643534707295</v>
      </c>
      <c r="E922" s="83">
        <v>317.1604911006774</v>
      </c>
      <c r="F922" s="83">
        <v>5156698.89374978</v>
      </c>
      <c r="G922" s="83" t="s">
        <v>1309</v>
      </c>
      <c r="H922" s="84">
        <f t="shared" si="23"/>
        <v>-1.6403402187118443E-3</v>
      </c>
      <c r="J922" s="83">
        <v>97.470614239895326</v>
      </c>
      <c r="K922" s="83">
        <v>99.528382434455082</v>
      </c>
      <c r="L922" s="83">
        <v>96.67534150769832</v>
      </c>
      <c r="M922" s="83">
        <v>97.669432422944581</v>
      </c>
      <c r="N922" s="83">
        <v>21746227.300191026</v>
      </c>
      <c r="O922" s="83" t="s">
        <v>1309</v>
      </c>
      <c r="P922" s="84">
        <f t="shared" si="24"/>
        <v>-2.0356234096692294E-3</v>
      </c>
    </row>
    <row r="923" spans="2:16" ht="15" customHeight="1">
      <c r="B923" s="83">
        <v>318.7405129882992</v>
      </c>
      <c r="C923" s="83">
        <v>322.43044215268441</v>
      </c>
      <c r="D923" s="83">
        <v>316.64023999133855</v>
      </c>
      <c r="E923" s="83">
        <v>322.23775655663297</v>
      </c>
      <c r="F923" s="83">
        <v>4083190.5244746106</v>
      </c>
      <c r="G923" s="83" t="s">
        <v>1308</v>
      </c>
      <c r="H923" s="84">
        <f t="shared" si="23"/>
        <v>-1.0852991299668324E-2</v>
      </c>
      <c r="J923" s="83">
        <v>98.126714243957849</v>
      </c>
      <c r="K923" s="83">
        <v>99.399150615473062</v>
      </c>
      <c r="L923" s="83">
        <v>97.291677875151009</v>
      </c>
      <c r="M923" s="83">
        <v>99.259977887338579</v>
      </c>
      <c r="N923" s="83">
        <v>16628154.17230247</v>
      </c>
      <c r="O923" s="83" t="s">
        <v>1308</v>
      </c>
      <c r="P923" s="84">
        <f t="shared" si="24"/>
        <v>-1.1417125688532814E-2</v>
      </c>
    </row>
    <row r="924" spans="2:16" ht="15" customHeight="1">
      <c r="B924" s="83">
        <v>321.1394486591397</v>
      </c>
      <c r="C924" s="83">
        <v>326.92965082048562</v>
      </c>
      <c r="D924" s="83">
        <v>319.52088965230757</v>
      </c>
      <c r="E924" s="83">
        <v>326.67915954561875</v>
      </c>
      <c r="F924" s="83">
        <v>5364257.7399715921</v>
      </c>
      <c r="G924" s="83" t="s">
        <v>1307</v>
      </c>
      <c r="H924" s="84">
        <f t="shared" si="23"/>
        <v>-1.6957650112067957E-2</v>
      </c>
      <c r="J924" s="83">
        <v>98.981632431069627</v>
      </c>
      <c r="K924" s="83">
        <v>100.8207006242752</v>
      </c>
      <c r="L924" s="83">
        <v>98.62375970158098</v>
      </c>
      <c r="M924" s="83">
        <v>100.0552506195356</v>
      </c>
      <c r="N924" s="83">
        <v>24394056.547627572</v>
      </c>
      <c r="O924" s="83" t="s">
        <v>1307</v>
      </c>
      <c r="P924" s="84">
        <f t="shared" si="24"/>
        <v>-1.0730253353204322E-2</v>
      </c>
    </row>
    <row r="925" spans="2:16" ht="15" customHeight="1">
      <c r="B925" s="83">
        <v>330.41726010901675</v>
      </c>
      <c r="C925" s="83">
        <v>335.25366856990803</v>
      </c>
      <c r="D925" s="83">
        <v>329.96444895829586</v>
      </c>
      <c r="E925" s="83">
        <v>332.5560702251878</v>
      </c>
      <c r="F925" s="83">
        <v>4026883.2538621081</v>
      </c>
      <c r="G925" s="83" t="s">
        <v>1306</v>
      </c>
      <c r="H925" s="84">
        <f t="shared" si="23"/>
        <v>-6.4314270815226671E-3</v>
      </c>
      <c r="J925" s="83">
        <v>101.63585517477713</v>
      </c>
      <c r="K925" s="83">
        <v>103.11705063849406</v>
      </c>
      <c r="L925" s="83">
        <v>100.90022789749491</v>
      </c>
      <c r="M925" s="83">
        <v>100.90022789749491</v>
      </c>
      <c r="N925" s="83">
        <v>17258220.286370963</v>
      </c>
      <c r="O925" s="83" t="s">
        <v>1306</v>
      </c>
      <c r="P925" s="84">
        <f t="shared" si="24"/>
        <v>7.2906403940886655E-3</v>
      </c>
    </row>
    <row r="926" spans="2:16" ht="15" customHeight="1">
      <c r="B926" s="83">
        <v>333.93377223695563</v>
      </c>
      <c r="C926" s="83">
        <v>335.88953103687777</v>
      </c>
      <c r="D926" s="83">
        <v>328.39406135047665</v>
      </c>
      <c r="E926" s="83">
        <v>330.57140858585791</v>
      </c>
      <c r="F926" s="83">
        <v>4936302.5544787226</v>
      </c>
      <c r="G926" s="83" t="s">
        <v>1305</v>
      </c>
      <c r="H926" s="84">
        <f t="shared" si="23"/>
        <v>1.0171368617393428E-2</v>
      </c>
      <c r="J926" s="83">
        <v>101.61597335647221</v>
      </c>
      <c r="K926" s="83">
        <v>102.13290063240026</v>
      </c>
      <c r="L926" s="83">
        <v>99.150627886661496</v>
      </c>
      <c r="M926" s="83">
        <v>100.09501425614543</v>
      </c>
      <c r="N926" s="83">
        <v>18585337.333480474</v>
      </c>
      <c r="O926" s="83" t="s">
        <v>1305</v>
      </c>
      <c r="P926" s="84">
        <f t="shared" si="24"/>
        <v>1.5195153441255327E-2</v>
      </c>
    </row>
    <row r="927" spans="2:16" ht="15" customHeight="1">
      <c r="B927" s="83">
        <v>334.51182902510993</v>
      </c>
      <c r="C927" s="83">
        <v>334.62744038274082</v>
      </c>
      <c r="D927" s="83">
        <v>329.61761488540327</v>
      </c>
      <c r="E927" s="83">
        <v>329.62724916520585</v>
      </c>
      <c r="F927" s="83">
        <v>5303932.5250193719</v>
      </c>
      <c r="G927" s="83" t="s">
        <v>1304</v>
      </c>
      <c r="H927" s="84">
        <f t="shared" si="23"/>
        <v>1.4818495352779459E-2</v>
      </c>
      <c r="J927" s="83">
        <v>101.804850630369</v>
      </c>
      <c r="K927" s="83">
        <v>102.11301881409534</v>
      </c>
      <c r="L927" s="83">
        <v>100.44294607648163</v>
      </c>
      <c r="M927" s="83">
        <v>100.44294607648163</v>
      </c>
      <c r="N927" s="83">
        <v>22715156.786646895</v>
      </c>
      <c r="O927" s="83" t="s">
        <v>1304</v>
      </c>
      <c r="P927" s="84">
        <f t="shared" si="24"/>
        <v>1.3558986539984108E-2</v>
      </c>
    </row>
    <row r="928" spans="2:16" ht="15" customHeight="1">
      <c r="B928" s="83">
        <v>324.65596078707858</v>
      </c>
      <c r="C928" s="83">
        <v>326.27451979391077</v>
      </c>
      <c r="D928" s="83">
        <v>318.02757628290891</v>
      </c>
      <c r="E928" s="83">
        <v>319.65576956954362</v>
      </c>
      <c r="F928" s="83">
        <v>5956851.075124233</v>
      </c>
      <c r="G928" s="83" t="s">
        <v>1303</v>
      </c>
      <c r="H928" s="84">
        <f t="shared" si="23"/>
        <v>1.5642424425088119E-2</v>
      </c>
      <c r="J928" s="83">
        <v>98.713227883953138</v>
      </c>
      <c r="K928" s="83">
        <v>99.379268797168137</v>
      </c>
      <c r="L928" s="83">
        <v>96.446700597191679</v>
      </c>
      <c r="M928" s="83">
        <v>96.645518780240934</v>
      </c>
      <c r="N928" s="83">
        <v>24987682.332703594</v>
      </c>
      <c r="O928" s="83" t="s">
        <v>1303</v>
      </c>
      <c r="P928" s="84">
        <f t="shared" si="24"/>
        <v>2.1394774737708122E-2</v>
      </c>
    </row>
    <row r="929" spans="2:16" ht="15" customHeight="1">
      <c r="B929" s="83">
        <v>316.2934059184459</v>
      </c>
      <c r="C929" s="83">
        <v>323.89485268267538</v>
      </c>
      <c r="D929" s="83">
        <v>316.11998888199963</v>
      </c>
      <c r="E929" s="83">
        <v>320.40724339414425</v>
      </c>
      <c r="F929" s="83">
        <v>8030315.8705588225</v>
      </c>
      <c r="G929" s="83" t="s">
        <v>1302</v>
      </c>
      <c r="H929" s="84">
        <f t="shared" si="23"/>
        <v>-1.2839402231109243E-2</v>
      </c>
      <c r="J929" s="83">
        <v>95.581841500927453</v>
      </c>
      <c r="K929" s="83">
        <v>98.906081521510927</v>
      </c>
      <c r="L929" s="83">
        <v>95.462550591097894</v>
      </c>
      <c r="M929" s="83">
        <v>97.152505147016527</v>
      </c>
      <c r="N929" s="83">
        <v>26434032.941031836</v>
      </c>
      <c r="O929" s="83" t="s">
        <v>1302</v>
      </c>
      <c r="P929" s="84">
        <f t="shared" si="24"/>
        <v>-1.616699068863181E-2</v>
      </c>
    </row>
    <row r="930" spans="2:16" ht="15" customHeight="1">
      <c r="B930" s="83">
        <v>321.18762005815256</v>
      </c>
      <c r="C930" s="83">
        <v>324.9642577407609</v>
      </c>
      <c r="D930" s="83">
        <v>318.44185031441947</v>
      </c>
      <c r="E930" s="83">
        <v>324.81974354372227</v>
      </c>
      <c r="F930" s="83">
        <v>7504578.5965959374</v>
      </c>
      <c r="G930" s="83" t="s">
        <v>1301</v>
      </c>
      <c r="H930" s="84">
        <f t="shared" si="23"/>
        <v>-1.1181966483760908E-2</v>
      </c>
      <c r="J930" s="83">
        <v>97.510377876505189</v>
      </c>
      <c r="K930" s="83">
        <v>98.713227883953138</v>
      </c>
      <c r="L930" s="83">
        <v>95.949655139568549</v>
      </c>
      <c r="M930" s="83">
        <v>98.713227883953138</v>
      </c>
      <c r="N930" s="83">
        <v>22051826.109455615</v>
      </c>
      <c r="O930" s="83" t="s">
        <v>1301</v>
      </c>
      <c r="P930" s="84">
        <f t="shared" si="24"/>
        <v>-1.2185297079556734E-2</v>
      </c>
    </row>
    <row r="931" spans="2:16" ht="15" customHeight="1">
      <c r="B931" s="83">
        <v>328.02795871797889</v>
      </c>
      <c r="C931" s="83">
        <v>329.58871204599558</v>
      </c>
      <c r="D931" s="83">
        <v>320.99493446210113</v>
      </c>
      <c r="E931" s="83">
        <v>322.55568779011787</v>
      </c>
      <c r="F931" s="83">
        <v>9013594.3505413942</v>
      </c>
      <c r="G931" s="83" t="s">
        <v>1300</v>
      </c>
      <c r="H931" s="84">
        <f t="shared" si="23"/>
        <v>1.6965352449223481E-2</v>
      </c>
      <c r="J931" s="83">
        <v>100.14471880190774</v>
      </c>
      <c r="K931" s="83">
        <v>100.80081880597029</v>
      </c>
      <c r="L931" s="83">
        <v>97.222091511083761</v>
      </c>
      <c r="M931" s="83">
        <v>97.44079151243794</v>
      </c>
      <c r="N931" s="83">
        <v>24763327.601582497</v>
      </c>
      <c r="O931" s="83" t="s">
        <v>1300</v>
      </c>
      <c r="P931" s="84">
        <f t="shared" si="24"/>
        <v>2.7749438890022349E-2</v>
      </c>
    </row>
    <row r="932" spans="2:16" ht="15" customHeight="1">
      <c r="B932" s="83">
        <v>321.70864190987555</v>
      </c>
      <c r="C932" s="83">
        <v>327.89553102499133</v>
      </c>
      <c r="D932" s="83">
        <v>319.49287231981077</v>
      </c>
      <c r="E932" s="83">
        <v>325.92915541476077</v>
      </c>
      <c r="F932" s="83">
        <v>6042131.9752875771</v>
      </c>
      <c r="G932" s="83" t="s">
        <v>1299</v>
      </c>
      <c r="H932" s="84">
        <f t="shared" si="23"/>
        <v>-1.2949174490126225E-2</v>
      </c>
      <c r="J932" s="83">
        <v>97.510377876505189</v>
      </c>
      <c r="K932" s="83">
        <v>99.866373345638792</v>
      </c>
      <c r="L932" s="83">
        <v>96.764809690070493</v>
      </c>
      <c r="M932" s="83">
        <v>99.319623342253365</v>
      </c>
      <c r="N932" s="83">
        <v>24368986.40603612</v>
      </c>
      <c r="O932" s="83" t="s">
        <v>1299</v>
      </c>
      <c r="P932" s="84">
        <f t="shared" si="24"/>
        <v>-1.8216394755279697E-2</v>
      </c>
    </row>
    <row r="933" spans="2:16" ht="15" customHeight="1">
      <c r="B933" s="83">
        <v>322.61988914388485</v>
      </c>
      <c r="C933" s="83">
        <v>327.72287365433698</v>
      </c>
      <c r="D933" s="83">
        <v>321.40169547315662</v>
      </c>
      <c r="E933" s="83">
        <v>324.432791535756</v>
      </c>
      <c r="F933" s="83">
        <v>5635574.5272391634</v>
      </c>
      <c r="G933" s="83" t="s">
        <v>1298</v>
      </c>
      <c r="H933" s="84">
        <f t="shared" si="23"/>
        <v>-5.5879135499512511E-3</v>
      </c>
      <c r="J933" s="83">
        <v>98.226123335482484</v>
      </c>
      <c r="K933" s="83">
        <v>99.846491527333882</v>
      </c>
      <c r="L933" s="83">
        <v>97.798664241926588</v>
      </c>
      <c r="M933" s="83">
        <v>98.027305152433229</v>
      </c>
      <c r="N933" s="83">
        <v>22571313.806284703</v>
      </c>
      <c r="O933" s="83" t="s">
        <v>1298</v>
      </c>
      <c r="P933" s="84">
        <f t="shared" si="24"/>
        <v>2.0281918669506904E-3</v>
      </c>
    </row>
    <row r="934" spans="2:16" ht="15" customHeight="1">
      <c r="B934" s="83">
        <v>325.77568219640131</v>
      </c>
      <c r="C934" s="83">
        <v>328.12574085253056</v>
      </c>
      <c r="D934" s="83">
        <v>321.63190530069579</v>
      </c>
      <c r="E934" s="83">
        <v>328.12574085253056</v>
      </c>
      <c r="F934" s="83">
        <v>10937664.420826318</v>
      </c>
      <c r="G934" s="83" t="s">
        <v>1297</v>
      </c>
      <c r="H934" s="84">
        <f t="shared" si="23"/>
        <v>-7.1620673526660017E-3</v>
      </c>
      <c r="J934" s="83">
        <v>98.583996064971132</v>
      </c>
      <c r="K934" s="83">
        <v>99.51844152530262</v>
      </c>
      <c r="L934" s="83">
        <v>97.430850603285478</v>
      </c>
      <c r="M934" s="83">
        <v>99.46873697954031</v>
      </c>
      <c r="N934" s="83">
        <v>25809469.341789812</v>
      </c>
      <c r="O934" s="83" t="s">
        <v>1297</v>
      </c>
      <c r="P934" s="84">
        <f t="shared" si="24"/>
        <v>-8.8946632020788785E-3</v>
      </c>
    </row>
    <row r="935" spans="2:16" ht="15" customHeight="1">
      <c r="B935" s="83">
        <v>331.28153390504701</v>
      </c>
      <c r="C935" s="83">
        <v>334.32222204379389</v>
      </c>
      <c r="D935" s="83">
        <v>330.61008857472439</v>
      </c>
      <c r="E935" s="83">
        <v>333.37260650519471</v>
      </c>
      <c r="F935" s="83">
        <v>5791886.8809933634</v>
      </c>
      <c r="G935" s="83" t="s">
        <v>1296</v>
      </c>
      <c r="H935" s="84">
        <f t="shared" si="23"/>
        <v>-6.2724787800316761E-3</v>
      </c>
      <c r="J935" s="83">
        <v>99.975723346315888</v>
      </c>
      <c r="K935" s="83">
        <v>101.07916426223925</v>
      </c>
      <c r="L935" s="83">
        <v>98.822577884630235</v>
      </c>
      <c r="M935" s="83">
        <v>98.862341521240083</v>
      </c>
      <c r="N935" s="83">
        <v>21399124.238782883</v>
      </c>
      <c r="O935" s="83" t="s">
        <v>1296</v>
      </c>
      <c r="P935" s="84">
        <f t="shared" si="24"/>
        <v>1.126194067370534E-2</v>
      </c>
    </row>
    <row r="936" spans="2:16" ht="15" customHeight="1">
      <c r="B936" s="83">
        <v>334.1016042924021</v>
      </c>
      <c r="C936" s="83">
        <v>344.64329597846773</v>
      </c>
      <c r="D936" s="83">
        <v>334.1016042924021</v>
      </c>
      <c r="E936" s="83">
        <v>341.84240974340753</v>
      </c>
      <c r="F936" s="83">
        <v>5319392.7170268791</v>
      </c>
      <c r="G936" s="83" t="s">
        <v>1295</v>
      </c>
      <c r="H936" s="84">
        <f t="shared" si="23"/>
        <v>-2.2644368370840273E-2</v>
      </c>
      <c r="J936" s="83">
        <v>99.419032433778</v>
      </c>
      <c r="K936" s="83">
        <v>102.87846881883495</v>
      </c>
      <c r="L936" s="83">
        <v>99.399150615473062</v>
      </c>
      <c r="M936" s="83">
        <v>101.63585517477713</v>
      </c>
      <c r="N936" s="83">
        <v>26754853.698075972</v>
      </c>
      <c r="O936" s="83" t="s">
        <v>1295</v>
      </c>
      <c r="P936" s="84">
        <f t="shared" si="24"/>
        <v>-2.1811424100156351E-2</v>
      </c>
    </row>
    <row r="937" spans="2:16" ht="15" customHeight="1">
      <c r="B937" s="83">
        <v>340.08705980842115</v>
      </c>
      <c r="C937" s="83">
        <v>341.84240974340753</v>
      </c>
      <c r="D937" s="83">
        <v>337.48108456067746</v>
      </c>
      <c r="E937" s="83">
        <v>340.88320212866086</v>
      </c>
      <c r="F937" s="83">
        <v>3778078.8478803043</v>
      </c>
      <c r="G937" s="83" t="s">
        <v>1294</v>
      </c>
      <c r="H937" s="84">
        <f t="shared" si="23"/>
        <v>-2.3355281670324191E-3</v>
      </c>
      <c r="J937" s="83">
        <v>101.22827789952618</v>
      </c>
      <c r="K937" s="83">
        <v>102.56035972595616</v>
      </c>
      <c r="L937" s="83">
        <v>100.52247334970134</v>
      </c>
      <c r="M937" s="83">
        <v>102.27207336053473</v>
      </c>
      <c r="N937" s="83">
        <v>24144338.945150033</v>
      </c>
      <c r="O937" s="83" t="s">
        <v>1294</v>
      </c>
      <c r="P937" s="84">
        <f t="shared" si="24"/>
        <v>-1.0206065318817958E-2</v>
      </c>
    </row>
    <row r="938" spans="2:16" ht="15" customHeight="1">
      <c r="B938" s="83">
        <v>343.96225857199755</v>
      </c>
      <c r="C938" s="83">
        <v>343.96225857199755</v>
      </c>
      <c r="D938" s="83">
        <v>338.3604861018772</v>
      </c>
      <c r="E938" s="83">
        <v>338.40844648261452</v>
      </c>
      <c r="F938" s="83">
        <v>3557775.1339071663</v>
      </c>
      <c r="G938" s="83" t="s">
        <v>1293</v>
      </c>
      <c r="H938" s="84">
        <f t="shared" si="23"/>
        <v>1.641156462585025E-2</v>
      </c>
      <c r="J938" s="83">
        <v>103.23634154832361</v>
      </c>
      <c r="K938" s="83">
        <v>103.40533700391546</v>
      </c>
      <c r="L938" s="83">
        <v>101.76508699375916</v>
      </c>
      <c r="M938" s="83">
        <v>101.93408244935102</v>
      </c>
      <c r="N938" s="83">
        <v>19855933.393285636</v>
      </c>
      <c r="O938" s="83" t="s">
        <v>1293</v>
      </c>
      <c r="P938" s="84">
        <f t="shared" si="24"/>
        <v>1.2775502243026926E-2</v>
      </c>
    </row>
    <row r="939" spans="2:16" ht="15" customHeight="1">
      <c r="B939" s="83">
        <v>341.34362178373925</v>
      </c>
      <c r="C939" s="83">
        <v>341.93833050488217</v>
      </c>
      <c r="D939" s="83">
        <v>338.30293364499238</v>
      </c>
      <c r="E939" s="83">
        <v>340.09665188456864</v>
      </c>
      <c r="F939" s="83">
        <v>4641610.3579161009</v>
      </c>
      <c r="G939" s="83" t="s">
        <v>1292</v>
      </c>
      <c r="H939" s="84">
        <f t="shared" si="23"/>
        <v>3.6665162454871947E-3</v>
      </c>
      <c r="J939" s="83">
        <v>103.01764154696943</v>
      </c>
      <c r="K939" s="83">
        <v>103.41527791306794</v>
      </c>
      <c r="L939" s="83">
        <v>101.25313017240734</v>
      </c>
      <c r="M939" s="83">
        <v>102.36154154290691</v>
      </c>
      <c r="N939" s="83">
        <v>64923754.970652945</v>
      </c>
      <c r="O939" s="83" t="s">
        <v>1292</v>
      </c>
      <c r="P939" s="84">
        <f t="shared" si="24"/>
        <v>6.4096338739438874E-3</v>
      </c>
    </row>
    <row r="940" spans="2:16" ht="15" customHeight="1">
      <c r="B940" s="83">
        <v>344.04858725732481</v>
      </c>
      <c r="C940" s="83">
        <v>349.1227955393345</v>
      </c>
      <c r="D940" s="83">
        <v>342.82080151044909</v>
      </c>
      <c r="E940" s="83">
        <v>346.42742214189644</v>
      </c>
      <c r="F940" s="83">
        <v>3969380.4985124967</v>
      </c>
      <c r="G940" s="83" t="s">
        <v>1291</v>
      </c>
      <c r="H940" s="84">
        <f t="shared" si="23"/>
        <v>-6.8667626536713655E-3</v>
      </c>
      <c r="J940" s="83">
        <v>103.28604609408593</v>
      </c>
      <c r="K940" s="83">
        <v>105.58239610830476</v>
      </c>
      <c r="L940" s="83">
        <v>102.69953245409063</v>
      </c>
      <c r="M940" s="83">
        <v>104.38948701000928</v>
      </c>
      <c r="N940" s="83">
        <v>26652424.434878476</v>
      </c>
      <c r="O940" s="83" t="s">
        <v>1291</v>
      </c>
      <c r="P940" s="84">
        <f t="shared" si="24"/>
        <v>-1.0570421864584345E-2</v>
      </c>
    </row>
    <row r="941" spans="2:16" ht="15" customHeight="1">
      <c r="B941" s="83">
        <v>347.93337809704872</v>
      </c>
      <c r="C941" s="83">
        <v>349.31463706228385</v>
      </c>
      <c r="D941" s="83">
        <v>344.86391372985941</v>
      </c>
      <c r="E941" s="83">
        <v>347.78949695483664</v>
      </c>
      <c r="F941" s="83">
        <v>3706715.7780426233</v>
      </c>
      <c r="G941" s="83" t="s">
        <v>1290</v>
      </c>
      <c r="H941" s="84">
        <f t="shared" si="23"/>
        <v>4.1370180374000753E-4</v>
      </c>
      <c r="J941" s="83">
        <v>105.24440519712105</v>
      </c>
      <c r="K941" s="83">
        <v>105.47304610762768</v>
      </c>
      <c r="L941" s="83">
        <v>103.88250064323367</v>
      </c>
      <c r="M941" s="83">
        <v>104.81694610356516</v>
      </c>
      <c r="N941" s="83">
        <v>22247265.980216201</v>
      </c>
      <c r="O941" s="83" t="s">
        <v>1290</v>
      </c>
      <c r="P941" s="84">
        <f t="shared" si="24"/>
        <v>4.0781487101668734E-3</v>
      </c>
    </row>
    <row r="942" spans="2:16" ht="15" customHeight="1">
      <c r="B942" s="83">
        <v>346.63844781714073</v>
      </c>
      <c r="C942" s="83">
        <v>355.41519749207242</v>
      </c>
      <c r="D942" s="83">
        <v>345.58341536168086</v>
      </c>
      <c r="E942" s="83">
        <v>354.27374043052396</v>
      </c>
      <c r="F942" s="83">
        <v>5785164.6658015018</v>
      </c>
      <c r="G942" s="83" t="s">
        <v>1289</v>
      </c>
      <c r="H942" s="84">
        <f t="shared" si="23"/>
        <v>-2.1551957545892564E-2</v>
      </c>
      <c r="J942" s="83">
        <v>104.68771428458314</v>
      </c>
      <c r="K942" s="83">
        <v>108.72372340048294</v>
      </c>
      <c r="L942" s="83">
        <v>104.3795461008568</v>
      </c>
      <c r="M942" s="83">
        <v>108.24655976116473</v>
      </c>
      <c r="N942" s="83">
        <v>33211239.026182588</v>
      </c>
      <c r="O942" s="83" t="s">
        <v>1289</v>
      </c>
      <c r="P942" s="84">
        <f t="shared" si="24"/>
        <v>-3.2877215538617E-2</v>
      </c>
    </row>
    <row r="943" spans="2:16" ht="15" customHeight="1">
      <c r="B943" s="83">
        <v>362.44618930816534</v>
      </c>
      <c r="C943" s="83">
        <v>363.06967425775065</v>
      </c>
      <c r="D943" s="83">
        <v>360.19205141351074</v>
      </c>
      <c r="E943" s="83">
        <v>360.48940577408217</v>
      </c>
      <c r="F943" s="83">
        <v>3087292.0048515219</v>
      </c>
      <c r="G943" s="83" t="s">
        <v>1288</v>
      </c>
      <c r="H943" s="84">
        <f t="shared" si="23"/>
        <v>5.4281304879997272E-3</v>
      </c>
      <c r="J943" s="83">
        <v>111.20895068859858</v>
      </c>
      <c r="K943" s="83">
        <v>111.9744006933382</v>
      </c>
      <c r="L943" s="83">
        <v>110.2745052282671</v>
      </c>
      <c r="M943" s="83">
        <v>111.32824159842812</v>
      </c>
      <c r="N943" s="83">
        <v>19850201.523179378</v>
      </c>
      <c r="O943" s="83" t="s">
        <v>1288</v>
      </c>
      <c r="P943" s="84">
        <f t="shared" si="24"/>
        <v>-1.0715242432359773E-3</v>
      </c>
    </row>
    <row r="944" spans="2:16" ht="15" customHeight="1">
      <c r="B944" s="83">
        <v>358.50384601155662</v>
      </c>
      <c r="C944" s="83">
        <v>359.32876456023877</v>
      </c>
      <c r="D944" s="83">
        <v>354.88763330396182</v>
      </c>
      <c r="E944" s="83">
        <v>355.13702728379593</v>
      </c>
      <c r="F944" s="83">
        <v>2733048.5701913922</v>
      </c>
      <c r="G944" s="83" t="s">
        <v>1287</v>
      </c>
      <c r="H944" s="84">
        <f t="shared" ref="H944:H1007" si="25">B944/E944-1</f>
        <v>9.4803370786515906E-3</v>
      </c>
      <c r="J944" s="83">
        <v>111.11948250622642</v>
      </c>
      <c r="K944" s="83">
        <v>111.33818250758058</v>
      </c>
      <c r="L944" s="83">
        <v>109.35000067708808</v>
      </c>
      <c r="M944" s="83">
        <v>109.39970522285039</v>
      </c>
      <c r="N944" s="83">
        <v>21874291.039681558</v>
      </c>
      <c r="O944" s="83" t="s">
        <v>1287</v>
      </c>
      <c r="P944" s="84">
        <f t="shared" ref="P944:P1007" si="26">J944/M944-1</f>
        <v>1.5720127214902346E-2</v>
      </c>
    </row>
    <row r="945" spans="2:16" ht="15" customHeight="1">
      <c r="B945" s="83">
        <v>353.05554675979573</v>
      </c>
      <c r="C945" s="83">
        <v>353.44882188184187</v>
      </c>
      <c r="D945" s="83">
        <v>347.4921425942652</v>
      </c>
      <c r="E945" s="83">
        <v>348.55206700856024</v>
      </c>
      <c r="F945" s="83">
        <v>3849048.8849749132</v>
      </c>
      <c r="G945" s="83" t="s">
        <v>1286</v>
      </c>
      <c r="H945" s="84">
        <f t="shared" si="25"/>
        <v>1.2920536635707025E-2</v>
      </c>
      <c r="J945" s="83">
        <v>108.77342794624525</v>
      </c>
      <c r="K945" s="83">
        <v>109.9265734079309</v>
      </c>
      <c r="L945" s="83">
        <v>107.42146430151034</v>
      </c>
      <c r="M945" s="83">
        <v>108.53484612658616</v>
      </c>
      <c r="N945" s="83">
        <v>21789409.467276182</v>
      </c>
      <c r="O945" s="83" t="s">
        <v>1286</v>
      </c>
      <c r="P945" s="84">
        <f t="shared" si="26"/>
        <v>2.1982047994137943E-3</v>
      </c>
    </row>
    <row r="946" spans="2:16" ht="15" customHeight="1">
      <c r="B946" s="83">
        <v>350.76304056055125</v>
      </c>
      <c r="C946" s="83">
        <v>351.42968985280015</v>
      </c>
      <c r="D946" s="83">
        <v>344.05856301651818</v>
      </c>
      <c r="E946" s="83">
        <v>344.22124462797916</v>
      </c>
      <c r="F946" s="83">
        <v>4312883.8182677617</v>
      </c>
      <c r="G946" s="83" t="s">
        <v>1285</v>
      </c>
      <c r="H946" s="84">
        <f t="shared" si="25"/>
        <v>1.9004625759349025E-2</v>
      </c>
      <c r="J946" s="83">
        <v>109.82716431640628</v>
      </c>
      <c r="K946" s="83">
        <v>110.33415068318186</v>
      </c>
      <c r="L946" s="83">
        <v>106.97909384422576</v>
      </c>
      <c r="M946" s="83">
        <v>107.12323702693647</v>
      </c>
      <c r="N946" s="83">
        <v>23123818.603961024</v>
      </c>
      <c r="O946" s="83" t="s">
        <v>1285</v>
      </c>
      <c r="P946" s="84">
        <f t="shared" si="26"/>
        <v>2.5241276911655453E-2</v>
      </c>
    </row>
    <row r="947" spans="2:16" ht="15" customHeight="1">
      <c r="B947" s="83">
        <v>344.58574352158291</v>
      </c>
      <c r="C947" s="83">
        <v>347.50173467041265</v>
      </c>
      <c r="D947" s="83">
        <v>342.43711846455045</v>
      </c>
      <c r="E947" s="83">
        <v>346.61926366484579</v>
      </c>
      <c r="F947" s="83">
        <v>5921880.6363420794</v>
      </c>
      <c r="G947" s="83" t="s">
        <v>1284</v>
      </c>
      <c r="H947" s="84">
        <f t="shared" si="25"/>
        <v>-5.8667257029001441E-3</v>
      </c>
      <c r="J947" s="83">
        <v>106.84489157066751</v>
      </c>
      <c r="K947" s="83">
        <v>108.23661885201227</v>
      </c>
      <c r="L947" s="83">
        <v>105.88062338287865</v>
      </c>
      <c r="M947" s="83">
        <v>107.49602112015381</v>
      </c>
      <c r="N947" s="83">
        <v>20687292.967470329</v>
      </c>
      <c r="O947" s="83" t="s">
        <v>1284</v>
      </c>
      <c r="P947" s="84">
        <f t="shared" si="26"/>
        <v>-6.0572432607388649E-3</v>
      </c>
    </row>
    <row r="948" spans="2:16" ht="15" customHeight="1">
      <c r="B948" s="83">
        <v>345.74638473542632</v>
      </c>
      <c r="C948" s="83">
        <v>354.07230683142717</v>
      </c>
      <c r="D948" s="83">
        <v>344.1445080187994</v>
      </c>
      <c r="E948" s="83">
        <v>352.94044184602615</v>
      </c>
      <c r="F948" s="83">
        <v>4737475.9438292067</v>
      </c>
      <c r="G948" s="83" t="s">
        <v>1283</v>
      </c>
      <c r="H948" s="84">
        <f t="shared" si="25"/>
        <v>-2.0383204239706521E-2</v>
      </c>
      <c r="J948" s="83">
        <v>108.03780066896303</v>
      </c>
      <c r="K948" s="83">
        <v>111.01510296012556</v>
      </c>
      <c r="L948" s="83">
        <v>107.49105066557757</v>
      </c>
      <c r="M948" s="83">
        <v>110.68208250351806</v>
      </c>
      <c r="N948" s="83">
        <v>20740638.188904993</v>
      </c>
      <c r="O948" s="83" t="s">
        <v>1283</v>
      </c>
      <c r="P948" s="84">
        <f t="shared" si="26"/>
        <v>-2.3890784982935065E-2</v>
      </c>
    </row>
    <row r="949" spans="2:16" ht="15" customHeight="1">
      <c r="B949" s="83">
        <v>349.4105578237585</v>
      </c>
      <c r="C949" s="83">
        <v>349.82301709809957</v>
      </c>
      <c r="D949" s="83">
        <v>343.88552196281785</v>
      </c>
      <c r="E949" s="83">
        <v>346.36986968501168</v>
      </c>
      <c r="F949" s="83">
        <v>6387395.0809057234</v>
      </c>
      <c r="G949" s="83" t="s">
        <v>1282</v>
      </c>
      <c r="H949" s="84">
        <f t="shared" si="25"/>
        <v>8.7787316532814685E-3</v>
      </c>
      <c r="J949" s="83">
        <v>109.89675068047352</v>
      </c>
      <c r="K949" s="83">
        <v>110.5627915936885</v>
      </c>
      <c r="L949" s="83">
        <v>107.55069612049235</v>
      </c>
      <c r="M949" s="83">
        <v>108.55472794489107</v>
      </c>
      <c r="N949" s="83">
        <v>22919820.15986523</v>
      </c>
      <c r="O949" s="83" t="s">
        <v>1282</v>
      </c>
      <c r="P949" s="84">
        <f t="shared" si="26"/>
        <v>1.2362637362637319E-2</v>
      </c>
    </row>
    <row r="950" spans="2:16" ht="15" customHeight="1">
      <c r="B950" s="83">
        <v>348.33624529524224</v>
      </c>
      <c r="C950" s="83">
        <v>353.74617624241336</v>
      </c>
      <c r="D950" s="83">
        <v>348.29787699065241</v>
      </c>
      <c r="E950" s="83">
        <v>352.61431125701228</v>
      </c>
      <c r="F950" s="83">
        <v>4235307.2864971552</v>
      </c>
      <c r="G950" s="83" t="s">
        <v>1281</v>
      </c>
      <c r="H950" s="84">
        <f t="shared" si="25"/>
        <v>-1.2132422948233246E-2</v>
      </c>
      <c r="J950" s="83">
        <v>108.50502339912877</v>
      </c>
      <c r="K950" s="83">
        <v>111.10954159707394</v>
      </c>
      <c r="L950" s="83">
        <v>108.40561430760414</v>
      </c>
      <c r="M950" s="83">
        <v>110.97036886893947</v>
      </c>
      <c r="N950" s="83">
        <v>26051921.009241473</v>
      </c>
      <c r="O950" s="83" t="s">
        <v>1281</v>
      </c>
      <c r="P950" s="84">
        <f t="shared" si="26"/>
        <v>-2.2216250111976921E-2</v>
      </c>
    </row>
    <row r="951" spans="2:16" ht="15" customHeight="1">
      <c r="B951" s="83">
        <v>351.09876322571256</v>
      </c>
      <c r="C951" s="83">
        <v>356.29287245956561</v>
      </c>
      <c r="D951" s="83">
        <v>349.17075592007183</v>
      </c>
      <c r="E951" s="83">
        <v>356.15378735542737</v>
      </c>
      <c r="F951" s="83">
        <v>5259065.8398103286</v>
      </c>
      <c r="G951" s="83" t="s">
        <v>1280</v>
      </c>
      <c r="H951" s="84">
        <f t="shared" si="25"/>
        <v>-1.4193374629679512E-2</v>
      </c>
      <c r="J951" s="83">
        <v>109.26053249471592</v>
      </c>
      <c r="K951" s="83">
        <v>110.71190523097545</v>
      </c>
      <c r="L951" s="83">
        <v>108.15709157879257</v>
      </c>
      <c r="M951" s="83">
        <v>110.37391431979172</v>
      </c>
      <c r="N951" s="83">
        <v>20670344.819427125</v>
      </c>
      <c r="O951" s="83" t="s">
        <v>1280</v>
      </c>
      <c r="P951" s="84">
        <f t="shared" si="26"/>
        <v>-1.0087363775556191E-2</v>
      </c>
    </row>
    <row r="952" spans="2:16" ht="15" customHeight="1">
      <c r="B952" s="83">
        <v>354.95477783699408</v>
      </c>
      <c r="C952" s="83">
        <v>357.83240068123399</v>
      </c>
      <c r="D952" s="83">
        <v>353.7365841662658</v>
      </c>
      <c r="E952" s="83">
        <v>354.68619970486498</v>
      </c>
      <c r="F952" s="83">
        <v>5163802.8346014554</v>
      </c>
      <c r="G952" s="83" t="s">
        <v>1279</v>
      </c>
      <c r="H952" s="84">
        <f t="shared" si="25"/>
        <v>7.5722746572215449E-4</v>
      </c>
      <c r="J952" s="83">
        <v>109.68799158827181</v>
      </c>
      <c r="K952" s="83">
        <v>111.29841887097074</v>
      </c>
      <c r="L952" s="83">
        <v>109.1611234031913</v>
      </c>
      <c r="M952" s="83">
        <v>110.12539159098016</v>
      </c>
      <c r="N952" s="83">
        <v>20507321.50082064</v>
      </c>
      <c r="O952" s="83" t="s">
        <v>1279</v>
      </c>
      <c r="P952" s="84">
        <f t="shared" si="26"/>
        <v>-3.9718360714929846E-3</v>
      </c>
    </row>
    <row r="953" spans="2:16" ht="15" customHeight="1">
      <c r="B953" s="83">
        <v>357.31442856927077</v>
      </c>
      <c r="C953" s="83">
        <v>370.3020996729403</v>
      </c>
      <c r="D953" s="83">
        <v>357.31442856927077</v>
      </c>
      <c r="E953" s="83">
        <v>369.82249586556702</v>
      </c>
      <c r="F953" s="83">
        <v>5372309.3111193962</v>
      </c>
      <c r="G953" s="83" t="s">
        <v>1278</v>
      </c>
      <c r="H953" s="84">
        <f t="shared" si="25"/>
        <v>-3.3821812994423772E-2</v>
      </c>
      <c r="J953" s="83">
        <v>110.64231886690821</v>
      </c>
      <c r="K953" s="83">
        <v>115.91100071771336</v>
      </c>
      <c r="L953" s="83">
        <v>110.5627915936885</v>
      </c>
      <c r="M953" s="83">
        <v>115.12566889466882</v>
      </c>
      <c r="N953" s="83">
        <v>31887091.526379794</v>
      </c>
      <c r="O953" s="83" t="s">
        <v>1278</v>
      </c>
      <c r="P953" s="84">
        <f t="shared" si="26"/>
        <v>-3.8943096451083625E-2</v>
      </c>
    </row>
    <row r="954" spans="2:16" ht="15" customHeight="1">
      <c r="B954" s="83">
        <v>369.99515323622143</v>
      </c>
      <c r="C954" s="83">
        <v>369.99515323622143</v>
      </c>
      <c r="D954" s="83">
        <v>365.17033893404579</v>
      </c>
      <c r="E954" s="83">
        <v>366.18709900567723</v>
      </c>
      <c r="F954" s="83">
        <v>2743191.3170278734</v>
      </c>
      <c r="G954" s="83" t="s">
        <v>1277</v>
      </c>
      <c r="H954" s="84">
        <f t="shared" si="25"/>
        <v>1.0399203688181258E-2</v>
      </c>
      <c r="J954" s="83">
        <v>117.00450072448425</v>
      </c>
      <c r="K954" s="83">
        <v>117.08402799770394</v>
      </c>
      <c r="L954" s="83">
        <v>114.37015979908166</v>
      </c>
      <c r="M954" s="83">
        <v>114.4695688906063</v>
      </c>
      <c r="N954" s="83">
        <v>14963084.132315263</v>
      </c>
      <c r="O954" s="83" t="s">
        <v>1277</v>
      </c>
      <c r="P954" s="84">
        <f t="shared" si="26"/>
        <v>2.2145028224055618E-2</v>
      </c>
    </row>
    <row r="955" spans="2:16" ht="15" customHeight="1">
      <c r="B955" s="83">
        <v>364.68114305052501</v>
      </c>
      <c r="C955" s="83">
        <v>366.01444163502282</v>
      </c>
      <c r="D955" s="83">
        <v>362.75313574488428</v>
      </c>
      <c r="E955" s="83">
        <v>363.44376522750184</v>
      </c>
      <c r="F955" s="83">
        <v>2336558.807023223</v>
      </c>
      <c r="G955" s="83" t="s">
        <v>1276</v>
      </c>
      <c r="H955" s="84">
        <f t="shared" si="25"/>
        <v>3.4045922406966689E-3</v>
      </c>
      <c r="J955" s="83">
        <v>114.02222797874548</v>
      </c>
      <c r="K955" s="83">
        <v>115.03331784864244</v>
      </c>
      <c r="L955" s="83">
        <v>113.10766433671893</v>
      </c>
      <c r="M955" s="83">
        <v>113.77370524993391</v>
      </c>
      <c r="N955" s="83">
        <v>16146585.54245395</v>
      </c>
      <c r="O955" s="83" t="s">
        <v>1276</v>
      </c>
      <c r="P955" s="84">
        <f t="shared" si="26"/>
        <v>2.1843599825250859E-3</v>
      </c>
    </row>
    <row r="956" spans="2:16" ht="15" customHeight="1">
      <c r="B956" s="83">
        <v>363.57805429356637</v>
      </c>
      <c r="C956" s="83">
        <v>366.29261184329937</v>
      </c>
      <c r="D956" s="83">
        <v>363.08243171902677</v>
      </c>
      <c r="E956" s="83">
        <v>364.07684225323464</v>
      </c>
      <c r="F956" s="83">
        <v>2991202.2755968752</v>
      </c>
      <c r="G956" s="83" t="s">
        <v>1275</v>
      </c>
      <c r="H956" s="84">
        <f t="shared" si="25"/>
        <v>-1.3700073769629117E-3</v>
      </c>
      <c r="J956" s="83">
        <v>114.09181434281271</v>
      </c>
      <c r="K956" s="83">
        <v>115.24495980449838</v>
      </c>
      <c r="L956" s="83">
        <v>113.62459161264697</v>
      </c>
      <c r="M956" s="83">
        <v>113.64447343095189</v>
      </c>
      <c r="N956" s="83">
        <v>14476232.283477968</v>
      </c>
      <c r="O956" s="83" t="s">
        <v>1275</v>
      </c>
      <c r="P956" s="84">
        <f t="shared" si="26"/>
        <v>3.9363191042687262E-3</v>
      </c>
    </row>
    <row r="957" spans="2:16" ht="15" customHeight="1">
      <c r="B957" s="83">
        <v>364.44134114683834</v>
      </c>
      <c r="C957" s="83">
        <v>367.89448855992629</v>
      </c>
      <c r="D957" s="83">
        <v>363.62601467430369</v>
      </c>
      <c r="E957" s="83">
        <v>367.78897572230414</v>
      </c>
      <c r="F957" s="83">
        <v>4330363.8713263776</v>
      </c>
      <c r="G957" s="83" t="s">
        <v>1274</v>
      </c>
      <c r="H957" s="84">
        <f t="shared" si="25"/>
        <v>-9.1020525258848073E-3</v>
      </c>
      <c r="J957" s="83">
        <v>114.39004161738659</v>
      </c>
      <c r="K957" s="83">
        <v>115.81159162618874</v>
      </c>
      <c r="L957" s="83">
        <v>113.99240525128809</v>
      </c>
      <c r="M957" s="83">
        <v>115.41395526009023</v>
      </c>
      <c r="N957" s="83">
        <v>19430842.495140448</v>
      </c>
      <c r="O957" s="83" t="s">
        <v>1274</v>
      </c>
      <c r="P957" s="84">
        <f t="shared" si="26"/>
        <v>-8.8716623600344491E-3</v>
      </c>
    </row>
    <row r="958" spans="2:16" ht="15" customHeight="1">
      <c r="B958" s="83">
        <v>372.28765943546586</v>
      </c>
      <c r="C958" s="83">
        <v>375.00221698519886</v>
      </c>
      <c r="D958" s="83">
        <v>371.45314881063626</v>
      </c>
      <c r="E958" s="83">
        <v>374.76241508151219</v>
      </c>
      <c r="F958" s="83">
        <v>3022317.5415113182</v>
      </c>
      <c r="G958" s="83" t="s">
        <v>1273</v>
      </c>
      <c r="H958" s="84">
        <f t="shared" si="25"/>
        <v>-6.6035321218326226E-3</v>
      </c>
      <c r="J958" s="83">
        <v>117.42201890888768</v>
      </c>
      <c r="K958" s="83">
        <v>119.29090982955063</v>
      </c>
      <c r="L958" s="83">
        <v>116.97467799702686</v>
      </c>
      <c r="M958" s="83">
        <v>119.16167801056862</v>
      </c>
      <c r="N958" s="83">
        <v>20306978.657982506</v>
      </c>
      <c r="O958" s="83" t="s">
        <v>1273</v>
      </c>
      <c r="P958" s="84">
        <f t="shared" si="26"/>
        <v>-1.459914907816795E-2</v>
      </c>
    </row>
    <row r="959" spans="2:16" ht="15" customHeight="1">
      <c r="B959" s="83">
        <v>377.49615678354013</v>
      </c>
      <c r="C959" s="83">
        <v>377.94698436247103</v>
      </c>
      <c r="D959" s="83">
        <v>375.21324266044314</v>
      </c>
      <c r="E959" s="83">
        <v>376.41225217887643</v>
      </c>
      <c r="F959" s="83">
        <v>3396637.9644104186</v>
      </c>
      <c r="G959" s="83" t="s">
        <v>1272</v>
      </c>
      <c r="H959" s="84">
        <f t="shared" si="25"/>
        <v>2.8795678099995392E-3</v>
      </c>
      <c r="J959" s="83">
        <v>120.14582801666241</v>
      </c>
      <c r="K959" s="83">
        <v>120.9709234763168</v>
      </c>
      <c r="L959" s="83">
        <v>118.84376773587287</v>
      </c>
      <c r="M959" s="83">
        <v>119.51955074005727</v>
      </c>
      <c r="N959" s="83">
        <v>15745067.940916345</v>
      </c>
      <c r="O959" s="83" t="s">
        <v>1272</v>
      </c>
      <c r="P959" s="84">
        <f t="shared" si="26"/>
        <v>5.2399567495633459E-3</v>
      </c>
    </row>
    <row r="960" spans="2:16" ht="15" customHeight="1">
      <c r="B960" s="83">
        <v>376.33551556969667</v>
      </c>
      <c r="C960" s="83">
        <v>378.74312668271074</v>
      </c>
      <c r="D960" s="83">
        <v>374.37211350307177</v>
      </c>
      <c r="E960" s="83">
        <v>375.58733363019428</v>
      </c>
      <c r="F960" s="83">
        <v>3359361.362921549</v>
      </c>
      <c r="G960" s="83" t="s">
        <v>1271</v>
      </c>
      <c r="H960" s="84">
        <f t="shared" si="25"/>
        <v>1.9920318725099584E-3</v>
      </c>
      <c r="J960" s="83">
        <v>119.60901892242943</v>
      </c>
      <c r="K960" s="83">
        <v>121.42820529733008</v>
      </c>
      <c r="L960" s="83">
        <v>119.48972801259988</v>
      </c>
      <c r="M960" s="83">
        <v>120.21541438072965</v>
      </c>
      <c r="N960" s="83">
        <v>17693710.635754909</v>
      </c>
      <c r="O960" s="83" t="s">
        <v>1271</v>
      </c>
      <c r="P960" s="84">
        <f t="shared" si="26"/>
        <v>-5.0442404696933174E-3</v>
      </c>
    </row>
    <row r="961" spans="2:16" ht="15" customHeight="1">
      <c r="B961" s="83">
        <v>378.92537612951264</v>
      </c>
      <c r="C961" s="83">
        <v>380.69991021679385</v>
      </c>
      <c r="D961" s="83">
        <v>376.43143633117131</v>
      </c>
      <c r="E961" s="83">
        <v>377.19880242296864</v>
      </c>
      <c r="F961" s="83">
        <v>4029210.0902689784</v>
      </c>
      <c r="G961" s="83" t="s">
        <v>1270</v>
      </c>
      <c r="H961" s="84">
        <f t="shared" si="25"/>
        <v>4.5773573390297528E-3</v>
      </c>
      <c r="J961" s="83">
        <v>121.78607802681874</v>
      </c>
      <c r="K961" s="83">
        <v>122.49943766759944</v>
      </c>
      <c r="L961" s="83">
        <v>120.81683938445363</v>
      </c>
      <c r="M961" s="83">
        <v>121.59720075292194</v>
      </c>
      <c r="N961" s="83">
        <v>15719056.235544713</v>
      </c>
      <c r="O961" s="83" t="s">
        <v>1270</v>
      </c>
      <c r="P961" s="84">
        <f t="shared" si="26"/>
        <v>1.5533028122958203E-3</v>
      </c>
    </row>
    <row r="962" spans="2:16" ht="15" customHeight="1">
      <c r="B962" s="83">
        <v>378.26352287533746</v>
      </c>
      <c r="C962" s="83">
        <v>378.65679799738353</v>
      </c>
      <c r="D962" s="83">
        <v>374.53220525397296</v>
      </c>
      <c r="E962" s="83">
        <v>374.5609814824154</v>
      </c>
      <c r="F962" s="83">
        <v>3340187.2032117578</v>
      </c>
      <c r="G962" s="83" t="s">
        <v>1269</v>
      </c>
      <c r="H962" s="84">
        <f t="shared" si="25"/>
        <v>9.8850162616201942E-3</v>
      </c>
      <c r="J962" s="83">
        <v>122.15389166545984</v>
      </c>
      <c r="K962" s="83">
        <v>122.53164621325342</v>
      </c>
      <c r="L962" s="83">
        <v>120.85163256648724</v>
      </c>
      <c r="M962" s="83">
        <v>121.48785075224485</v>
      </c>
      <c r="N962" s="83">
        <v>15617234.562649809</v>
      </c>
      <c r="O962" s="83" t="s">
        <v>1269</v>
      </c>
      <c r="P962" s="84">
        <f t="shared" si="26"/>
        <v>5.4823664184600052E-3</v>
      </c>
    </row>
    <row r="963" spans="2:16" ht="15" customHeight="1">
      <c r="B963" s="83">
        <v>376.6520540825631</v>
      </c>
      <c r="C963" s="83">
        <v>376.70001446330042</v>
      </c>
      <c r="D963" s="83">
        <v>371.2996755922768</v>
      </c>
      <c r="E963" s="83">
        <v>372.12459414095889</v>
      </c>
      <c r="F963" s="83">
        <v>3820191.7329105902</v>
      </c>
      <c r="G963" s="83" t="s">
        <v>1268</v>
      </c>
      <c r="H963" s="84">
        <f t="shared" si="25"/>
        <v>1.2166516303647512E-2</v>
      </c>
      <c r="J963" s="83">
        <v>121.92525075495321</v>
      </c>
      <c r="K963" s="83">
        <v>121.92525075495321</v>
      </c>
      <c r="L963" s="83">
        <v>119.68864560474066</v>
      </c>
      <c r="M963" s="83">
        <v>120.44405529123628</v>
      </c>
      <c r="N963" s="83">
        <v>16216914.119979156</v>
      </c>
      <c r="O963" s="83" t="s">
        <v>1268</v>
      </c>
      <c r="P963" s="84">
        <f t="shared" si="26"/>
        <v>1.2297788048861058E-2</v>
      </c>
    </row>
    <row r="964" spans="2:16" ht="15" customHeight="1">
      <c r="B964" s="83">
        <v>370.3116917490878</v>
      </c>
      <c r="C964" s="83">
        <v>374.71445470077481</v>
      </c>
      <c r="D964" s="83">
        <v>369.678614723355</v>
      </c>
      <c r="E964" s="83">
        <v>373.00706514652586</v>
      </c>
      <c r="F964" s="83">
        <v>3727420.3676379067</v>
      </c>
      <c r="G964" s="83" t="s">
        <v>1267</v>
      </c>
      <c r="H964" s="84">
        <f t="shared" si="25"/>
        <v>-7.226065266027204E-3</v>
      </c>
      <c r="J964" s="83">
        <v>119.1119734648063</v>
      </c>
      <c r="K964" s="83">
        <v>121.61728138940991</v>
      </c>
      <c r="L964" s="83">
        <v>118.84356891768981</v>
      </c>
      <c r="M964" s="83">
        <v>121.35861893326285</v>
      </c>
      <c r="N964" s="83">
        <v>16770726.645127947</v>
      </c>
      <c r="O964" s="83" t="s">
        <v>1267</v>
      </c>
      <c r="P964" s="84">
        <f t="shared" si="26"/>
        <v>-1.8512450851900453E-2</v>
      </c>
    </row>
    <row r="965" spans="2:16" ht="15" customHeight="1">
      <c r="B965" s="83">
        <v>370.3116917490878</v>
      </c>
      <c r="C965" s="83">
        <v>370.47475704359471</v>
      </c>
      <c r="D965" s="83">
        <v>367.47243720943777</v>
      </c>
      <c r="E965" s="83">
        <v>369.28533960130886</v>
      </c>
      <c r="F965" s="83">
        <v>3806258.3572841571</v>
      </c>
      <c r="G965" s="83" t="s">
        <v>1266</v>
      </c>
      <c r="H965" s="84">
        <f t="shared" si="25"/>
        <v>2.779292968648539E-3</v>
      </c>
      <c r="J965" s="83">
        <v>119.9370689244607</v>
      </c>
      <c r="K965" s="83">
        <v>121.06039165868897</v>
      </c>
      <c r="L965" s="83">
        <v>118.65469164379303</v>
      </c>
      <c r="M965" s="83">
        <v>118.88333255429967</v>
      </c>
      <c r="N965" s="83">
        <v>20618859.588835996</v>
      </c>
      <c r="O965" s="83" t="s">
        <v>1266</v>
      </c>
      <c r="P965" s="84">
        <f t="shared" si="26"/>
        <v>8.8636173593110712E-3</v>
      </c>
    </row>
    <row r="966" spans="2:16" ht="15" customHeight="1">
      <c r="B966" s="83">
        <v>362.71476744029439</v>
      </c>
      <c r="C966" s="83">
        <v>363.93296111102262</v>
      </c>
      <c r="D966" s="83">
        <v>361.7171915209579</v>
      </c>
      <c r="E966" s="83">
        <v>363.55887014127143</v>
      </c>
      <c r="F966" s="83">
        <v>2460910.4053281485</v>
      </c>
      <c r="G966" s="83" t="s">
        <v>1265</v>
      </c>
      <c r="H966" s="84">
        <f t="shared" si="25"/>
        <v>-2.3217772149226601E-3</v>
      </c>
      <c r="J966" s="83">
        <v>116.80568254143499</v>
      </c>
      <c r="K966" s="83">
        <v>117.50154618210738</v>
      </c>
      <c r="L966" s="83">
        <v>115.87123708110352</v>
      </c>
      <c r="M966" s="83">
        <v>117.29278708990566</v>
      </c>
      <c r="N966" s="83">
        <v>15515942.016409151</v>
      </c>
      <c r="O966" s="83" t="s">
        <v>1265</v>
      </c>
      <c r="P966" s="84">
        <f t="shared" si="26"/>
        <v>-4.1528943130774154E-3</v>
      </c>
    </row>
    <row r="967" spans="2:16" ht="15" customHeight="1">
      <c r="B967" s="83">
        <v>364.15357886241435</v>
      </c>
      <c r="C967" s="83">
        <v>368.24632591301531</v>
      </c>
      <c r="D967" s="83">
        <v>363.12722671463541</v>
      </c>
      <c r="E967" s="83">
        <v>366.20628315797211</v>
      </c>
      <c r="F967" s="83">
        <v>3602294.1716457056</v>
      </c>
      <c r="G967" s="83" t="s">
        <v>1264</v>
      </c>
      <c r="H967" s="84">
        <f t="shared" si="25"/>
        <v>-5.605322437005511E-3</v>
      </c>
      <c r="J967" s="83">
        <v>117.4419007271926</v>
      </c>
      <c r="K967" s="83">
        <v>120.14582801666241</v>
      </c>
      <c r="L967" s="83">
        <v>117.13373254346625</v>
      </c>
      <c r="M967" s="83">
        <v>118.41610982413393</v>
      </c>
      <c r="N967" s="83">
        <v>17162526.825600892</v>
      </c>
      <c r="O967" s="83" t="s">
        <v>1264</v>
      </c>
      <c r="P967" s="84">
        <f t="shared" si="26"/>
        <v>-8.2269979852249708E-3</v>
      </c>
    </row>
    <row r="968" spans="2:16" ht="15" customHeight="1">
      <c r="B968" s="83">
        <v>364.47970945142822</v>
      </c>
      <c r="C968" s="83">
        <v>365.17033893404579</v>
      </c>
      <c r="D968" s="83">
        <v>361.1800352566998</v>
      </c>
      <c r="E968" s="83">
        <v>361.28554809432188</v>
      </c>
      <c r="F968" s="83">
        <v>2973381.3161536842</v>
      </c>
      <c r="G968" s="83" t="s">
        <v>1263</v>
      </c>
      <c r="H968" s="84">
        <f t="shared" si="25"/>
        <v>8.8410991636798109E-3</v>
      </c>
      <c r="J968" s="83">
        <v>117.5214280004123</v>
      </c>
      <c r="K968" s="83">
        <v>118.1576461861699</v>
      </c>
      <c r="L968" s="83">
        <v>116.02035071839045</v>
      </c>
      <c r="M968" s="83">
        <v>116.23905071974464</v>
      </c>
      <c r="N968" s="83">
        <v>15708485.77379032</v>
      </c>
      <c r="O968" s="83" t="s">
        <v>1263</v>
      </c>
      <c r="P968" s="84">
        <f t="shared" si="26"/>
        <v>1.103224151201565E-2</v>
      </c>
    </row>
    <row r="969" spans="2:16" ht="15" customHeight="1">
      <c r="B969" s="83">
        <v>365.23748346707805</v>
      </c>
      <c r="C969" s="83">
        <v>365.9664812542855</v>
      </c>
      <c r="D969" s="83">
        <v>363.72193543577833</v>
      </c>
      <c r="E969" s="83">
        <v>365.34299630470019</v>
      </c>
      <c r="F969" s="83">
        <v>3555675.4841868789</v>
      </c>
      <c r="G969" s="83" t="s">
        <v>1262</v>
      </c>
      <c r="H969" s="84">
        <f t="shared" si="25"/>
        <v>-2.888048729259296E-4</v>
      </c>
      <c r="J969" s="83">
        <v>118.16758709532236</v>
      </c>
      <c r="K969" s="83">
        <v>118.7938643719275</v>
      </c>
      <c r="L969" s="83">
        <v>117.01444163363671</v>
      </c>
      <c r="M969" s="83">
        <v>117.600955273632</v>
      </c>
      <c r="N969" s="83">
        <v>15851365.059599724</v>
      </c>
      <c r="O969" s="83" t="s">
        <v>1262</v>
      </c>
      <c r="P969" s="84">
        <f t="shared" si="26"/>
        <v>4.8182586644125447E-3</v>
      </c>
    </row>
    <row r="970" spans="2:16" ht="15" customHeight="1">
      <c r="B970" s="83">
        <v>365.52524575150204</v>
      </c>
      <c r="C970" s="83">
        <v>366.5132295946911</v>
      </c>
      <c r="D970" s="83">
        <v>361.53494207415605</v>
      </c>
      <c r="E970" s="83">
        <v>361.8035202062851</v>
      </c>
      <c r="F970" s="83">
        <v>4018711.8416675427</v>
      </c>
      <c r="G970" s="83" t="s">
        <v>1261</v>
      </c>
      <c r="H970" s="84">
        <f t="shared" si="25"/>
        <v>1.0286592963758334E-2</v>
      </c>
      <c r="J970" s="83">
        <v>118.0781189129502</v>
      </c>
      <c r="K970" s="83">
        <v>118.7143370987078</v>
      </c>
      <c r="L970" s="83">
        <v>115.46365980585256</v>
      </c>
      <c r="M970" s="83">
        <v>115.65253707974934</v>
      </c>
      <c r="N970" s="83">
        <v>25453221.241572268</v>
      </c>
      <c r="O970" s="83" t="s">
        <v>1261</v>
      </c>
      <c r="P970" s="84">
        <f t="shared" si="26"/>
        <v>2.0973010142685267E-2</v>
      </c>
    </row>
    <row r="971" spans="2:16" ht="15" customHeight="1">
      <c r="B971" s="83">
        <v>359.90428912908669</v>
      </c>
      <c r="C971" s="83">
        <v>364.14110916342264</v>
      </c>
      <c r="D971" s="83">
        <v>358.69568753450596</v>
      </c>
      <c r="E971" s="83">
        <v>360.76757598235872</v>
      </c>
      <c r="F971" s="83">
        <v>4308335.2722252524</v>
      </c>
      <c r="G971" s="83" t="s">
        <v>1260</v>
      </c>
      <c r="H971" s="84">
        <f t="shared" si="25"/>
        <v>-2.3929169657814775E-3</v>
      </c>
      <c r="J971" s="83">
        <v>115.21513707704099</v>
      </c>
      <c r="K971" s="83">
        <v>116.38816435703157</v>
      </c>
      <c r="L971" s="83">
        <v>113.58482797603713</v>
      </c>
      <c r="M971" s="83">
        <v>113.753823431629</v>
      </c>
      <c r="N971" s="83">
        <v>18017505.96982681</v>
      </c>
      <c r="O971" s="83" t="s">
        <v>1260</v>
      </c>
      <c r="P971" s="84">
        <f t="shared" si="26"/>
        <v>1.2846281569518503E-2</v>
      </c>
    </row>
    <row r="972" spans="2:16" ht="15" customHeight="1">
      <c r="B972" s="83">
        <v>362.2447557090685</v>
      </c>
      <c r="C972" s="83">
        <v>364.5084856798706</v>
      </c>
      <c r="D972" s="83">
        <v>360.12490688047848</v>
      </c>
      <c r="E972" s="83">
        <v>360.77716805850616</v>
      </c>
      <c r="F972" s="83">
        <v>4609397.3108916963</v>
      </c>
      <c r="G972" s="83" t="s">
        <v>1259</v>
      </c>
      <c r="H972" s="84">
        <f t="shared" si="25"/>
        <v>4.0678506859512797E-3</v>
      </c>
      <c r="J972" s="83">
        <v>114.79761889263756</v>
      </c>
      <c r="K972" s="83">
        <v>116.42792799364142</v>
      </c>
      <c r="L972" s="83">
        <v>114.01228706959301</v>
      </c>
      <c r="M972" s="83">
        <v>114.84732343839987</v>
      </c>
      <c r="N972" s="83">
        <v>22992064.055165499</v>
      </c>
      <c r="O972" s="83" t="s">
        <v>1259</v>
      </c>
      <c r="P972" s="84">
        <f t="shared" si="26"/>
        <v>-4.3278802042756581E-4</v>
      </c>
    </row>
    <row r="973" spans="2:16" ht="15" customHeight="1">
      <c r="B973" s="83">
        <v>363.3382523898797</v>
      </c>
      <c r="C973" s="83">
        <v>364.17276301470929</v>
      </c>
      <c r="D973" s="83">
        <v>358.67650338221102</v>
      </c>
      <c r="E973" s="83">
        <v>359.44386947400835</v>
      </c>
      <c r="F973" s="83">
        <v>5469528.0972991027</v>
      </c>
      <c r="G973" s="83" t="s">
        <v>1258</v>
      </c>
      <c r="H973" s="84">
        <f t="shared" si="25"/>
        <v>1.0834467483254562E-2</v>
      </c>
      <c r="J973" s="83">
        <v>115.95076435432321</v>
      </c>
      <c r="K973" s="83">
        <v>116.20922799228724</v>
      </c>
      <c r="L973" s="83">
        <v>112.56091433333349</v>
      </c>
      <c r="M973" s="83">
        <v>112.72990978892535</v>
      </c>
      <c r="N973" s="83">
        <v>31522451.839565832</v>
      </c>
      <c r="O973" s="83" t="s">
        <v>1258</v>
      </c>
      <c r="P973" s="84">
        <f t="shared" si="26"/>
        <v>2.857142857142847E-2</v>
      </c>
    </row>
    <row r="974" spans="2:16" ht="15" customHeight="1">
      <c r="B974" s="83">
        <v>358.0913867372156</v>
      </c>
      <c r="C974" s="83">
        <v>358.65731922991614</v>
      </c>
      <c r="D974" s="83">
        <v>351.05080284497529</v>
      </c>
      <c r="E974" s="83">
        <v>354.35047703970372</v>
      </c>
      <c r="F974" s="83">
        <v>4530129.8000514256</v>
      </c>
      <c r="G974" s="83" t="s">
        <v>1257</v>
      </c>
      <c r="H974" s="84">
        <f t="shared" si="25"/>
        <v>1.0557089491635585E-2</v>
      </c>
      <c r="J974" s="83">
        <v>113.91287797806839</v>
      </c>
      <c r="K974" s="83">
        <v>114.02222797874548</v>
      </c>
      <c r="L974" s="83">
        <v>111.19006296120889</v>
      </c>
      <c r="M974" s="83">
        <v>112.13345523977759</v>
      </c>
      <c r="N974" s="83">
        <v>23442366.93303569</v>
      </c>
      <c r="O974" s="83" t="s">
        <v>1257</v>
      </c>
      <c r="P974" s="84">
        <f t="shared" si="26"/>
        <v>1.586879432624122E-2</v>
      </c>
    </row>
    <row r="975" spans="2:16" ht="15" customHeight="1">
      <c r="B975" s="83">
        <v>353.62147925249627</v>
      </c>
      <c r="C975" s="83">
        <v>355.22335596912313</v>
      </c>
      <c r="D975" s="83">
        <v>347.44466181733526</v>
      </c>
      <c r="E975" s="83">
        <v>347.70316826950949</v>
      </c>
      <c r="F975" s="83">
        <v>4691647.4919652054</v>
      </c>
      <c r="G975" s="83" t="s">
        <v>1256</v>
      </c>
      <c r="H975" s="84">
        <f t="shared" si="25"/>
        <v>1.7021159204391845E-2</v>
      </c>
      <c r="J975" s="83">
        <v>112.9287279719746</v>
      </c>
      <c r="K975" s="83">
        <v>113.7240007041716</v>
      </c>
      <c r="L975" s="83">
        <v>107.779337030999</v>
      </c>
      <c r="M975" s="83">
        <v>108.95236431098957</v>
      </c>
      <c r="N975" s="83">
        <v>41721151.82214088</v>
      </c>
      <c r="O975" s="83" t="s">
        <v>1256</v>
      </c>
      <c r="P975" s="84">
        <f t="shared" si="26"/>
        <v>3.649635036496357E-2</v>
      </c>
    </row>
    <row r="976" spans="2:16" ht="15" customHeight="1">
      <c r="B976" s="83">
        <v>344.59533559773035</v>
      </c>
      <c r="C976" s="83">
        <v>347.43459013738038</v>
      </c>
      <c r="D976" s="83">
        <v>343.82806542669454</v>
      </c>
      <c r="E976" s="83">
        <v>347.34826145205324</v>
      </c>
      <c r="F976" s="83">
        <v>3114226.7368144495</v>
      </c>
      <c r="G976" s="83" t="s">
        <v>1255</v>
      </c>
      <c r="H976" s="84">
        <f t="shared" si="25"/>
        <v>-7.925549541588528E-3</v>
      </c>
      <c r="J976" s="83">
        <v>104.81694610356516</v>
      </c>
      <c r="K976" s="83">
        <v>107.10335520863154</v>
      </c>
      <c r="L976" s="83">
        <v>104.14096428119771</v>
      </c>
      <c r="M976" s="83">
        <v>106.7951870249052</v>
      </c>
      <c r="N976" s="83">
        <v>36844346.365369298</v>
      </c>
      <c r="O976" s="83" t="s">
        <v>1255</v>
      </c>
      <c r="P976" s="84">
        <f t="shared" si="26"/>
        <v>-1.8523689844549884E-2</v>
      </c>
    </row>
    <row r="977" spans="2:16" ht="15" customHeight="1">
      <c r="B977" s="83">
        <v>348.77748079802575</v>
      </c>
      <c r="C977" s="83">
        <v>349.5736231182654</v>
      </c>
      <c r="D977" s="83">
        <v>346.70559235017294</v>
      </c>
      <c r="E977" s="83">
        <v>348.99809854941742</v>
      </c>
      <c r="F977" s="83">
        <v>4068180.7984090233</v>
      </c>
      <c r="G977" s="83" t="s">
        <v>1254</v>
      </c>
      <c r="H977" s="84">
        <f t="shared" si="25"/>
        <v>-6.321459982407962E-4</v>
      </c>
      <c r="J977" s="83">
        <v>107.57057793879727</v>
      </c>
      <c r="K977" s="83">
        <v>109.9265734079309</v>
      </c>
      <c r="L977" s="83">
        <v>106.37766884050178</v>
      </c>
      <c r="M977" s="83">
        <v>108.38573248929922</v>
      </c>
      <c r="N977" s="83">
        <v>28458103.344594032</v>
      </c>
      <c r="O977" s="83" t="s">
        <v>1254</v>
      </c>
      <c r="P977" s="84">
        <f t="shared" si="26"/>
        <v>-7.5208658167478237E-3</v>
      </c>
    </row>
    <row r="978" spans="2:16" ht="15" customHeight="1">
      <c r="B978" s="83">
        <v>348.43216605671694</v>
      </c>
      <c r="C978" s="83">
        <v>352.834929008404</v>
      </c>
      <c r="D978" s="83">
        <v>346.28354099968442</v>
      </c>
      <c r="E978" s="83">
        <v>351.73184025144536</v>
      </c>
      <c r="F978" s="83">
        <v>4726674.3198213149</v>
      </c>
      <c r="G978" s="83" t="s">
        <v>1253</v>
      </c>
      <c r="H978" s="84">
        <f t="shared" si="25"/>
        <v>-9.3812211950148328E-3</v>
      </c>
      <c r="J978" s="83">
        <v>107.71969157608422</v>
      </c>
      <c r="K978" s="83">
        <v>112.51120978757118</v>
      </c>
      <c r="L978" s="83">
        <v>106.96418248049706</v>
      </c>
      <c r="M978" s="83">
        <v>111.1493052336838</v>
      </c>
      <c r="N978" s="83">
        <v>44719555.644452877</v>
      </c>
      <c r="O978" s="83" t="s">
        <v>1253</v>
      </c>
      <c r="P978" s="84">
        <f t="shared" si="26"/>
        <v>-3.0855916286557594E-2</v>
      </c>
    </row>
    <row r="979" spans="2:16" ht="15" customHeight="1">
      <c r="B979" s="83">
        <v>351.63591948997066</v>
      </c>
      <c r="C979" s="83">
        <v>351.6646957184131</v>
      </c>
      <c r="D979" s="83">
        <v>345.3243333849378</v>
      </c>
      <c r="E979" s="83">
        <v>347.57847127959241</v>
      </c>
      <c r="F979" s="83">
        <v>4799773.1973969694</v>
      </c>
      <c r="G979" s="83" t="s">
        <v>1252</v>
      </c>
      <c r="H979" s="84">
        <f t="shared" si="25"/>
        <v>1.1673473893365705E-2</v>
      </c>
      <c r="J979" s="83">
        <v>114.36021888992921</v>
      </c>
      <c r="K979" s="83">
        <v>114.52921434552105</v>
      </c>
      <c r="L979" s="83">
        <v>111.24871432520843</v>
      </c>
      <c r="M979" s="83">
        <v>114.40992343569152</v>
      </c>
      <c r="N979" s="83">
        <v>27429933.803635288</v>
      </c>
      <c r="O979" s="83" t="s">
        <v>1252</v>
      </c>
      <c r="P979" s="84">
        <f t="shared" si="26"/>
        <v>-4.3444261013114716E-4</v>
      </c>
    </row>
    <row r="980" spans="2:16" ht="15" customHeight="1">
      <c r="B980" s="83">
        <v>348.11562754385056</v>
      </c>
      <c r="C980" s="83">
        <v>349.3816856745546</v>
      </c>
      <c r="D980" s="83">
        <v>344.7871771206797</v>
      </c>
      <c r="E980" s="83">
        <v>345.98618663911299</v>
      </c>
      <c r="F980" s="83">
        <v>4452254.0629830426</v>
      </c>
      <c r="G980" s="83" t="s">
        <v>1251</v>
      </c>
      <c r="H980" s="84">
        <f t="shared" si="25"/>
        <v>6.1546991960079733E-3</v>
      </c>
      <c r="J980" s="83">
        <v>114.02222797874548</v>
      </c>
      <c r="K980" s="83">
        <v>115.64259617059687</v>
      </c>
      <c r="L980" s="83">
        <v>112.59073706079087</v>
      </c>
      <c r="M980" s="83">
        <v>113.38600979298788</v>
      </c>
      <c r="N980" s="83">
        <v>26939274.455964684</v>
      </c>
      <c r="O980" s="83" t="s">
        <v>1251</v>
      </c>
      <c r="P980" s="84">
        <f t="shared" si="26"/>
        <v>5.6110818867263212E-3</v>
      </c>
    </row>
    <row r="981" spans="2:16" ht="15" customHeight="1">
      <c r="B981" s="83">
        <v>345.89985795378578</v>
      </c>
      <c r="C981" s="83">
        <v>346.36027760886418</v>
      </c>
      <c r="D981" s="83">
        <v>339.79929752399715</v>
      </c>
      <c r="E981" s="83">
        <v>340.47074285431978</v>
      </c>
      <c r="F981" s="83">
        <v>3774106.8193627801</v>
      </c>
      <c r="G981" s="83" t="s">
        <v>1250</v>
      </c>
      <c r="H981" s="84">
        <f t="shared" si="25"/>
        <v>1.5945907874348464E-2</v>
      </c>
      <c r="J981" s="83">
        <v>113.94270070552578</v>
      </c>
      <c r="K981" s="83">
        <v>114.13157797942257</v>
      </c>
      <c r="L981" s="83">
        <v>109.84704613471121</v>
      </c>
      <c r="M981" s="83">
        <v>111.06977796046411</v>
      </c>
      <c r="N981" s="83">
        <v>31176555.911209196</v>
      </c>
      <c r="O981" s="83" t="s">
        <v>1250</v>
      </c>
      <c r="P981" s="84">
        <f t="shared" si="26"/>
        <v>2.5865926787791871E-2</v>
      </c>
    </row>
    <row r="982" spans="2:16" ht="15" customHeight="1">
      <c r="B982" s="83">
        <v>336.75860938525028</v>
      </c>
      <c r="C982" s="83">
        <v>343.03182718569337</v>
      </c>
      <c r="D982" s="83">
        <v>335.64592855214426</v>
      </c>
      <c r="E982" s="83">
        <v>342.40834223610807</v>
      </c>
      <c r="F982" s="83">
        <v>3695633.714226014</v>
      </c>
      <c r="G982" s="83" t="s">
        <v>1249</v>
      </c>
      <c r="H982" s="84">
        <f t="shared" si="25"/>
        <v>-1.6499985993221E-2</v>
      </c>
      <c r="J982" s="83">
        <v>109.26053249471592</v>
      </c>
      <c r="K982" s="83">
        <v>114.1216370702701</v>
      </c>
      <c r="L982" s="83">
        <v>108.65413703641569</v>
      </c>
      <c r="M982" s="83">
        <v>112.76967342553519</v>
      </c>
      <c r="N982" s="83">
        <v>33552248.077569023</v>
      </c>
      <c r="O982" s="83" t="s">
        <v>1249</v>
      </c>
      <c r="P982" s="84">
        <f t="shared" si="26"/>
        <v>-3.1117771509167724E-2</v>
      </c>
    </row>
    <row r="983" spans="2:16" ht="15" customHeight="1">
      <c r="B983" s="83">
        <v>339.56908769645798</v>
      </c>
      <c r="C983" s="83">
        <v>339.66500845793263</v>
      </c>
      <c r="D983" s="83">
        <v>335.53082363837461</v>
      </c>
      <c r="E983" s="83">
        <v>337.38209433483564</v>
      </c>
      <c r="F983" s="83">
        <v>4712718.008597143</v>
      </c>
      <c r="G983" s="83" t="s">
        <v>1248</v>
      </c>
      <c r="H983" s="84">
        <f t="shared" si="25"/>
        <v>6.4822449037613694E-3</v>
      </c>
      <c r="J983" s="83">
        <v>112.10065023957448</v>
      </c>
      <c r="K983" s="83">
        <v>113.32686138353074</v>
      </c>
      <c r="L983" s="83">
        <v>111.16173137012437</v>
      </c>
      <c r="M983" s="83">
        <v>112.29549205896275</v>
      </c>
      <c r="N983" s="83">
        <v>34534829.232893266</v>
      </c>
      <c r="O983" s="83" t="s">
        <v>1248</v>
      </c>
      <c r="P983" s="84">
        <f t="shared" si="26"/>
        <v>-1.7350813983340041E-3</v>
      </c>
    </row>
    <row r="984" spans="2:16" ht="15" customHeight="1">
      <c r="B984" s="83">
        <v>333.26709366757257</v>
      </c>
      <c r="C984" s="83">
        <v>333.75628955109335</v>
      </c>
      <c r="D984" s="83">
        <v>327.13296097126778</v>
      </c>
      <c r="E984" s="83">
        <v>329.4014869801436</v>
      </c>
      <c r="F984" s="83">
        <v>4821521.3566893768</v>
      </c>
      <c r="G984" s="83" t="s">
        <v>1247</v>
      </c>
      <c r="H984" s="84">
        <f t="shared" si="25"/>
        <v>1.1735243586383559E-2</v>
      </c>
      <c r="J984" s="83">
        <v>110.7814915950427</v>
      </c>
      <c r="K984" s="83">
        <v>111.32575637114002</v>
      </c>
      <c r="L984" s="83">
        <v>108.67948635475449</v>
      </c>
      <c r="M984" s="83">
        <v>110.17111977308149</v>
      </c>
      <c r="N984" s="83">
        <v>32557927.55331884</v>
      </c>
      <c r="O984" s="83" t="s">
        <v>1247</v>
      </c>
      <c r="P984" s="84">
        <f t="shared" si="26"/>
        <v>5.5402161947557538E-3</v>
      </c>
    </row>
    <row r="985" spans="2:16" ht="15" customHeight="1">
      <c r="B985" s="83">
        <v>334.14956467313948</v>
      </c>
      <c r="C985" s="83">
        <v>336.68187277607058</v>
      </c>
      <c r="D985" s="83">
        <v>330.3223262903004</v>
      </c>
      <c r="E985" s="83">
        <v>330.67723310775665</v>
      </c>
      <c r="F985" s="83">
        <v>5841838.5278145326</v>
      </c>
      <c r="G985" s="83" t="s">
        <v>1246</v>
      </c>
      <c r="H985" s="84">
        <f t="shared" si="25"/>
        <v>1.0500667169460964E-2</v>
      </c>
      <c r="J985" s="83">
        <v>111.52407750873164</v>
      </c>
      <c r="K985" s="83">
        <v>114.47652255655845</v>
      </c>
      <c r="L985" s="83">
        <v>111.16222841558201</v>
      </c>
      <c r="M985" s="83">
        <v>111.97340660242295</v>
      </c>
      <c r="N985" s="83">
        <v>39190439.629306085</v>
      </c>
      <c r="O985" s="83" t="s">
        <v>1246</v>
      </c>
      <c r="P985" s="84">
        <f t="shared" si="26"/>
        <v>-4.0128197160842483E-3</v>
      </c>
    </row>
    <row r="986" spans="2:16" ht="15" customHeight="1">
      <c r="B986" s="83">
        <v>335.71307308517646</v>
      </c>
      <c r="C986" s="83">
        <v>340.42278247358246</v>
      </c>
      <c r="D986" s="83">
        <v>334.16874882543436</v>
      </c>
      <c r="E986" s="83">
        <v>338.21660495966523</v>
      </c>
      <c r="F986" s="83">
        <v>4253793.378274777</v>
      </c>
      <c r="G986" s="83" t="s">
        <v>1245</v>
      </c>
      <c r="H986" s="84">
        <f t="shared" si="25"/>
        <v>-7.4021554169031445E-3</v>
      </c>
      <c r="J986" s="83">
        <v>114.17084457057479</v>
      </c>
      <c r="K986" s="83">
        <v>117.15311234585899</v>
      </c>
      <c r="L986" s="83">
        <v>113.93773522140413</v>
      </c>
      <c r="M986" s="83">
        <v>116.1480914009996</v>
      </c>
      <c r="N986" s="83">
        <v>25118587.864586223</v>
      </c>
      <c r="O986" s="83" t="s">
        <v>1245</v>
      </c>
      <c r="P986" s="84">
        <f t="shared" si="26"/>
        <v>-1.7023498247581204E-2</v>
      </c>
    </row>
    <row r="987" spans="2:16" ht="15" customHeight="1">
      <c r="B987" s="83">
        <v>338.84008990925054</v>
      </c>
      <c r="C987" s="83">
        <v>341.0654515754627</v>
      </c>
      <c r="D987" s="83">
        <v>338.13027627433803</v>
      </c>
      <c r="E987" s="83">
        <v>340.36523001669764</v>
      </c>
      <c r="F987" s="83">
        <v>3640186.9066920183</v>
      </c>
      <c r="G987" s="83" t="s">
        <v>1244</v>
      </c>
      <c r="H987" s="84">
        <f t="shared" si="25"/>
        <v>-4.4808927967533441E-3</v>
      </c>
      <c r="J987" s="83">
        <v>115.83395867178177</v>
      </c>
      <c r="K987" s="83">
        <v>118.09253323122127</v>
      </c>
      <c r="L987" s="83">
        <v>115.54766048819086</v>
      </c>
      <c r="M987" s="83">
        <v>117.9488870939682</v>
      </c>
      <c r="N987" s="83">
        <v>26989945.877690256</v>
      </c>
      <c r="O987" s="83" t="s">
        <v>1244</v>
      </c>
      <c r="P987" s="84">
        <f t="shared" si="26"/>
        <v>-1.7930889169827324E-2</v>
      </c>
    </row>
    <row r="988" spans="2:16" ht="15" customHeight="1">
      <c r="B988" s="83">
        <v>342.71528867282694</v>
      </c>
      <c r="C988" s="83">
        <v>344.40349407478107</v>
      </c>
      <c r="D988" s="83">
        <v>340.0112824068562</v>
      </c>
      <c r="E988" s="83">
        <v>341.38755349249465</v>
      </c>
      <c r="F988" s="83">
        <v>4995103.1730138632</v>
      </c>
      <c r="G988" s="83" t="s">
        <v>1243</v>
      </c>
      <c r="H988" s="84">
        <f t="shared" si="25"/>
        <v>3.8892313640295217E-3</v>
      </c>
      <c r="J988" s="83">
        <v>119.45841414876962</v>
      </c>
      <c r="K988" s="83">
        <v>119.72333937768275</v>
      </c>
      <c r="L988" s="83">
        <v>116.81959981424845</v>
      </c>
      <c r="M988" s="83">
        <v>116.85538708719731</v>
      </c>
      <c r="N988" s="83">
        <v>29255070.692196984</v>
      </c>
      <c r="O988" s="83" t="s">
        <v>1243</v>
      </c>
      <c r="P988" s="84">
        <f t="shared" si="26"/>
        <v>2.2275627392598807E-2</v>
      </c>
    </row>
    <row r="989" spans="2:16" ht="15" customHeight="1">
      <c r="B989" s="83">
        <v>342.91672227192373</v>
      </c>
      <c r="C989" s="83">
        <v>343.68408836372106</v>
      </c>
      <c r="D989" s="83">
        <v>339.55949562031049</v>
      </c>
      <c r="E989" s="83">
        <v>339.56908769645798</v>
      </c>
      <c r="F989" s="83">
        <v>3896422.3621047861</v>
      </c>
      <c r="G989" s="83" t="s">
        <v>1242</v>
      </c>
      <c r="H989" s="84">
        <f t="shared" si="25"/>
        <v>9.8584785740514214E-3</v>
      </c>
      <c r="J989" s="83">
        <v>118.60101073436972</v>
      </c>
      <c r="K989" s="83">
        <v>119.15372031279207</v>
      </c>
      <c r="L989" s="83">
        <v>114.85129980206085</v>
      </c>
      <c r="M989" s="83">
        <v>115.32249889588758</v>
      </c>
      <c r="N989" s="83">
        <v>32375248.084856931</v>
      </c>
      <c r="O989" s="83" t="s">
        <v>1242</v>
      </c>
      <c r="P989" s="84">
        <f t="shared" si="26"/>
        <v>2.842907385697524E-2</v>
      </c>
    </row>
    <row r="990" spans="2:16" ht="15" customHeight="1">
      <c r="B990" s="83">
        <v>337.95761890368362</v>
      </c>
      <c r="C990" s="83">
        <v>340.21175679833823</v>
      </c>
      <c r="D990" s="83">
        <v>334.69631301354502</v>
      </c>
      <c r="E990" s="83">
        <v>336.90249052746231</v>
      </c>
      <c r="F990" s="83">
        <v>5682740.5414622156</v>
      </c>
      <c r="G990" s="83" t="s">
        <v>1241</v>
      </c>
      <c r="H990" s="84">
        <f t="shared" si="25"/>
        <v>3.1318509238960068E-3</v>
      </c>
      <c r="J990" s="83">
        <v>114.53269366372443</v>
      </c>
      <c r="K990" s="83">
        <v>115.6644661707323</v>
      </c>
      <c r="L990" s="83">
        <v>111.58720228184978</v>
      </c>
      <c r="M990" s="83">
        <v>113.41782070227576</v>
      </c>
      <c r="N990" s="83">
        <v>29024186.377211425</v>
      </c>
      <c r="O990" s="83" t="s">
        <v>1241</v>
      </c>
      <c r="P990" s="84">
        <f t="shared" si="26"/>
        <v>9.8297864880971808E-3</v>
      </c>
    </row>
    <row r="991" spans="2:16" ht="15" customHeight="1">
      <c r="B991" s="83">
        <v>336.7394252329554</v>
      </c>
      <c r="C991" s="83">
        <v>336.77779353754528</v>
      </c>
      <c r="D991" s="83">
        <v>328.79718618285318</v>
      </c>
      <c r="E991" s="83">
        <v>331.38704674266916</v>
      </c>
      <c r="F991" s="83">
        <v>6443405.8956386643</v>
      </c>
      <c r="G991" s="83" t="s">
        <v>1240</v>
      </c>
      <c r="H991" s="84">
        <f t="shared" si="25"/>
        <v>1.6151441472733508E-2</v>
      </c>
      <c r="J991" s="83">
        <v>113.21403206465027</v>
      </c>
      <c r="K991" s="83">
        <v>113.37863363839674</v>
      </c>
      <c r="L991" s="83">
        <v>105.62166766991157</v>
      </c>
      <c r="M991" s="83">
        <v>106.87918770724352</v>
      </c>
      <c r="N991" s="83">
        <v>36645923.870027266</v>
      </c>
      <c r="O991" s="83" t="s">
        <v>1240</v>
      </c>
      <c r="P991" s="84">
        <f t="shared" si="26"/>
        <v>5.9271075064293521E-2</v>
      </c>
    </row>
    <row r="992" spans="2:16" ht="15" customHeight="1">
      <c r="B992" s="83">
        <v>336.14471651181248</v>
      </c>
      <c r="C992" s="83">
        <v>336.51880748156367</v>
      </c>
      <c r="D992" s="83">
        <v>329.57414435079795</v>
      </c>
      <c r="E992" s="83">
        <v>332.0393079206969</v>
      </c>
      <c r="F992" s="83">
        <v>7799646.1714663506</v>
      </c>
      <c r="G992" s="83" t="s">
        <v>1239</v>
      </c>
      <c r="H992" s="84">
        <f t="shared" si="25"/>
        <v>1.2364224636006282E-2</v>
      </c>
      <c r="J992" s="83">
        <v>108.43643112597677</v>
      </c>
      <c r="K992" s="83">
        <v>109.15750988271438</v>
      </c>
      <c r="L992" s="83">
        <v>106.47210747745017</v>
      </c>
      <c r="M992" s="83">
        <v>107.69682748503355</v>
      </c>
      <c r="N992" s="83">
        <v>31212316.221915983</v>
      </c>
      <c r="O992" s="83" t="s">
        <v>1239</v>
      </c>
      <c r="P992" s="84">
        <f t="shared" si="26"/>
        <v>6.867459870589121E-3</v>
      </c>
    </row>
    <row r="993" spans="2:16" ht="15" customHeight="1">
      <c r="B993" s="83">
        <v>332.72993740331441</v>
      </c>
      <c r="C993" s="83">
        <v>335.56919194296444</v>
      </c>
      <c r="D993" s="83">
        <v>328.48064766998681</v>
      </c>
      <c r="E993" s="83">
        <v>331.77072978856779</v>
      </c>
      <c r="F993" s="83">
        <v>7464076.4834744353</v>
      </c>
      <c r="G993" s="83" t="s">
        <v>1238</v>
      </c>
      <c r="H993" s="84">
        <f t="shared" si="25"/>
        <v>2.8911761304497574E-3</v>
      </c>
      <c r="J993" s="83">
        <v>108.72620862777104</v>
      </c>
      <c r="K993" s="83">
        <v>110.67194277618255</v>
      </c>
      <c r="L993" s="83">
        <v>106.67589611507564</v>
      </c>
      <c r="M993" s="83">
        <v>109.84654908925357</v>
      </c>
      <c r="N993" s="83">
        <v>38272193.635906301</v>
      </c>
      <c r="O993" s="83" t="s">
        <v>1238</v>
      </c>
      <c r="P993" s="84">
        <f t="shared" si="26"/>
        <v>-1.0199141172584469E-2</v>
      </c>
    </row>
    <row r="994" spans="2:16" ht="15" customHeight="1">
      <c r="B994" s="83">
        <v>335.37735042001515</v>
      </c>
      <c r="C994" s="83">
        <v>337.02718751737939</v>
      </c>
      <c r="D994" s="83">
        <v>333.62200048502882</v>
      </c>
      <c r="E994" s="83">
        <v>336.13512443566503</v>
      </c>
      <c r="F994" s="83">
        <v>3936437.6824691249</v>
      </c>
      <c r="G994" s="83" t="s">
        <v>1237</v>
      </c>
      <c r="H994" s="84">
        <f t="shared" si="25"/>
        <v>-2.2543731986417459E-3</v>
      </c>
      <c r="J994" s="83">
        <v>111.59316682734126</v>
      </c>
      <c r="K994" s="83">
        <v>112.99284683600798</v>
      </c>
      <c r="L994" s="83">
        <v>110.89482292983534</v>
      </c>
      <c r="M994" s="83">
        <v>111.48580500849465</v>
      </c>
      <c r="N994" s="83">
        <v>18738587.90409077</v>
      </c>
      <c r="O994" s="83" t="s">
        <v>1237</v>
      </c>
      <c r="P994" s="84">
        <f t="shared" si="26"/>
        <v>9.6300886770683825E-4</v>
      </c>
    </row>
    <row r="995" spans="2:16" ht="15" customHeight="1">
      <c r="B995" s="83">
        <v>335.21227078951728</v>
      </c>
      <c r="C995" s="83">
        <v>346.61369128502281</v>
      </c>
      <c r="D995" s="83">
        <v>335.21227078951728</v>
      </c>
      <c r="E995" s="83">
        <v>343.98185940692332</v>
      </c>
      <c r="F995" s="83">
        <v>9213697.9196066596</v>
      </c>
      <c r="G995" s="83" t="s">
        <v>1236</v>
      </c>
      <c r="H995" s="84">
        <f t="shared" si="25"/>
        <v>-2.5494334592312873E-2</v>
      </c>
      <c r="J995" s="83">
        <v>111.90630546564383</v>
      </c>
      <c r="K995" s="83">
        <v>117.16007595272029</v>
      </c>
      <c r="L995" s="83">
        <v>111.77955887394994</v>
      </c>
      <c r="M995" s="83">
        <v>115.66347207981705</v>
      </c>
      <c r="N995" s="83">
        <v>28484537.546533693</v>
      </c>
      <c r="O995" s="83" t="s">
        <v>1236</v>
      </c>
      <c r="P995" s="84">
        <f t="shared" si="26"/>
        <v>-3.2483605641550173E-2</v>
      </c>
    </row>
    <row r="996" spans="2:16" ht="15" customHeight="1">
      <c r="B996" s="83">
        <v>342.6157905917936</v>
      </c>
      <c r="C996" s="83">
        <v>345.00402278607629</v>
      </c>
      <c r="D996" s="83">
        <v>341.58407428386352</v>
      </c>
      <c r="E996" s="83">
        <v>344.86072885441939</v>
      </c>
      <c r="F996" s="83">
        <v>4824269.19274511</v>
      </c>
      <c r="G996" s="83" t="s">
        <v>1235</v>
      </c>
      <c r="H996" s="84">
        <f t="shared" si="25"/>
        <v>-6.5096952908589856E-3</v>
      </c>
      <c r="J996" s="83">
        <v>115.93336776330639</v>
      </c>
      <c r="K996" s="83">
        <v>118.54534164311595</v>
      </c>
      <c r="L996" s="83">
        <v>115.31529173675204</v>
      </c>
      <c r="M996" s="83">
        <v>118.23220300481336</v>
      </c>
      <c r="N996" s="83">
        <v>33034503.682055157</v>
      </c>
      <c r="O996" s="83" t="s">
        <v>1235</v>
      </c>
      <c r="P996" s="84">
        <f t="shared" si="26"/>
        <v>-1.944339345020385E-2</v>
      </c>
    </row>
    <row r="997" spans="2:16" ht="15" customHeight="1">
      <c r="B997" s="83">
        <v>343.90543597670631</v>
      </c>
      <c r="C997" s="83">
        <v>343.92454183426054</v>
      </c>
      <c r="D997" s="83">
        <v>336.23443416867036</v>
      </c>
      <c r="E997" s="83">
        <v>336.29175174133309</v>
      </c>
      <c r="F997" s="83">
        <v>5714016.2219858039</v>
      </c>
      <c r="G997" s="83" t="s">
        <v>1234</v>
      </c>
      <c r="H997" s="84">
        <f t="shared" si="25"/>
        <v>2.2640115899213331E-2</v>
      </c>
      <c r="J997" s="83">
        <v>117.83754891146062</v>
      </c>
      <c r="K997" s="83">
        <v>117.93646095752761</v>
      </c>
      <c r="L997" s="83">
        <v>112.93171024472034</v>
      </c>
      <c r="M997" s="83">
        <v>112.93171024472034</v>
      </c>
      <c r="N997" s="83">
        <v>39355313.88525822</v>
      </c>
      <c r="O997" s="83" t="s">
        <v>1234</v>
      </c>
      <c r="P997" s="84">
        <f t="shared" si="26"/>
        <v>4.3440754205434917E-2</v>
      </c>
    </row>
    <row r="998" spans="2:16" ht="15" customHeight="1">
      <c r="B998" s="83">
        <v>333.5214023959652</v>
      </c>
      <c r="C998" s="83">
        <v>333.97994297726746</v>
      </c>
      <c r="D998" s="83">
        <v>328.75449093617692</v>
      </c>
      <c r="E998" s="83">
        <v>332.08846307939558</v>
      </c>
      <c r="F998" s="83">
        <v>7022740.5191803528</v>
      </c>
      <c r="G998" s="83" t="s">
        <v>1233</v>
      </c>
      <c r="H998" s="84">
        <f t="shared" si="25"/>
        <v>4.3149325432212393E-3</v>
      </c>
      <c r="J998" s="83">
        <v>112.01863773906666</v>
      </c>
      <c r="K998" s="83">
        <v>112.52761228767272</v>
      </c>
      <c r="L998" s="83">
        <v>110.37292022887648</v>
      </c>
      <c r="M998" s="83">
        <v>112.28256887706453</v>
      </c>
      <c r="N998" s="83">
        <v>24856599.75464008</v>
      </c>
      <c r="O998" s="83" t="s">
        <v>1233</v>
      </c>
      <c r="P998" s="84">
        <f t="shared" si="26"/>
        <v>-2.3505976095616887E-3</v>
      </c>
    </row>
    <row r="999" spans="2:16" ht="15" customHeight="1">
      <c r="B999" s="83">
        <v>330.05368924986675</v>
      </c>
      <c r="C999" s="83">
        <v>333.88441368949617</v>
      </c>
      <c r="D999" s="83">
        <v>326.36129121893015</v>
      </c>
      <c r="E999" s="83">
        <v>326.78658760808798</v>
      </c>
      <c r="F999" s="83">
        <v>5104256.6251232419</v>
      </c>
      <c r="G999" s="83" t="s">
        <v>1232</v>
      </c>
      <c r="H999" s="84">
        <f t="shared" si="25"/>
        <v>9.9976613657626334E-3</v>
      </c>
      <c r="J999" s="83">
        <v>111.37198159869895</v>
      </c>
      <c r="K999" s="83">
        <v>113.09722638210883</v>
      </c>
      <c r="L999" s="83">
        <v>110.07000581563723</v>
      </c>
      <c r="M999" s="83">
        <v>110.50612841151948</v>
      </c>
      <c r="N999" s="83">
        <v>24063915.717481568</v>
      </c>
      <c r="O999" s="83" t="s">
        <v>1232</v>
      </c>
      <c r="P999" s="84">
        <f t="shared" si="26"/>
        <v>7.8353408958014015E-3</v>
      </c>
    </row>
    <row r="1000" spans="2:16" ht="15" customHeight="1">
      <c r="B1000" s="83">
        <v>330.75105305059731</v>
      </c>
      <c r="C1000" s="83">
        <v>331.9642750052929</v>
      </c>
      <c r="D1000" s="83">
        <v>327.77053927213251</v>
      </c>
      <c r="E1000" s="83">
        <v>327.84696270234951</v>
      </c>
      <c r="F1000" s="83">
        <v>5891751.2433192264</v>
      </c>
      <c r="G1000" s="83" t="s">
        <v>1231</v>
      </c>
      <c r="H1000" s="84">
        <f t="shared" si="25"/>
        <v>8.8580669599931383E-3</v>
      </c>
      <c r="J1000" s="83">
        <v>111.3530938713093</v>
      </c>
      <c r="K1000" s="83">
        <v>112.00720569354132</v>
      </c>
      <c r="L1000" s="83">
        <v>108.6476754454666</v>
      </c>
      <c r="M1000" s="83">
        <v>109.0537615843447</v>
      </c>
      <c r="N1000" s="83">
        <v>39242165.28056331</v>
      </c>
      <c r="O1000" s="83" t="s">
        <v>1231</v>
      </c>
      <c r="P1000" s="84">
        <f t="shared" si="26"/>
        <v>2.1084392262675333E-2</v>
      </c>
    </row>
    <row r="1001" spans="2:16" ht="15" customHeight="1">
      <c r="B1001" s="83">
        <v>322.841228023133</v>
      </c>
      <c r="C1001" s="83">
        <v>325.63068322605523</v>
      </c>
      <c r="D1001" s="83">
        <v>319.29709144681755</v>
      </c>
      <c r="E1001" s="83">
        <v>322.22984058139667</v>
      </c>
      <c r="F1001" s="83">
        <v>7415506.9772515446</v>
      </c>
      <c r="G1001" s="83" t="s">
        <v>1230</v>
      </c>
      <c r="H1001" s="84">
        <f t="shared" si="25"/>
        <v>1.8973644422044522E-3</v>
      </c>
      <c r="J1001" s="83">
        <v>107.22811361849494</v>
      </c>
      <c r="K1001" s="83">
        <v>108.60393544519576</v>
      </c>
      <c r="L1001" s="83">
        <v>105.00436206381653</v>
      </c>
      <c r="M1001" s="83">
        <v>105.9054756557598</v>
      </c>
      <c r="N1001" s="83">
        <v>43775332.147784583</v>
      </c>
      <c r="O1001" s="83" t="s">
        <v>1230</v>
      </c>
      <c r="P1001" s="84">
        <f t="shared" si="26"/>
        <v>1.2488853428450852E-2</v>
      </c>
    </row>
    <row r="1002" spans="2:16" ht="15" customHeight="1">
      <c r="B1002" s="83">
        <v>322.00057029074554</v>
      </c>
      <c r="C1002" s="83">
        <v>325.60202443972378</v>
      </c>
      <c r="D1002" s="83">
        <v>319.61233809646285</v>
      </c>
      <c r="E1002" s="83">
        <v>325.25811900374714</v>
      </c>
      <c r="F1002" s="83">
        <v>9234727.0725174323</v>
      </c>
      <c r="G1002" s="83" t="s">
        <v>1229</v>
      </c>
      <c r="H1002" s="84">
        <f t="shared" si="25"/>
        <v>-1.0015272556391008E-2</v>
      </c>
      <c r="J1002" s="83">
        <v>106.00587883819966</v>
      </c>
      <c r="K1002" s="83">
        <v>108.64469317272086</v>
      </c>
      <c r="L1002" s="83">
        <v>105.16736812164405</v>
      </c>
      <c r="M1002" s="83">
        <v>107.51043543842488</v>
      </c>
      <c r="N1002" s="83">
        <v>35523149.299933232</v>
      </c>
      <c r="O1002" s="83" t="s">
        <v>1229</v>
      </c>
      <c r="P1002" s="84">
        <f t="shared" si="26"/>
        <v>-1.3994516849361371E-2</v>
      </c>
    </row>
    <row r="1003" spans="2:16" ht="15" customHeight="1">
      <c r="B1003" s="83">
        <v>332.9386737405602</v>
      </c>
      <c r="C1003" s="83">
        <v>337.06553897228065</v>
      </c>
      <c r="D1003" s="83">
        <v>326.68150539153959</v>
      </c>
      <c r="E1003" s="83">
        <v>331.31467584844796</v>
      </c>
      <c r="F1003" s="83">
        <v>8256759.978031666</v>
      </c>
      <c r="G1003" s="83" t="s">
        <v>1228</v>
      </c>
      <c r="H1003" s="84">
        <f t="shared" si="25"/>
        <v>4.9016781039157298E-3</v>
      </c>
      <c r="J1003" s="83">
        <v>109.73819317949174</v>
      </c>
      <c r="K1003" s="83">
        <v>111.40081023524111</v>
      </c>
      <c r="L1003" s="83">
        <v>107.47986714278106</v>
      </c>
      <c r="M1003" s="83">
        <v>108.25600362485957</v>
      </c>
      <c r="N1003" s="83">
        <v>33389320.323662452</v>
      </c>
      <c r="O1003" s="83" t="s">
        <v>1228</v>
      </c>
      <c r="P1003" s="84">
        <f t="shared" si="26"/>
        <v>1.3691522917919752E-2</v>
      </c>
    </row>
    <row r="1004" spans="2:16" ht="15" customHeight="1">
      <c r="B1004" s="83">
        <v>328.23863278221194</v>
      </c>
      <c r="C1004" s="83">
        <v>331.7923222873045</v>
      </c>
      <c r="D1004" s="83">
        <v>325.34409536274126</v>
      </c>
      <c r="E1004" s="83">
        <v>330.88479405347709</v>
      </c>
      <c r="F1004" s="83">
        <v>7939125.4524541209</v>
      </c>
      <c r="G1004" s="83" t="s">
        <v>1227</v>
      </c>
      <c r="H1004" s="84">
        <f t="shared" si="25"/>
        <v>-7.9972283973783753E-3</v>
      </c>
      <c r="J1004" s="83">
        <v>106.5605815689071</v>
      </c>
      <c r="K1004" s="83">
        <v>107.81661544032073</v>
      </c>
      <c r="L1004" s="83">
        <v>105.72355701826974</v>
      </c>
      <c r="M1004" s="83">
        <v>106.25837793067224</v>
      </c>
      <c r="N1004" s="83">
        <v>25632404.047961634</v>
      </c>
      <c r="O1004" s="83" t="s">
        <v>1227</v>
      </c>
      <c r="P1004" s="84">
        <f t="shared" si="26"/>
        <v>2.8440452801945515E-3</v>
      </c>
    </row>
    <row r="1005" spans="2:16" ht="15" customHeight="1">
      <c r="B1005" s="83">
        <v>329.06018465704511</v>
      </c>
      <c r="C1005" s="83">
        <v>335.15046334032928</v>
      </c>
      <c r="D1005" s="83">
        <v>327.72277462824684</v>
      </c>
      <c r="E1005" s="83">
        <v>333.50229653841092</v>
      </c>
      <c r="F1005" s="83">
        <v>10886407.972491557</v>
      </c>
      <c r="G1005" s="83" t="s">
        <v>1226</v>
      </c>
      <c r="H1005" s="84">
        <f t="shared" si="25"/>
        <v>-1.3319584085245362E-2</v>
      </c>
      <c r="J1005" s="83">
        <v>106.24495770331642</v>
      </c>
      <c r="K1005" s="83">
        <v>108.57311862682313</v>
      </c>
      <c r="L1005" s="83">
        <v>105.95821714926821</v>
      </c>
      <c r="M1005" s="83">
        <v>106.81109247954915</v>
      </c>
      <c r="N1005" s="83">
        <v>36974686.556606129</v>
      </c>
      <c r="O1005" s="83" t="s">
        <v>1226</v>
      </c>
      <c r="P1005" s="84">
        <f t="shared" si="26"/>
        <v>-5.3003369134261291E-3</v>
      </c>
    </row>
    <row r="1006" spans="2:16" ht="15" customHeight="1">
      <c r="B1006" s="83">
        <v>342.25277929826268</v>
      </c>
      <c r="C1006" s="83">
        <v>347.43046669546754</v>
      </c>
      <c r="D1006" s="83">
        <v>342.21456758315418</v>
      </c>
      <c r="E1006" s="83">
        <v>346.7044441084056</v>
      </c>
      <c r="F1006" s="83">
        <v>7986757.9650181551</v>
      </c>
      <c r="G1006" s="83" t="s">
        <v>1225</v>
      </c>
      <c r="H1006" s="84">
        <f t="shared" si="25"/>
        <v>-1.2839941586531789E-2</v>
      </c>
      <c r="J1006" s="83">
        <v>110.76906545860211</v>
      </c>
      <c r="K1006" s="83">
        <v>112.82633660770423</v>
      </c>
      <c r="L1006" s="83">
        <v>110.2059129551151</v>
      </c>
      <c r="M1006" s="83">
        <v>112.11481603511673</v>
      </c>
      <c r="N1006" s="83">
        <v>31536089.42521527</v>
      </c>
      <c r="O1006" s="83" t="s">
        <v>1225</v>
      </c>
      <c r="P1006" s="84">
        <f t="shared" si="26"/>
        <v>-1.2003325020781386E-2</v>
      </c>
    </row>
    <row r="1007" spans="2:16" ht="15" customHeight="1">
      <c r="B1007" s="83">
        <v>352.5986011638953</v>
      </c>
      <c r="C1007" s="83">
        <v>361.52103664173535</v>
      </c>
      <c r="D1007" s="83">
        <v>352.52217773367818</v>
      </c>
      <c r="E1007" s="83">
        <v>359.41939231076663</v>
      </c>
      <c r="F1007" s="83">
        <v>3163405.7685371609</v>
      </c>
      <c r="G1007" s="83" t="s">
        <v>1224</v>
      </c>
      <c r="H1007" s="84">
        <f t="shared" si="25"/>
        <v>-1.8977248564745919E-2</v>
      </c>
      <c r="J1007" s="83">
        <v>114.23893979826917</v>
      </c>
      <c r="K1007" s="83">
        <v>117.65065981939431</v>
      </c>
      <c r="L1007" s="83">
        <v>114.18824116159162</v>
      </c>
      <c r="M1007" s="83">
        <v>115.6540282161222</v>
      </c>
      <c r="N1007" s="83">
        <v>23279158.520694643</v>
      </c>
      <c r="O1007" s="83" t="s">
        <v>1224</v>
      </c>
      <c r="P1007" s="84">
        <f t="shared" si="26"/>
        <v>-1.2235530743543666E-2</v>
      </c>
    </row>
    <row r="1008" spans="2:16" ht="15" customHeight="1">
      <c r="B1008" s="83">
        <v>361.09115484676448</v>
      </c>
      <c r="C1008" s="83">
        <v>365.14159664826792</v>
      </c>
      <c r="D1008" s="83">
        <v>360.39379104603393</v>
      </c>
      <c r="E1008" s="83">
        <v>363.48893996982429</v>
      </c>
      <c r="F1008" s="83">
        <v>3597266.4301933097</v>
      </c>
      <c r="G1008" s="83" t="s">
        <v>1223</v>
      </c>
      <c r="H1008" s="84">
        <f t="shared" ref="H1008:H1071" si="27">B1008/E1008-1</f>
        <v>-6.5965834428383108E-3</v>
      </c>
      <c r="J1008" s="83">
        <v>116.54523072164049</v>
      </c>
      <c r="K1008" s="83">
        <v>117.94491073030721</v>
      </c>
      <c r="L1008" s="83">
        <v>116.00717901376343</v>
      </c>
      <c r="M1008" s="83">
        <v>116.18586685577897</v>
      </c>
      <c r="N1008" s="83">
        <v>22678267.806536946</v>
      </c>
      <c r="O1008" s="83" t="s">
        <v>1223</v>
      </c>
      <c r="P1008" s="84">
        <f t="shared" ref="P1008:P1071" si="28">J1008/M1008-1</f>
        <v>3.093008431977351E-3</v>
      </c>
    </row>
    <row r="1009" spans="2:16" ht="15" customHeight="1">
      <c r="B1009" s="83">
        <v>365.08427907560514</v>
      </c>
      <c r="C1009" s="83">
        <v>365.50460794179889</v>
      </c>
      <c r="D1009" s="83">
        <v>357.95779420786556</v>
      </c>
      <c r="E1009" s="83">
        <v>358.38767600283649</v>
      </c>
      <c r="F1009" s="83">
        <v>2773868.6865787539</v>
      </c>
      <c r="G1009" s="83" t="s">
        <v>1222</v>
      </c>
      <c r="H1009" s="84">
        <f t="shared" si="27"/>
        <v>1.8685360912677362E-2</v>
      </c>
      <c r="J1009" s="83">
        <v>116.53678094886089</v>
      </c>
      <c r="K1009" s="83">
        <v>117.05283839523808</v>
      </c>
      <c r="L1009" s="83">
        <v>114.44521863363734</v>
      </c>
      <c r="M1009" s="83">
        <v>114.96462616639893</v>
      </c>
      <c r="N1009" s="83">
        <v>26570547.617827151</v>
      </c>
      <c r="O1009" s="83" t="s">
        <v>1222</v>
      </c>
      <c r="P1009" s="84">
        <f t="shared" si="28"/>
        <v>1.3675117598229258E-2</v>
      </c>
    </row>
    <row r="1010" spans="2:16" ht="15" customHeight="1">
      <c r="B1010" s="83">
        <v>361.5496954280668</v>
      </c>
      <c r="C1010" s="83">
        <v>365.83896044899842</v>
      </c>
      <c r="D1010" s="83">
        <v>360.53708497769094</v>
      </c>
      <c r="E1010" s="83">
        <v>364.28183305832613</v>
      </c>
      <c r="F1010" s="83">
        <v>2783944.1306907646</v>
      </c>
      <c r="G1010" s="83" t="s">
        <v>1221</v>
      </c>
      <c r="H1010" s="84">
        <f t="shared" si="27"/>
        <v>-7.5000655600134802E-3</v>
      </c>
      <c r="J1010" s="83">
        <v>116.31907503842196</v>
      </c>
      <c r="K1010" s="83">
        <v>118.6929442622117</v>
      </c>
      <c r="L1010" s="83">
        <v>115.83971445818105</v>
      </c>
      <c r="M1010" s="83">
        <v>116.05265867313595</v>
      </c>
      <c r="N1010" s="83">
        <v>23928113.249186646</v>
      </c>
      <c r="O1010" s="83" t="s">
        <v>1221</v>
      </c>
      <c r="P1010" s="84">
        <f t="shared" si="28"/>
        <v>2.295650684198236E-3</v>
      </c>
    </row>
    <row r="1011" spans="2:16" ht="15" customHeight="1">
      <c r="B1011" s="83">
        <v>360.56574376402227</v>
      </c>
      <c r="C1011" s="83">
        <v>363.58446925759563</v>
      </c>
      <c r="D1011" s="83">
        <v>359.64866260141775</v>
      </c>
      <c r="E1011" s="83">
        <v>362.16108286980312</v>
      </c>
      <c r="F1011" s="83">
        <v>2878214.6963999844</v>
      </c>
      <c r="G1011" s="83" t="s">
        <v>1220</v>
      </c>
      <c r="H1011" s="84">
        <f t="shared" si="27"/>
        <v>-4.4050539421276458E-3</v>
      </c>
      <c r="J1011" s="83">
        <v>113.887031614272</v>
      </c>
      <c r="K1011" s="83">
        <v>115.67689230717288</v>
      </c>
      <c r="L1011" s="83">
        <v>112.99632615421135</v>
      </c>
      <c r="M1011" s="83">
        <v>115.30709048670126</v>
      </c>
      <c r="N1011" s="83">
        <v>25100400.393276799</v>
      </c>
      <c r="O1011" s="83" t="s">
        <v>1220</v>
      </c>
      <c r="P1011" s="84">
        <f t="shared" si="28"/>
        <v>-1.2315451430049196E-2</v>
      </c>
    </row>
    <row r="1012" spans="2:16" ht="15" customHeight="1">
      <c r="B1012" s="83">
        <v>366.49811253462042</v>
      </c>
      <c r="C1012" s="83">
        <v>366.58408889361465</v>
      </c>
      <c r="D1012" s="83">
        <v>357.47059484023191</v>
      </c>
      <c r="E1012" s="83">
        <v>359.58179209997786</v>
      </c>
      <c r="F1012" s="83">
        <v>3426929.1401367262</v>
      </c>
      <c r="G1012" s="83" t="s">
        <v>1219</v>
      </c>
      <c r="H1012" s="84">
        <f t="shared" si="27"/>
        <v>1.9234345527483043E-2</v>
      </c>
      <c r="J1012" s="83">
        <v>117.05022890658557</v>
      </c>
      <c r="K1012" s="83">
        <v>117.201330725703</v>
      </c>
      <c r="L1012" s="83">
        <v>112.63845342472268</v>
      </c>
      <c r="M1012" s="83">
        <v>113.51325343013941</v>
      </c>
      <c r="N1012" s="83">
        <v>27658838.42041637</v>
      </c>
      <c r="O1012" s="83" t="s">
        <v>1219</v>
      </c>
      <c r="P1012" s="84">
        <f t="shared" si="28"/>
        <v>3.1159141065610907E-2</v>
      </c>
    </row>
    <row r="1013" spans="2:16" ht="15" customHeight="1">
      <c r="B1013" s="83">
        <v>359.66776845897198</v>
      </c>
      <c r="C1013" s="83">
        <v>365.53326672813023</v>
      </c>
      <c r="D1013" s="83">
        <v>357.37506555246063</v>
      </c>
      <c r="E1013" s="83">
        <v>364.54931506408582</v>
      </c>
      <c r="F1013" s="83">
        <v>4444519.6850669421</v>
      </c>
      <c r="G1013" s="83" t="s">
        <v>1218</v>
      </c>
      <c r="H1013" s="84">
        <f t="shared" si="27"/>
        <v>-1.3390634417337122E-2</v>
      </c>
      <c r="J1013" s="83">
        <v>113.46255479346183</v>
      </c>
      <c r="K1013" s="83">
        <v>116.70527935899513</v>
      </c>
      <c r="L1013" s="83">
        <v>112.87952047166992</v>
      </c>
      <c r="M1013" s="83">
        <v>114.25236002562499</v>
      </c>
      <c r="N1013" s="83">
        <v>28799458.440788567</v>
      </c>
      <c r="O1013" s="83" t="s">
        <v>1218</v>
      </c>
      <c r="P1013" s="84">
        <f t="shared" si="28"/>
        <v>-6.9128132844347157E-3</v>
      </c>
    </row>
    <row r="1014" spans="2:16" ht="15" customHeight="1">
      <c r="B1014" s="83">
        <v>362.70559981009956</v>
      </c>
      <c r="C1014" s="83">
        <v>365.73387823245002</v>
      </c>
      <c r="D1014" s="83">
        <v>360.06899146761151</v>
      </c>
      <c r="E1014" s="83">
        <v>363.23101089284177</v>
      </c>
      <c r="F1014" s="83">
        <v>5251283.7864020327</v>
      </c>
      <c r="G1014" s="83" t="s">
        <v>1217</v>
      </c>
      <c r="H1014" s="84">
        <f t="shared" si="27"/>
        <v>-1.4464929121847936E-3</v>
      </c>
      <c r="J1014" s="83">
        <v>113.36513388376771</v>
      </c>
      <c r="K1014" s="83">
        <v>115.74548458032487</v>
      </c>
      <c r="L1014" s="83">
        <v>111.90729955655907</v>
      </c>
      <c r="M1014" s="83">
        <v>112.4108066051313</v>
      </c>
      <c r="N1014" s="83">
        <v>51606869.364952937</v>
      </c>
      <c r="O1014" s="83" t="s">
        <v>1217</v>
      </c>
      <c r="P1014" s="84">
        <f t="shared" si="28"/>
        <v>8.4896399862044447E-3</v>
      </c>
    </row>
    <row r="1015" spans="2:16" ht="15" customHeight="1">
      <c r="B1015" s="83">
        <v>364.73082071085128</v>
      </c>
      <c r="C1015" s="83">
        <v>364.78813828351406</v>
      </c>
      <c r="D1015" s="83">
        <v>358.04377056685979</v>
      </c>
      <c r="E1015" s="83">
        <v>358.17751156973958</v>
      </c>
      <c r="F1015" s="83">
        <v>4094859.3790049437</v>
      </c>
      <c r="G1015" s="83" t="s">
        <v>1216</v>
      </c>
      <c r="H1015" s="84">
        <f t="shared" si="27"/>
        <v>1.8296260735050973E-2</v>
      </c>
      <c r="J1015" s="83">
        <v>112.13246114886235</v>
      </c>
      <c r="K1015" s="83">
        <v>112.20105342201435</v>
      </c>
      <c r="L1015" s="83">
        <v>108.90265976522727</v>
      </c>
      <c r="M1015" s="83">
        <v>109.1397504485135</v>
      </c>
      <c r="N1015" s="83">
        <v>30102297.024399575</v>
      </c>
      <c r="O1015" s="83" t="s">
        <v>1216</v>
      </c>
      <c r="P1015" s="84">
        <f t="shared" si="28"/>
        <v>2.7420904739567487E-2</v>
      </c>
    </row>
    <row r="1016" spans="2:16" ht="15" customHeight="1">
      <c r="B1016" s="83">
        <v>355.80838523301117</v>
      </c>
      <c r="C1016" s="83">
        <v>357.40372433879202</v>
      </c>
      <c r="D1016" s="83">
        <v>349.89512231996724</v>
      </c>
      <c r="E1016" s="83">
        <v>350.06229857356703</v>
      </c>
      <c r="F1016" s="83">
        <v>4447068.6415773574</v>
      </c>
      <c r="G1016" s="83" t="s">
        <v>1215</v>
      </c>
      <c r="H1016" s="84">
        <f t="shared" si="27"/>
        <v>1.6414468747015132E-2</v>
      </c>
      <c r="J1016" s="83">
        <v>107.65606975750846</v>
      </c>
      <c r="K1016" s="83">
        <v>108.31142419338455</v>
      </c>
      <c r="L1016" s="83">
        <v>104.86466246749698</v>
      </c>
      <c r="M1016" s="83">
        <v>105.42383860732301</v>
      </c>
      <c r="N1016" s="83">
        <v>30467515.129134052</v>
      </c>
      <c r="O1016" s="83" t="s">
        <v>1215</v>
      </c>
      <c r="P1016" s="84">
        <f t="shared" si="28"/>
        <v>2.1173874710633145E-2</v>
      </c>
    </row>
    <row r="1017" spans="2:16" ht="15" customHeight="1">
      <c r="B1017" s="83">
        <v>348.87295894081427</v>
      </c>
      <c r="C1017" s="83">
        <v>350.74533298113192</v>
      </c>
      <c r="D1017" s="83">
        <v>344.16336505368878</v>
      </c>
      <c r="E1017" s="83">
        <v>344.42129413067136</v>
      </c>
      <c r="F1017" s="83">
        <v>5971571.7902728934</v>
      </c>
      <c r="G1017" s="83" t="s">
        <v>1214</v>
      </c>
      <c r="H1017" s="84">
        <f t="shared" si="27"/>
        <v>1.2925056859155681E-2</v>
      </c>
      <c r="J1017" s="83">
        <v>105.21408542420603</v>
      </c>
      <c r="K1017" s="83">
        <v>105.91510839672854</v>
      </c>
      <c r="L1017" s="83">
        <v>103.59545689145632</v>
      </c>
      <c r="M1017" s="83">
        <v>104.52070701082178</v>
      </c>
      <c r="N1017" s="83">
        <v>38124621.620359153</v>
      </c>
      <c r="O1017" s="83" t="s">
        <v>1214</v>
      </c>
      <c r="P1017" s="84">
        <f t="shared" si="28"/>
        <v>6.6338856023282489E-3</v>
      </c>
    </row>
    <row r="1018" spans="2:16" ht="15" customHeight="1">
      <c r="B1018" s="83">
        <v>345.98797445012082</v>
      </c>
      <c r="C1018" s="83">
        <v>346.97192611416523</v>
      </c>
      <c r="D1018" s="83">
        <v>339.79767660254009</v>
      </c>
      <c r="E1018" s="83">
        <v>344.71743492276244</v>
      </c>
      <c r="F1018" s="83">
        <v>5827847.2810640661</v>
      </c>
      <c r="G1018" s="83" t="s">
        <v>1213</v>
      </c>
      <c r="H1018" s="84">
        <f t="shared" si="27"/>
        <v>3.6857419980600437E-3</v>
      </c>
      <c r="J1018" s="83">
        <v>105.30007428837483</v>
      </c>
      <c r="K1018" s="83">
        <v>105.76630292762533</v>
      </c>
      <c r="L1018" s="83">
        <v>101.60404426548926</v>
      </c>
      <c r="M1018" s="83">
        <v>105.74890633660853</v>
      </c>
      <c r="N1018" s="83">
        <v>60745329.299223244</v>
      </c>
      <c r="O1018" s="83" t="s">
        <v>1213</v>
      </c>
      <c r="P1018" s="84">
        <f t="shared" si="28"/>
        <v>-4.2443185824071472E-3</v>
      </c>
    </row>
    <row r="1019" spans="2:16" ht="15" customHeight="1">
      <c r="B1019" s="83">
        <v>348.50039471850619</v>
      </c>
      <c r="C1019" s="83">
        <v>349.22641730556808</v>
      </c>
      <c r="D1019" s="83">
        <v>342.80684916733628</v>
      </c>
      <c r="E1019" s="83">
        <v>344.94670521341351</v>
      </c>
      <c r="F1019" s="83">
        <v>5500841.8073628098</v>
      </c>
      <c r="G1019" s="83" t="s">
        <v>1212</v>
      </c>
      <c r="H1019" s="84">
        <f t="shared" si="27"/>
        <v>1.0302140740535704E-2</v>
      </c>
      <c r="J1019" s="83">
        <v>111.00665318734596</v>
      </c>
      <c r="K1019" s="83">
        <v>111.34365000761446</v>
      </c>
      <c r="L1019" s="83">
        <v>108.50924828551857</v>
      </c>
      <c r="M1019" s="83">
        <v>109.45338613227369</v>
      </c>
      <c r="N1019" s="83">
        <v>31745808.674031012</v>
      </c>
      <c r="O1019" s="83" t="s">
        <v>1212</v>
      </c>
      <c r="P1019" s="84">
        <f t="shared" si="28"/>
        <v>1.4191128387706087E-2</v>
      </c>
    </row>
    <row r="1020" spans="2:16" ht="15" customHeight="1">
      <c r="B1020" s="83">
        <v>342.01395607883438</v>
      </c>
      <c r="C1020" s="83">
        <v>345.7682570882468</v>
      </c>
      <c r="D1020" s="83">
        <v>334.12323690892441</v>
      </c>
      <c r="E1020" s="83">
        <v>345.25239893428176</v>
      </c>
      <c r="F1020" s="83">
        <v>9165624.7045001686</v>
      </c>
      <c r="G1020" s="83" t="s">
        <v>1211</v>
      </c>
      <c r="H1020" s="84">
        <f t="shared" si="27"/>
        <v>-9.3799286129327974E-3</v>
      </c>
      <c r="J1020" s="83">
        <v>108.66706021831392</v>
      </c>
      <c r="K1020" s="83">
        <v>111.88493251096604</v>
      </c>
      <c r="L1020" s="83">
        <v>105.74443292748991</v>
      </c>
      <c r="M1020" s="83">
        <v>111.42317728083415</v>
      </c>
      <c r="N1020" s="83">
        <v>37809439.180609778</v>
      </c>
      <c r="O1020" s="83" t="s">
        <v>1211</v>
      </c>
      <c r="P1020" s="84">
        <f t="shared" si="28"/>
        <v>-2.4735581319617506E-2</v>
      </c>
    </row>
    <row r="1021" spans="2:16" ht="15" customHeight="1">
      <c r="B1021" s="83">
        <v>341.92797971984021</v>
      </c>
      <c r="C1021" s="83">
        <v>346.03573909400649</v>
      </c>
      <c r="D1021" s="83">
        <v>339.94097053419705</v>
      </c>
      <c r="E1021" s="83">
        <v>341.20195713277832</v>
      </c>
      <c r="F1021" s="83">
        <v>6657096.6332590003</v>
      </c>
      <c r="G1021" s="83" t="s">
        <v>1210</v>
      </c>
      <c r="H1021" s="84">
        <f t="shared" si="27"/>
        <v>2.1278382842901955E-3</v>
      </c>
      <c r="J1021" s="83">
        <v>110.09109545440415</v>
      </c>
      <c r="K1021" s="83">
        <v>112.91630183553403</v>
      </c>
      <c r="L1021" s="83">
        <v>109.81523522542334</v>
      </c>
      <c r="M1021" s="83">
        <v>111.18012205205645</v>
      </c>
      <c r="N1021" s="83">
        <v>29365261.820915695</v>
      </c>
      <c r="O1021" s="83" t="s">
        <v>1210</v>
      </c>
      <c r="P1021" s="84">
        <f t="shared" si="28"/>
        <v>-9.7951556227146019E-3</v>
      </c>
    </row>
    <row r="1022" spans="2:16" ht="15" customHeight="1">
      <c r="B1022" s="83">
        <v>344.23023555512873</v>
      </c>
      <c r="C1022" s="83">
        <v>354.56650449198423</v>
      </c>
      <c r="D1022" s="83">
        <v>342.95014309899324</v>
      </c>
      <c r="E1022" s="83">
        <v>354.39455177399583</v>
      </c>
      <c r="F1022" s="83">
        <v>7205716.8650507983</v>
      </c>
      <c r="G1022" s="83" t="s">
        <v>1209</v>
      </c>
      <c r="H1022" s="84">
        <f t="shared" si="27"/>
        <v>-2.8680791417327045E-2</v>
      </c>
      <c r="J1022" s="83">
        <v>111.73681296459434</v>
      </c>
      <c r="K1022" s="83">
        <v>115.01201448032872</v>
      </c>
      <c r="L1022" s="83">
        <v>111.47934341754556</v>
      </c>
      <c r="M1022" s="83">
        <v>114.55655184569035</v>
      </c>
      <c r="N1022" s="83">
        <v>28149095.390403137</v>
      </c>
      <c r="O1022" s="83" t="s">
        <v>1209</v>
      </c>
      <c r="P1022" s="84">
        <f t="shared" si="28"/>
        <v>-2.4614383338756984E-2</v>
      </c>
    </row>
    <row r="1023" spans="2:16" ht="15" customHeight="1">
      <c r="B1023" s="83">
        <v>358.42588771794499</v>
      </c>
      <c r="C1023" s="83">
        <v>358.76979315392168</v>
      </c>
      <c r="D1023" s="83">
        <v>353.53478818405404</v>
      </c>
      <c r="E1023" s="83">
        <v>356.95473668626687</v>
      </c>
      <c r="F1023" s="83">
        <v>4724529.1002322268</v>
      </c>
      <c r="G1023" s="83" t="s">
        <v>1208</v>
      </c>
      <c r="H1023" s="84">
        <f t="shared" si="27"/>
        <v>4.1213937804420731E-3</v>
      </c>
      <c r="J1023" s="83">
        <v>116.01190094561088</v>
      </c>
      <c r="K1023" s="83">
        <v>116.5347927670304</v>
      </c>
      <c r="L1023" s="83">
        <v>114.65596093721497</v>
      </c>
      <c r="M1023" s="83">
        <v>116.5347927670304</v>
      </c>
      <c r="N1023" s="83">
        <v>21704332.741694149</v>
      </c>
      <c r="O1023" s="83" t="s">
        <v>1208</v>
      </c>
      <c r="P1023" s="84">
        <f t="shared" si="28"/>
        <v>-4.4870017700624487E-3</v>
      </c>
    </row>
    <row r="1024" spans="2:16" ht="15" customHeight="1">
      <c r="B1024" s="83">
        <v>351.39493213797675</v>
      </c>
      <c r="C1024" s="83">
        <v>354.74801013874969</v>
      </c>
      <c r="D1024" s="83">
        <v>349.11178216024251</v>
      </c>
      <c r="E1024" s="83">
        <v>351.27074406387408</v>
      </c>
      <c r="F1024" s="83">
        <v>4940725.624689131</v>
      </c>
      <c r="G1024" s="83" t="s">
        <v>1207</v>
      </c>
      <c r="H1024" s="84">
        <f t="shared" si="27"/>
        <v>3.5353947404193065E-4</v>
      </c>
      <c r="J1024" s="83">
        <v>114.11418138840575</v>
      </c>
      <c r="K1024" s="83">
        <v>115.91845639957772</v>
      </c>
      <c r="L1024" s="83">
        <v>113.65938479468059</v>
      </c>
      <c r="M1024" s="83">
        <v>114.70218616477391</v>
      </c>
      <c r="N1024" s="83">
        <v>23420775.346521009</v>
      </c>
      <c r="O1024" s="83" t="s">
        <v>1207</v>
      </c>
      <c r="P1024" s="84">
        <f t="shared" si="28"/>
        <v>-5.1263606739234691E-3</v>
      </c>
    </row>
    <row r="1025" spans="2:16" ht="15" customHeight="1">
      <c r="B1025" s="83">
        <v>352.65591873655808</v>
      </c>
      <c r="C1025" s="83">
        <v>354.01243462291058</v>
      </c>
      <c r="D1025" s="83">
        <v>347.38423052018618</v>
      </c>
      <c r="E1025" s="83">
        <v>348.42397128828912</v>
      </c>
      <c r="F1025" s="83">
        <v>5629097.7620113064</v>
      </c>
      <c r="G1025" s="83" t="s">
        <v>1206</v>
      </c>
      <c r="H1025" s="84">
        <f t="shared" si="27"/>
        <v>1.2145970992240906E-2</v>
      </c>
      <c r="J1025" s="83">
        <v>115.82700003537505</v>
      </c>
      <c r="K1025" s="83">
        <v>117.38722572685404</v>
      </c>
      <c r="L1025" s="83">
        <v>113.32636433807311</v>
      </c>
      <c r="M1025" s="83">
        <v>114.1668682069138</v>
      </c>
      <c r="N1025" s="83">
        <v>29914326.289395209</v>
      </c>
      <c r="O1025" s="83" t="s">
        <v>1206</v>
      </c>
      <c r="P1025" s="84">
        <f t="shared" si="28"/>
        <v>1.4541275017305955E-2</v>
      </c>
    </row>
    <row r="1026" spans="2:16" ht="15" customHeight="1">
      <c r="B1026" s="83">
        <v>344.52637634721975</v>
      </c>
      <c r="C1026" s="83">
        <v>347.48778426813033</v>
      </c>
      <c r="D1026" s="83">
        <v>338.19278456798207</v>
      </c>
      <c r="E1026" s="83">
        <v>341.83722689645748</v>
      </c>
      <c r="F1026" s="83">
        <v>8038620.5939101502</v>
      </c>
      <c r="G1026" s="83" t="s">
        <v>1205</v>
      </c>
      <c r="H1026" s="84">
        <f t="shared" si="27"/>
        <v>7.866754230301698E-3</v>
      </c>
      <c r="J1026" s="83">
        <v>112.49232206018148</v>
      </c>
      <c r="K1026" s="83">
        <v>114.17780320698152</v>
      </c>
      <c r="L1026" s="83">
        <v>109.46282999596853</v>
      </c>
      <c r="M1026" s="83">
        <v>111.27654887083534</v>
      </c>
      <c r="N1026" s="83">
        <v>41711355.937427871</v>
      </c>
      <c r="O1026" s="83" t="s">
        <v>1205</v>
      </c>
      <c r="P1026" s="84">
        <f t="shared" si="28"/>
        <v>1.0925691007521721E-2</v>
      </c>
    </row>
    <row r="1027" spans="2:16" ht="15" customHeight="1">
      <c r="B1027" s="83">
        <v>344.79385835297944</v>
      </c>
      <c r="C1027" s="83">
        <v>354.7575630675268</v>
      </c>
      <c r="D1027" s="83">
        <v>344.16336505368878</v>
      </c>
      <c r="E1027" s="83">
        <v>349.60853445665339</v>
      </c>
      <c r="F1027" s="83">
        <v>8402600.0688041691</v>
      </c>
      <c r="G1027" s="83" t="s">
        <v>1204</v>
      </c>
      <c r="H1027" s="84">
        <f t="shared" si="27"/>
        <v>-1.3771620624641545E-2</v>
      </c>
      <c r="J1027" s="83">
        <v>113.28759479237848</v>
      </c>
      <c r="K1027" s="83">
        <v>115.98158117269585</v>
      </c>
      <c r="L1027" s="83">
        <v>112.97843251773692</v>
      </c>
      <c r="M1027" s="83">
        <v>113.03857501810931</v>
      </c>
      <c r="N1027" s="83">
        <v>36718613.398612387</v>
      </c>
      <c r="O1027" s="83" t="s">
        <v>1204</v>
      </c>
      <c r="P1027" s="84">
        <f t="shared" si="28"/>
        <v>2.2029627870776558E-3</v>
      </c>
    </row>
    <row r="1028" spans="2:16" ht="15" customHeight="1">
      <c r="B1028" s="83">
        <v>350.43963926026368</v>
      </c>
      <c r="C1028" s="83">
        <v>356.53440782007317</v>
      </c>
      <c r="D1028" s="83">
        <v>346.68533825085137</v>
      </c>
      <c r="E1028" s="83">
        <v>355.27342122149184</v>
      </c>
      <c r="F1028" s="83">
        <v>8239096.2851541527</v>
      </c>
      <c r="G1028" s="83" t="s">
        <v>1203</v>
      </c>
      <c r="H1028" s="84">
        <f t="shared" si="27"/>
        <v>-1.3605808012906784E-2</v>
      </c>
      <c r="J1028" s="83">
        <v>113.90741047803454</v>
      </c>
      <c r="K1028" s="83">
        <v>116.00146299100078</v>
      </c>
      <c r="L1028" s="83">
        <v>112.71329355927701</v>
      </c>
      <c r="M1028" s="83">
        <v>115.35480685063308</v>
      </c>
      <c r="N1028" s="83">
        <v>31342988.374741986</v>
      </c>
      <c r="O1028" s="83" t="s">
        <v>1203</v>
      </c>
      <c r="P1028" s="84">
        <f t="shared" si="28"/>
        <v>-1.2547343384421761E-2</v>
      </c>
    </row>
    <row r="1029" spans="2:16" ht="15" customHeight="1">
      <c r="B1029" s="83">
        <v>349.54166395521338</v>
      </c>
      <c r="C1029" s="83">
        <v>356.85920739849558</v>
      </c>
      <c r="D1029" s="83">
        <v>348.20425392641511</v>
      </c>
      <c r="E1029" s="83">
        <v>355.71285594523988</v>
      </c>
      <c r="F1029" s="83">
        <v>11298346.561358746</v>
      </c>
      <c r="G1029" s="83" t="s">
        <v>1202</v>
      </c>
      <c r="H1029" s="84">
        <f t="shared" si="27"/>
        <v>-1.7348802234396943E-2</v>
      </c>
      <c r="J1029" s="83">
        <v>112.41577705970752</v>
      </c>
      <c r="K1029" s="83">
        <v>114.88003399996605</v>
      </c>
      <c r="L1029" s="83">
        <v>111.88642364733892</v>
      </c>
      <c r="M1029" s="83">
        <v>112.6339800156041</v>
      </c>
      <c r="N1029" s="83">
        <v>34726159.821557671</v>
      </c>
      <c r="O1029" s="83" t="s">
        <v>1202</v>
      </c>
      <c r="P1029" s="84">
        <f t="shared" si="28"/>
        <v>-1.9372746649487516E-3</v>
      </c>
    </row>
    <row r="1030" spans="2:16" ht="15" customHeight="1">
      <c r="B1030" s="83">
        <v>361.19623706331294</v>
      </c>
      <c r="C1030" s="83">
        <v>364.23406841444046</v>
      </c>
      <c r="D1030" s="83">
        <v>356.27647874309059</v>
      </c>
      <c r="E1030" s="83">
        <v>361.1102607043187</v>
      </c>
      <c r="F1030" s="83">
        <v>8332153.6103723776</v>
      </c>
      <c r="G1030" s="83" t="s">
        <v>1201</v>
      </c>
      <c r="H1030" s="84">
        <f t="shared" si="27"/>
        <v>2.3808893944621268E-4</v>
      </c>
      <c r="J1030" s="83">
        <v>114.97655525738188</v>
      </c>
      <c r="K1030" s="83">
        <v>116.80419140506211</v>
      </c>
      <c r="L1030" s="83">
        <v>113.46851933895333</v>
      </c>
      <c r="M1030" s="83">
        <v>114.83638843833216</v>
      </c>
      <c r="N1030" s="83">
        <v>35519366.949705169</v>
      </c>
      <c r="O1030" s="83" t="s">
        <v>1201</v>
      </c>
      <c r="P1030" s="84">
        <f t="shared" si="28"/>
        <v>1.2205784329848424E-3</v>
      </c>
    </row>
    <row r="1031" spans="2:16" ht="15" customHeight="1">
      <c r="B1031" s="83">
        <v>363.47938704104718</v>
      </c>
      <c r="C1031" s="83">
        <v>372.86036310018955</v>
      </c>
      <c r="D1031" s="83">
        <v>359.52447452731508</v>
      </c>
      <c r="E1031" s="83">
        <v>372.77438674119537</v>
      </c>
      <c r="F1031" s="83">
        <v>10967582.031054245</v>
      </c>
      <c r="G1031" s="83" t="s">
        <v>1200</v>
      </c>
      <c r="H1031" s="84">
        <f t="shared" si="27"/>
        <v>-2.4934652247450173E-2</v>
      </c>
      <c r="J1031" s="83">
        <v>116.05663503679693</v>
      </c>
      <c r="K1031" s="83">
        <v>120.51687245077808</v>
      </c>
      <c r="L1031" s="83">
        <v>114.5018768453518</v>
      </c>
      <c r="M1031" s="83">
        <v>119.51010687636243</v>
      </c>
      <c r="N1031" s="83">
        <v>43345170.284878843</v>
      </c>
      <c r="O1031" s="83" t="s">
        <v>1200</v>
      </c>
      <c r="P1031" s="84">
        <f t="shared" si="28"/>
        <v>-2.8896901942680353E-2</v>
      </c>
    </row>
    <row r="1032" spans="2:16" ht="15" customHeight="1">
      <c r="B1032" s="83">
        <v>376.71019339737319</v>
      </c>
      <c r="C1032" s="83">
        <v>377.2690397308354</v>
      </c>
      <c r="D1032" s="83">
        <v>363.27877553672738</v>
      </c>
      <c r="E1032" s="83">
        <v>366.21152467130656</v>
      </c>
      <c r="F1032" s="83">
        <v>7712343.6925831232</v>
      </c>
      <c r="G1032" s="83" t="s">
        <v>1199</v>
      </c>
      <c r="H1032" s="84">
        <f t="shared" si="27"/>
        <v>2.866831876874909E-2</v>
      </c>
      <c r="J1032" s="83">
        <v>121.85069393630974</v>
      </c>
      <c r="K1032" s="83">
        <v>122.41533757616962</v>
      </c>
      <c r="L1032" s="83">
        <v>115.05459139422872</v>
      </c>
      <c r="M1032" s="83">
        <v>117.3062073172615</v>
      </c>
      <c r="N1032" s="83">
        <v>33428994.763288762</v>
      </c>
      <c r="O1032" s="83" t="s">
        <v>1199</v>
      </c>
      <c r="P1032" s="84">
        <f t="shared" si="28"/>
        <v>3.8740376344769345E-2</v>
      </c>
    </row>
    <row r="1033" spans="2:16" ht="15" customHeight="1">
      <c r="B1033" s="83">
        <v>365.61924308712446</v>
      </c>
      <c r="C1033" s="83">
        <v>367.84087220353399</v>
      </c>
      <c r="D1033" s="83">
        <v>363.01129353096775</v>
      </c>
      <c r="E1033" s="83">
        <v>364.55886799286293</v>
      </c>
      <c r="F1033" s="83">
        <v>5870132.7423528638</v>
      </c>
      <c r="G1033" s="83" t="s">
        <v>1198</v>
      </c>
      <c r="H1033" s="84">
        <f t="shared" si="27"/>
        <v>2.9086525863424306E-3</v>
      </c>
      <c r="J1033" s="83">
        <v>117.43146277258252</v>
      </c>
      <c r="K1033" s="83">
        <v>118.59504618887826</v>
      </c>
      <c r="L1033" s="83">
        <v>115.93784117242501</v>
      </c>
      <c r="M1033" s="83">
        <v>116.07502571872901</v>
      </c>
      <c r="N1033" s="83">
        <v>21341850.80520976</v>
      </c>
      <c r="O1033" s="83" t="s">
        <v>1198</v>
      </c>
      <c r="P1033" s="84">
        <f t="shared" si="28"/>
        <v>1.1685864771121546E-2</v>
      </c>
    </row>
    <row r="1034" spans="2:16" ht="15" customHeight="1">
      <c r="B1034" s="83">
        <v>364.04300983889783</v>
      </c>
      <c r="C1034" s="83">
        <v>365.17980836337642</v>
      </c>
      <c r="D1034" s="83">
        <v>355.68419715890849</v>
      </c>
      <c r="E1034" s="83">
        <v>361.85538914893493</v>
      </c>
      <c r="F1034" s="83">
        <v>11239504.920945216</v>
      </c>
      <c r="G1034" s="83" t="s">
        <v>1197</v>
      </c>
      <c r="H1034" s="84">
        <f t="shared" si="27"/>
        <v>6.0455661448295395E-3</v>
      </c>
      <c r="J1034" s="83">
        <v>116.46470935750553</v>
      </c>
      <c r="K1034" s="83">
        <v>116.64613094953798</v>
      </c>
      <c r="L1034" s="83">
        <v>112.72941274346772</v>
      </c>
      <c r="M1034" s="83">
        <v>113.23341683749759</v>
      </c>
      <c r="N1034" s="83">
        <v>30459628.526530851</v>
      </c>
      <c r="O1034" s="83" t="s">
        <v>1197</v>
      </c>
      <c r="P1034" s="84">
        <f t="shared" si="28"/>
        <v>2.8536562882715E-2</v>
      </c>
    </row>
    <row r="1035" spans="2:16" ht="15" customHeight="1">
      <c r="B1035" s="83">
        <v>361.76941278994076</v>
      </c>
      <c r="C1035" s="83">
        <v>373.94939698078241</v>
      </c>
      <c r="D1035" s="83">
        <v>361.10070777554159</v>
      </c>
      <c r="E1035" s="83">
        <v>372.01015243902492</v>
      </c>
      <c r="F1035" s="83">
        <v>8606725.9495150372</v>
      </c>
      <c r="G1035" s="83" t="s">
        <v>1196</v>
      </c>
      <c r="H1035" s="84">
        <f t="shared" si="27"/>
        <v>-2.7528118740691387E-2</v>
      </c>
      <c r="J1035" s="83">
        <v>114.2871532076586</v>
      </c>
      <c r="K1035" s="83">
        <v>118.25705527769452</v>
      </c>
      <c r="L1035" s="83">
        <v>114.01626343325401</v>
      </c>
      <c r="M1035" s="83">
        <v>116.8832216328242</v>
      </c>
      <c r="N1035" s="83">
        <v>33893378.848204821</v>
      </c>
      <c r="O1035" s="83" t="s">
        <v>1196</v>
      </c>
      <c r="P1035" s="84">
        <f t="shared" si="28"/>
        <v>-2.2210787732398929E-2</v>
      </c>
    </row>
    <row r="1036" spans="2:16" ht="15" customHeight="1">
      <c r="B1036" s="83">
        <v>375.56384194411754</v>
      </c>
      <c r="C1036" s="83">
        <v>377.24515740889251</v>
      </c>
      <c r="D1036" s="83">
        <v>366.70827696771732</v>
      </c>
      <c r="E1036" s="83">
        <v>370.87335391454639</v>
      </c>
      <c r="F1036" s="83">
        <v>7365481.4812859464</v>
      </c>
      <c r="G1036" s="83" t="s">
        <v>1195</v>
      </c>
      <c r="H1036" s="84">
        <f t="shared" si="27"/>
        <v>1.2647142157999003E-2</v>
      </c>
      <c r="J1036" s="83">
        <v>118.70588732592822</v>
      </c>
      <c r="K1036" s="83">
        <v>119.72681869588611</v>
      </c>
      <c r="L1036" s="83">
        <v>114.46349499511415</v>
      </c>
      <c r="M1036" s="83">
        <v>116.42295753906519</v>
      </c>
      <c r="N1036" s="83">
        <v>37009633.058447361</v>
      </c>
      <c r="O1036" s="83" t="s">
        <v>1195</v>
      </c>
      <c r="P1036" s="84">
        <f t="shared" si="28"/>
        <v>1.9608931392221196E-2</v>
      </c>
    </row>
    <row r="1037" spans="2:16" ht="15" customHeight="1">
      <c r="B1037" s="83">
        <v>366.38347738929485</v>
      </c>
      <c r="C1037" s="83">
        <v>371.37010621095715</v>
      </c>
      <c r="D1037" s="83">
        <v>364.44423284753736</v>
      </c>
      <c r="E1037" s="83">
        <v>366.35481860296352</v>
      </c>
      <c r="F1037" s="83">
        <v>6715952.9288639668</v>
      </c>
      <c r="G1037" s="83" t="s">
        <v>1194</v>
      </c>
      <c r="H1037" s="84">
        <f t="shared" si="27"/>
        <v>7.8226857887608858E-5</v>
      </c>
      <c r="J1037" s="83">
        <v>114.3408341170819</v>
      </c>
      <c r="K1037" s="83">
        <v>116.80568254143499</v>
      </c>
      <c r="L1037" s="83">
        <v>112.4557892190462</v>
      </c>
      <c r="M1037" s="83">
        <v>113.69716024945996</v>
      </c>
      <c r="N1037" s="83">
        <v>62608076.429893166</v>
      </c>
      <c r="O1037" s="83" t="s">
        <v>1194</v>
      </c>
      <c r="P1037" s="84">
        <f t="shared" si="28"/>
        <v>5.6613011812227665E-3</v>
      </c>
    </row>
    <row r="1038" spans="2:16" ht="15" customHeight="1">
      <c r="B1038" s="83">
        <v>365.437737440359</v>
      </c>
      <c r="C1038" s="83">
        <v>374.08313798366225</v>
      </c>
      <c r="D1038" s="83">
        <v>365.34220815258766</v>
      </c>
      <c r="E1038" s="83">
        <v>373.90163233689674</v>
      </c>
      <c r="F1038" s="83">
        <v>8890450.45570926</v>
      </c>
      <c r="G1038" s="83" t="s">
        <v>1193</v>
      </c>
      <c r="H1038" s="84">
        <f t="shared" si="27"/>
        <v>-2.263668880940195E-2</v>
      </c>
      <c r="J1038" s="83">
        <v>118.79982891741898</v>
      </c>
      <c r="K1038" s="83">
        <v>122.02465984647783</v>
      </c>
      <c r="L1038" s="83">
        <v>118.45771252893699</v>
      </c>
      <c r="M1038" s="83">
        <v>122.02465984647783</v>
      </c>
      <c r="N1038" s="83">
        <v>49686642.582146928</v>
      </c>
      <c r="O1038" s="83" t="s">
        <v>1193</v>
      </c>
      <c r="P1038" s="84">
        <f t="shared" si="28"/>
        <v>-2.6427698574338132E-2</v>
      </c>
    </row>
    <row r="1039" spans="2:16" ht="15" customHeight="1">
      <c r="B1039" s="83">
        <v>376.19433524340815</v>
      </c>
      <c r="C1039" s="83">
        <v>376.44118292300925</v>
      </c>
      <c r="D1039" s="83">
        <v>367.78775791953314</v>
      </c>
      <c r="E1039" s="83">
        <v>372.01015243902492</v>
      </c>
      <c r="F1039" s="83">
        <v>8522184.3373203129</v>
      </c>
      <c r="G1039" s="83" t="s">
        <v>1192</v>
      </c>
      <c r="H1039" s="84">
        <f t="shared" si="27"/>
        <v>1.1247496276513669E-2</v>
      </c>
      <c r="J1039" s="83">
        <v>122.52170530410096</v>
      </c>
      <c r="K1039" s="83">
        <v>122.54953984972785</v>
      </c>
      <c r="L1039" s="83">
        <v>118.06743243561132</v>
      </c>
      <c r="M1039" s="83">
        <v>118.72378096240266</v>
      </c>
      <c r="N1039" s="83">
        <v>34727004.814693727</v>
      </c>
      <c r="O1039" s="83" t="s">
        <v>1192</v>
      </c>
      <c r="P1039" s="84">
        <f t="shared" si="28"/>
        <v>3.1989583813044398E-2</v>
      </c>
    </row>
    <row r="1040" spans="2:16" ht="15" customHeight="1">
      <c r="B1040" s="83">
        <v>374.15000848510221</v>
      </c>
      <c r="C1040" s="83">
        <v>383.91787815971833</v>
      </c>
      <c r="D1040" s="83">
        <v>373.61504447358288</v>
      </c>
      <c r="E1040" s="83">
        <v>383.71249019101003</v>
      </c>
      <c r="F1040" s="83">
        <v>6622510.3814708609</v>
      </c>
      <c r="G1040" s="83" t="s">
        <v>1191</v>
      </c>
      <c r="H1040" s="84">
        <f t="shared" si="27"/>
        <v>-2.4920955012821433E-2</v>
      </c>
      <c r="J1040" s="83">
        <v>118.90719073626559</v>
      </c>
      <c r="K1040" s="83">
        <v>124.71069349947322</v>
      </c>
      <c r="L1040" s="83">
        <v>118.43648868789647</v>
      </c>
      <c r="M1040" s="83">
        <v>124.2613644057819</v>
      </c>
      <c r="N1040" s="83">
        <v>46686172.550428435</v>
      </c>
      <c r="O1040" s="83" t="s">
        <v>1191</v>
      </c>
      <c r="P1040" s="84">
        <f t="shared" si="28"/>
        <v>-4.3087999999999904E-2</v>
      </c>
    </row>
    <row r="1041" spans="2:16" ht="15" customHeight="1">
      <c r="B1041" s="83">
        <v>384.64867721116883</v>
      </c>
      <c r="C1041" s="83">
        <v>395.18555765234407</v>
      </c>
      <c r="D1041" s="83">
        <v>383.83667826511277</v>
      </c>
      <c r="E1041" s="83">
        <v>393.94367691131703</v>
      </c>
      <c r="F1041" s="83">
        <v>4888713.3034846131</v>
      </c>
      <c r="G1041" s="83" t="s">
        <v>1190</v>
      </c>
      <c r="H1041" s="84">
        <f t="shared" si="27"/>
        <v>-2.3594742713031636E-2</v>
      </c>
      <c r="J1041" s="83">
        <v>124.19923372357901</v>
      </c>
      <c r="K1041" s="83">
        <v>129.53750193845141</v>
      </c>
      <c r="L1041" s="83">
        <v>123.91343258544572</v>
      </c>
      <c r="M1041" s="83">
        <v>128.58565988710313</v>
      </c>
      <c r="N1041" s="83">
        <v>30336802.738539666</v>
      </c>
      <c r="O1041" s="83" t="s">
        <v>1190</v>
      </c>
      <c r="P1041" s="84">
        <f t="shared" si="28"/>
        <v>-3.4112872052570742E-2</v>
      </c>
    </row>
    <row r="1042" spans="2:16" ht="15" customHeight="1">
      <c r="B1042" s="83">
        <v>390.43775205011008</v>
      </c>
      <c r="C1042" s="83">
        <v>392.99793696238112</v>
      </c>
      <c r="D1042" s="83">
        <v>389.4442474572885</v>
      </c>
      <c r="E1042" s="83">
        <v>392.45342002208463</v>
      </c>
      <c r="F1042" s="83">
        <v>5304283.2394296797</v>
      </c>
      <c r="G1042" s="83" t="s">
        <v>1189</v>
      </c>
      <c r="H1042" s="84">
        <f t="shared" si="27"/>
        <v>-5.1360693247650691E-3</v>
      </c>
      <c r="J1042" s="83">
        <v>127.48768647121362</v>
      </c>
      <c r="K1042" s="83">
        <v>131.14395285748935</v>
      </c>
      <c r="L1042" s="83">
        <v>127.13831818950491</v>
      </c>
      <c r="M1042" s="83">
        <v>130.50823171718937</v>
      </c>
      <c r="N1042" s="83">
        <v>22743774.893465579</v>
      </c>
      <c r="O1042" s="83" t="s">
        <v>1189</v>
      </c>
      <c r="P1042" s="84">
        <f t="shared" si="28"/>
        <v>-2.3144480667865119E-2</v>
      </c>
    </row>
    <row r="1043" spans="2:16" ht="15" customHeight="1">
      <c r="B1043" s="83">
        <v>390.7338928422011</v>
      </c>
      <c r="C1043" s="83">
        <v>391.45036250048594</v>
      </c>
      <c r="D1043" s="83">
        <v>384.37164227663209</v>
      </c>
      <c r="E1043" s="83">
        <v>384.58180670972894</v>
      </c>
      <c r="F1043" s="83">
        <v>4021290.3179979706</v>
      </c>
      <c r="G1043" s="83" t="s">
        <v>1188</v>
      </c>
      <c r="H1043" s="84">
        <f t="shared" si="27"/>
        <v>1.5996820507724996E-2</v>
      </c>
      <c r="J1043" s="83">
        <v>129.75968125800895</v>
      </c>
      <c r="K1043" s="83">
        <v>130.13022864666698</v>
      </c>
      <c r="L1043" s="83">
        <v>126.69837828450811</v>
      </c>
      <c r="M1043" s="83">
        <v>127.32018215199464</v>
      </c>
      <c r="N1043" s="83">
        <v>22854348.280983932</v>
      </c>
      <c r="O1043" s="83" t="s">
        <v>1188</v>
      </c>
      <c r="P1043" s="84">
        <f t="shared" si="28"/>
        <v>1.9160348852643283E-2</v>
      </c>
    </row>
    <row r="1044" spans="2:16" ht="15" customHeight="1">
      <c r="B1044" s="83">
        <v>384.59135963850605</v>
      </c>
      <c r="C1044" s="83">
        <v>386.1484870291784</v>
      </c>
      <c r="D1044" s="83">
        <v>382.53747995142294</v>
      </c>
      <c r="E1044" s="83">
        <v>383.59785504568447</v>
      </c>
      <c r="F1044" s="83">
        <v>4507379.9883320061</v>
      </c>
      <c r="G1044" s="83" t="s">
        <v>1187</v>
      </c>
      <c r="H1044" s="84">
        <f t="shared" si="27"/>
        <v>2.5899638899264943E-3</v>
      </c>
      <c r="J1044" s="83">
        <v>127.20486760582607</v>
      </c>
      <c r="K1044" s="83">
        <v>127.951429883176</v>
      </c>
      <c r="L1044" s="83">
        <v>125.83050212231609</v>
      </c>
      <c r="M1044" s="83">
        <v>126.65712351152537</v>
      </c>
      <c r="N1044" s="83">
        <v>15005870.96332605</v>
      </c>
      <c r="O1044" s="83" t="s">
        <v>1187</v>
      </c>
      <c r="P1044" s="84">
        <f t="shared" si="28"/>
        <v>4.3246213013108381E-3</v>
      </c>
    </row>
    <row r="1045" spans="2:16" ht="15" customHeight="1">
      <c r="B1045" s="83">
        <v>384.52448913706615</v>
      </c>
      <c r="C1045" s="83">
        <v>390.50462255154997</v>
      </c>
      <c r="D1045" s="83">
        <v>384.35253641907775</v>
      </c>
      <c r="E1045" s="83">
        <v>389.49201210117417</v>
      </c>
      <c r="F1045" s="83">
        <v>3910506.4919389356</v>
      </c>
      <c r="G1045" s="83" t="s">
        <v>1186</v>
      </c>
      <c r="H1045" s="84">
        <f t="shared" si="27"/>
        <v>-1.2753850681840539E-2</v>
      </c>
      <c r="J1045" s="83">
        <v>126.50105123783172</v>
      </c>
      <c r="K1045" s="83">
        <v>129.93787205456684</v>
      </c>
      <c r="L1045" s="83">
        <v>126.36038737332439</v>
      </c>
      <c r="M1045" s="83">
        <v>129.87748103146561</v>
      </c>
      <c r="N1045" s="83">
        <v>23622950.01376481</v>
      </c>
      <c r="O1045" s="83" t="s">
        <v>1186</v>
      </c>
      <c r="P1045" s="84">
        <f t="shared" si="28"/>
        <v>-2.5997037876149376E-2</v>
      </c>
    </row>
    <row r="1046" spans="2:16" ht="15" customHeight="1">
      <c r="B1046" s="83">
        <v>389.25318888174587</v>
      </c>
      <c r="C1046" s="83">
        <v>389.95055268247643</v>
      </c>
      <c r="D1046" s="83">
        <v>384.48627742195765</v>
      </c>
      <c r="E1046" s="83">
        <v>384.57225378095183</v>
      </c>
      <c r="F1046" s="83">
        <v>4562694.9616064867</v>
      </c>
      <c r="G1046" s="83" t="s">
        <v>1185</v>
      </c>
      <c r="H1046" s="84">
        <f t="shared" si="27"/>
        <v>1.2171796209354824E-2</v>
      </c>
      <c r="J1046" s="83">
        <v>129.5161289837736</v>
      </c>
      <c r="K1046" s="83">
        <v>129.8836940996859</v>
      </c>
      <c r="L1046" s="83">
        <v>127.67964045649312</v>
      </c>
      <c r="M1046" s="83">
        <v>127.86643510992246</v>
      </c>
      <c r="N1046" s="83">
        <v>19659127.450288422</v>
      </c>
      <c r="O1046" s="83" t="s">
        <v>1185</v>
      </c>
      <c r="P1046" s="84">
        <f t="shared" si="28"/>
        <v>1.2901695995770401E-2</v>
      </c>
    </row>
    <row r="1047" spans="2:16" ht="15" customHeight="1">
      <c r="B1047" s="83">
        <v>384.90660628815141</v>
      </c>
      <c r="C1047" s="83">
        <v>391.39304492782315</v>
      </c>
      <c r="D1047" s="83">
        <v>383.42590232769612</v>
      </c>
      <c r="E1047" s="83">
        <v>389.11944787886603</v>
      </c>
      <c r="F1047" s="83">
        <v>6925429.0012482358</v>
      </c>
      <c r="G1047" s="83" t="s">
        <v>1184</v>
      </c>
      <c r="H1047" s="84">
        <f t="shared" si="27"/>
        <v>-1.0826602509022121E-2</v>
      </c>
      <c r="J1047" s="83">
        <v>127.61592419928039</v>
      </c>
      <c r="K1047" s="83">
        <v>131.64099831511248</v>
      </c>
      <c r="L1047" s="83">
        <v>126.82214260345626</v>
      </c>
      <c r="M1047" s="83">
        <v>131.64099831511248</v>
      </c>
      <c r="N1047" s="83">
        <v>23139955.9609713</v>
      </c>
      <c r="O1047" s="83" t="s">
        <v>1184</v>
      </c>
      <c r="P1047" s="84">
        <f t="shared" si="28"/>
        <v>-3.05761439623633E-2</v>
      </c>
    </row>
    <row r="1048" spans="2:16" ht="15" customHeight="1">
      <c r="B1048" s="83">
        <v>386.32043974716669</v>
      </c>
      <c r="C1048" s="83">
        <v>390.77134032300745</v>
      </c>
      <c r="D1048" s="83">
        <v>385.86667563025304</v>
      </c>
      <c r="E1048" s="83">
        <v>390.23714054579034</v>
      </c>
      <c r="F1048" s="83">
        <v>3499224.2462881859</v>
      </c>
      <c r="G1048" s="83" t="s">
        <v>1183</v>
      </c>
      <c r="H1048" s="84">
        <f t="shared" si="27"/>
        <v>-1.0036719706242536E-2</v>
      </c>
      <c r="J1048" s="83">
        <v>129.02952148076056</v>
      </c>
      <c r="K1048" s="83">
        <v>132.15363111828668</v>
      </c>
      <c r="L1048" s="83">
        <v>128.85157920693149</v>
      </c>
      <c r="M1048" s="83">
        <v>132.11468263622731</v>
      </c>
      <c r="N1048" s="83">
        <v>24331114.618433401</v>
      </c>
      <c r="O1048" s="83" t="s">
        <v>1183</v>
      </c>
      <c r="P1048" s="84">
        <f t="shared" si="28"/>
        <v>-2.3352144469525937E-2</v>
      </c>
    </row>
    <row r="1049" spans="2:16" ht="15" customHeight="1">
      <c r="B1049" s="83">
        <v>393.13167796526091</v>
      </c>
      <c r="C1049" s="83">
        <v>395.70141580630911</v>
      </c>
      <c r="D1049" s="83">
        <v>391.65097400480568</v>
      </c>
      <c r="E1049" s="83">
        <v>393.43737168612915</v>
      </c>
      <c r="F1049" s="83">
        <v>4975240.6941188676</v>
      </c>
      <c r="G1049" s="83" t="s">
        <v>1182</v>
      </c>
      <c r="H1049" s="84">
        <f t="shared" si="27"/>
        <v>-7.7698191089003998E-4</v>
      </c>
      <c r="J1049" s="83">
        <v>133.21862059760829</v>
      </c>
      <c r="K1049" s="83">
        <v>135.44488720230228</v>
      </c>
      <c r="L1049" s="83">
        <v>132.96215011192933</v>
      </c>
      <c r="M1049" s="83">
        <v>135.44488720230228</v>
      </c>
      <c r="N1049" s="83">
        <v>16532169.993655827</v>
      </c>
      <c r="O1049" s="83" t="s">
        <v>1182</v>
      </c>
      <c r="P1049" s="84">
        <f t="shared" si="28"/>
        <v>-1.6436697247706467E-2</v>
      </c>
    </row>
    <row r="1050" spans="2:16" ht="15" customHeight="1">
      <c r="B1050" s="83">
        <v>394.08697084297398</v>
      </c>
      <c r="C1050" s="83">
        <v>395.77783923652618</v>
      </c>
      <c r="D1050" s="83">
        <v>389.51111795872839</v>
      </c>
      <c r="E1050" s="83">
        <v>391.28796271127476</v>
      </c>
      <c r="F1050" s="83">
        <v>5185899.6498118713</v>
      </c>
      <c r="G1050" s="83" t="s">
        <v>1181</v>
      </c>
      <c r="H1050" s="84">
        <f t="shared" si="27"/>
        <v>7.1533203124998224E-3</v>
      </c>
      <c r="J1050" s="83">
        <v>135.65861674908024</v>
      </c>
      <c r="K1050" s="83">
        <v>136.88781016578224</v>
      </c>
      <c r="L1050" s="83">
        <v>134.06036708009307</v>
      </c>
      <c r="M1050" s="83">
        <v>135.81071265911291</v>
      </c>
      <c r="N1050" s="83">
        <v>19564146.198018745</v>
      </c>
      <c r="O1050" s="83" t="s">
        <v>1181</v>
      </c>
      <c r="P1050" s="84">
        <f t="shared" si="28"/>
        <v>-1.119910992694928E-3</v>
      </c>
    </row>
    <row r="1051" spans="2:16" ht="15" customHeight="1">
      <c r="B1051" s="83">
        <v>392.10951458610793</v>
      </c>
      <c r="C1051" s="83">
        <v>394.21115891707672</v>
      </c>
      <c r="D1051" s="83">
        <v>389.41558867095705</v>
      </c>
      <c r="E1051" s="83">
        <v>392.39610244942185</v>
      </c>
      <c r="F1051" s="83">
        <v>5800018.1193271512</v>
      </c>
      <c r="G1051" s="83" t="s">
        <v>1180</v>
      </c>
      <c r="H1051" s="84">
        <f t="shared" si="27"/>
        <v>-7.3035349108963032E-4</v>
      </c>
      <c r="J1051" s="83">
        <v>136.36541538982033</v>
      </c>
      <c r="K1051" s="83">
        <v>139.02212336081593</v>
      </c>
      <c r="L1051" s="83">
        <v>135.61200382606432</v>
      </c>
      <c r="M1051" s="83">
        <v>138.33918290204176</v>
      </c>
      <c r="N1051" s="83">
        <v>23714732.363447987</v>
      </c>
      <c r="O1051" s="83" t="s">
        <v>1180</v>
      </c>
      <c r="P1051" s="84">
        <f t="shared" si="28"/>
        <v>-1.4267595563428048E-2</v>
      </c>
    </row>
    <row r="1052" spans="2:16" ht="15" customHeight="1">
      <c r="B1052" s="83">
        <v>396.12174467250287</v>
      </c>
      <c r="C1052" s="83">
        <v>402.0063487992154</v>
      </c>
      <c r="D1052" s="83">
        <v>395.01360493435573</v>
      </c>
      <c r="E1052" s="83">
        <v>399.84738689558384</v>
      </c>
      <c r="F1052" s="83">
        <v>4304473.6289084628</v>
      </c>
      <c r="G1052" s="83" t="s">
        <v>1179</v>
      </c>
      <c r="H1052" s="84">
        <f t="shared" si="27"/>
        <v>-9.317660550458684E-3</v>
      </c>
      <c r="J1052" s="83">
        <v>140.22944677738252</v>
      </c>
      <c r="K1052" s="83">
        <v>142.74151452020982</v>
      </c>
      <c r="L1052" s="83">
        <v>140.11065291301057</v>
      </c>
      <c r="M1052" s="83">
        <v>142.55214020085538</v>
      </c>
      <c r="N1052" s="83">
        <v>19370019.084451679</v>
      </c>
      <c r="O1052" s="83" t="s">
        <v>1179</v>
      </c>
      <c r="P1052" s="84">
        <f t="shared" si="28"/>
        <v>-1.6293641191217456E-2</v>
      </c>
    </row>
    <row r="1053" spans="2:16" ht="15" customHeight="1">
      <c r="B1053" s="83">
        <v>401.07971470783372</v>
      </c>
      <c r="C1053" s="83">
        <v>401.18479692438211</v>
      </c>
      <c r="D1053" s="83">
        <v>397.13435512287873</v>
      </c>
      <c r="E1053" s="83">
        <v>397.83171892360923</v>
      </c>
      <c r="F1053" s="83">
        <v>5356690.2040035715</v>
      </c>
      <c r="G1053" s="83" t="s">
        <v>1178</v>
      </c>
      <c r="H1053" s="84">
        <f t="shared" si="27"/>
        <v>8.1642454076120696E-3</v>
      </c>
      <c r="J1053" s="83">
        <v>142.79370429326022</v>
      </c>
      <c r="K1053" s="83">
        <v>143.19258327300278</v>
      </c>
      <c r="L1053" s="83">
        <v>139.99235609409627</v>
      </c>
      <c r="M1053" s="83">
        <v>139.99235609409627</v>
      </c>
      <c r="N1053" s="83">
        <v>19198344.645642705</v>
      </c>
      <c r="O1053" s="83" t="s">
        <v>1178</v>
      </c>
      <c r="P1053" s="84">
        <f t="shared" si="28"/>
        <v>2.001072256603087E-2</v>
      </c>
    </row>
    <row r="1054" spans="2:16" ht="15" customHeight="1">
      <c r="B1054" s="83">
        <v>397.70753084950655</v>
      </c>
      <c r="C1054" s="83">
        <v>398.18326670260768</v>
      </c>
      <c r="D1054" s="83">
        <v>394.41177042139645</v>
      </c>
      <c r="E1054" s="83">
        <v>398.05143628548325</v>
      </c>
      <c r="F1054" s="83">
        <v>4881295.6830193968</v>
      </c>
      <c r="G1054" s="83" t="s">
        <v>1177</v>
      </c>
      <c r="H1054" s="84">
        <f t="shared" si="27"/>
        <v>-8.6397235288471208E-4</v>
      </c>
      <c r="J1054" s="83">
        <v>139.86859177514813</v>
      </c>
      <c r="K1054" s="83">
        <v>140.11711450395967</v>
      </c>
      <c r="L1054" s="83">
        <v>137.97683676343451</v>
      </c>
      <c r="M1054" s="83">
        <v>139.18266904362818</v>
      </c>
      <c r="N1054" s="83">
        <v>23619590.160104774</v>
      </c>
      <c r="O1054" s="83" t="s">
        <v>1177</v>
      </c>
      <c r="P1054" s="84">
        <f t="shared" si="28"/>
        <v>4.9282194128992263E-3</v>
      </c>
    </row>
    <row r="1055" spans="2:16" ht="15" customHeight="1">
      <c r="B1055" s="83">
        <v>396.60894404013652</v>
      </c>
      <c r="C1055" s="83">
        <v>402.81834774527152</v>
      </c>
      <c r="D1055" s="83">
        <v>396.49430889481096</v>
      </c>
      <c r="E1055" s="83">
        <v>402.14964273087236</v>
      </c>
      <c r="F1055" s="83">
        <v>6151662.1102299038</v>
      </c>
      <c r="G1055" s="83" t="s">
        <v>1176</v>
      </c>
      <c r="H1055" s="84">
        <f t="shared" si="27"/>
        <v>-1.3777703874385372E-2</v>
      </c>
      <c r="J1055" s="83">
        <v>138.82429926868193</v>
      </c>
      <c r="K1055" s="83">
        <v>141.80160155984444</v>
      </c>
      <c r="L1055" s="83">
        <v>138.79397949576693</v>
      </c>
      <c r="M1055" s="83">
        <v>141.6067597404562</v>
      </c>
      <c r="N1055" s="83">
        <v>29691771.192465071</v>
      </c>
      <c r="O1055" s="83" t="s">
        <v>1176</v>
      </c>
      <c r="P1055" s="84">
        <f t="shared" si="28"/>
        <v>-1.9649206555351628E-2</v>
      </c>
    </row>
    <row r="1056" spans="2:16" ht="15" customHeight="1">
      <c r="B1056" s="83">
        <v>402.79924188771724</v>
      </c>
      <c r="C1056" s="83">
        <v>405.05373307912009</v>
      </c>
      <c r="D1056" s="83">
        <v>400.83133855962831</v>
      </c>
      <c r="E1056" s="83">
        <v>404.33726342083526</v>
      </c>
      <c r="F1056" s="83">
        <v>5018705.8983182348</v>
      </c>
      <c r="G1056" s="83" t="s">
        <v>1175</v>
      </c>
      <c r="H1056" s="84">
        <f t="shared" si="27"/>
        <v>-3.8038085337617211E-3</v>
      </c>
      <c r="J1056" s="83">
        <v>141.80160155984444</v>
      </c>
      <c r="K1056" s="83">
        <v>142.63266156499034</v>
      </c>
      <c r="L1056" s="83">
        <v>141.32791723872964</v>
      </c>
      <c r="M1056" s="83">
        <v>142.0257690612325</v>
      </c>
      <c r="N1056" s="83">
        <v>21171484.093873255</v>
      </c>
      <c r="O1056" s="83" t="s">
        <v>1175</v>
      </c>
      <c r="P1056" s="84">
        <f t="shared" si="28"/>
        <v>-1.5783579477848253E-3</v>
      </c>
    </row>
    <row r="1057" spans="2:16" ht="15" customHeight="1">
      <c r="B1057" s="83">
        <v>405.32121508487978</v>
      </c>
      <c r="C1057" s="83">
        <v>405.73199102229643</v>
      </c>
      <c r="D1057" s="83">
        <v>401.46183185891891</v>
      </c>
      <c r="E1057" s="83">
        <v>404.05067555752134</v>
      </c>
      <c r="F1057" s="83">
        <v>5768444.5561784273</v>
      </c>
      <c r="G1057" s="83" t="s">
        <v>1174</v>
      </c>
      <c r="H1057" s="84">
        <f t="shared" si="27"/>
        <v>3.1445053905807541E-3</v>
      </c>
      <c r="J1057" s="83">
        <v>142.40352360902608</v>
      </c>
      <c r="K1057" s="83">
        <v>143.31063156918827</v>
      </c>
      <c r="L1057" s="83">
        <v>141.64204996794743</v>
      </c>
      <c r="M1057" s="83">
        <v>142.31455247211153</v>
      </c>
      <c r="N1057" s="83">
        <v>28848890.539247919</v>
      </c>
      <c r="O1057" s="83" t="s">
        <v>1174</v>
      </c>
      <c r="P1057" s="84">
        <f t="shared" si="28"/>
        <v>6.2517244631044022E-4</v>
      </c>
    </row>
    <row r="1058" spans="2:16" ht="15" customHeight="1">
      <c r="B1058" s="83">
        <v>400.25816283300048</v>
      </c>
      <c r="C1058" s="83">
        <v>400.31548040566327</v>
      </c>
      <c r="D1058" s="83">
        <v>395.19511058112118</v>
      </c>
      <c r="E1058" s="83">
        <v>396.92419068978182</v>
      </c>
      <c r="F1058" s="83">
        <v>3554233.5541412937</v>
      </c>
      <c r="G1058" s="83" t="s">
        <v>1173</v>
      </c>
      <c r="H1058" s="84">
        <f t="shared" si="27"/>
        <v>8.3995186522263232E-3</v>
      </c>
      <c r="J1058" s="83">
        <v>141.11120541920593</v>
      </c>
      <c r="K1058" s="83">
        <v>141.13754882845998</v>
      </c>
      <c r="L1058" s="83">
        <v>139.00187869932694</v>
      </c>
      <c r="M1058" s="83">
        <v>139.8531833659618</v>
      </c>
      <c r="N1058" s="83">
        <v>23914392.170167811</v>
      </c>
      <c r="O1058" s="83" t="s">
        <v>1173</v>
      </c>
      <c r="P1058" s="84">
        <f t="shared" si="28"/>
        <v>8.9953050975764004E-3</v>
      </c>
    </row>
    <row r="1059" spans="2:16" ht="15" customHeight="1">
      <c r="B1059" s="83">
        <v>397.51647227396393</v>
      </c>
      <c r="C1059" s="83">
        <v>397.74392750814741</v>
      </c>
      <c r="D1059" s="83">
        <v>393.77650065771724</v>
      </c>
      <c r="E1059" s="83">
        <v>396.2459327466056</v>
      </c>
      <c r="F1059" s="83">
        <v>3813757.1052783141</v>
      </c>
      <c r="G1059" s="83" t="s">
        <v>1172</v>
      </c>
      <c r="H1059" s="84">
        <f t="shared" si="27"/>
        <v>3.2064418139297057E-3</v>
      </c>
      <c r="J1059" s="83">
        <v>140.68523746202291</v>
      </c>
      <c r="K1059" s="83">
        <v>141.12064928290079</v>
      </c>
      <c r="L1059" s="83">
        <v>138.87400381444422</v>
      </c>
      <c r="M1059" s="83">
        <v>140.91636359981766</v>
      </c>
      <c r="N1059" s="83">
        <v>19403738.334357202</v>
      </c>
      <c r="O1059" s="83" t="s">
        <v>1172</v>
      </c>
      <c r="P1059" s="84">
        <f t="shared" si="28"/>
        <v>-1.6401653568858254E-3</v>
      </c>
    </row>
    <row r="1060" spans="2:16" ht="15" customHeight="1">
      <c r="B1060" s="83">
        <v>395.51035723076649</v>
      </c>
      <c r="C1060" s="83">
        <v>395.58678066098355</v>
      </c>
      <c r="D1060" s="83">
        <v>390.53328133788136</v>
      </c>
      <c r="E1060" s="83">
        <v>391.5649976458115</v>
      </c>
      <c r="F1060" s="83">
        <v>3116653.6142586544</v>
      </c>
      <c r="G1060" s="83" t="s">
        <v>1171</v>
      </c>
      <c r="H1060" s="84">
        <f t="shared" si="27"/>
        <v>1.0075874014979558E-2</v>
      </c>
      <c r="J1060" s="83">
        <v>140.47697541527882</v>
      </c>
      <c r="K1060" s="83">
        <v>140.56097609761713</v>
      </c>
      <c r="L1060" s="83">
        <v>137.22369360422564</v>
      </c>
      <c r="M1060" s="83">
        <v>138.44952699363407</v>
      </c>
      <c r="N1060" s="83">
        <v>20666842.121689323</v>
      </c>
      <c r="O1060" s="83" t="s">
        <v>1171</v>
      </c>
      <c r="P1060" s="84">
        <f t="shared" si="28"/>
        <v>1.4643953400707233E-2</v>
      </c>
    </row>
    <row r="1061" spans="2:16" ht="15" customHeight="1">
      <c r="B1061" s="83">
        <v>389.71774780817771</v>
      </c>
      <c r="C1061" s="83">
        <v>393.80220078767371</v>
      </c>
      <c r="D1061" s="83">
        <v>389.67966433051345</v>
      </c>
      <c r="E1061" s="83">
        <v>392.41215385292685</v>
      </c>
      <c r="F1061" s="83">
        <v>3930904.6647370933</v>
      </c>
      <c r="G1061" s="83" t="s">
        <v>1170</v>
      </c>
      <c r="H1061" s="84">
        <f t="shared" si="27"/>
        <v>-6.8662655279504436E-3</v>
      </c>
      <c r="J1061" s="83">
        <v>137.68507107980972</v>
      </c>
      <c r="K1061" s="83">
        <v>139.1975804073569</v>
      </c>
      <c r="L1061" s="83">
        <v>137.35006244137173</v>
      </c>
      <c r="M1061" s="83">
        <v>138.31631881099108</v>
      </c>
      <c r="N1061" s="83">
        <v>25452722.29324431</v>
      </c>
      <c r="O1061" s="83" t="s">
        <v>1170</v>
      </c>
      <c r="P1061" s="84">
        <f t="shared" si="28"/>
        <v>-4.563797942337966E-3</v>
      </c>
    </row>
    <row r="1062" spans="2:16" ht="15" customHeight="1">
      <c r="B1062" s="83">
        <v>394.80189207636153</v>
      </c>
      <c r="C1062" s="83">
        <v>395.61116597672782</v>
      </c>
      <c r="D1062" s="83">
        <v>391.49815038898367</v>
      </c>
      <c r="E1062" s="83">
        <v>391.49815038898367</v>
      </c>
      <c r="F1062" s="83">
        <v>4444672.8707941398</v>
      </c>
      <c r="G1062" s="83" t="s">
        <v>1169</v>
      </c>
      <c r="H1062" s="84">
        <f t="shared" si="27"/>
        <v>8.438715953307474E-3</v>
      </c>
      <c r="J1062" s="83">
        <v>139.44858836345659</v>
      </c>
      <c r="K1062" s="83">
        <v>140.66386450734512</v>
      </c>
      <c r="L1062" s="83">
        <v>135.69340993111385</v>
      </c>
      <c r="M1062" s="83">
        <v>135.69340993111385</v>
      </c>
      <c r="N1062" s="83">
        <v>29953859.896832176</v>
      </c>
      <c r="O1062" s="83" t="s">
        <v>1169</v>
      </c>
      <c r="P1062" s="84">
        <f t="shared" si="28"/>
        <v>2.7673992673992842E-2</v>
      </c>
    </row>
    <row r="1063" spans="2:16" ht="15" customHeight="1">
      <c r="B1063" s="83">
        <v>390.26995823431008</v>
      </c>
      <c r="C1063" s="83">
        <v>392.02179820686774</v>
      </c>
      <c r="D1063" s="83">
        <v>386.95669567751611</v>
      </c>
      <c r="E1063" s="83">
        <v>390.20331214839752</v>
      </c>
      <c r="F1063" s="83">
        <v>4368815.3027047561</v>
      </c>
      <c r="G1063" s="83" t="s">
        <v>1168</v>
      </c>
      <c r="H1063" s="84">
        <f t="shared" si="27"/>
        <v>1.7079836033584428E-4</v>
      </c>
      <c r="J1063" s="83">
        <v>135.67203697643606</v>
      </c>
      <c r="K1063" s="83">
        <v>136.76951334686791</v>
      </c>
      <c r="L1063" s="83">
        <v>133.81606923767129</v>
      </c>
      <c r="M1063" s="83">
        <v>136.0388565241619</v>
      </c>
      <c r="N1063" s="83">
        <v>26790768.924191035</v>
      </c>
      <c r="O1063" s="83" t="s">
        <v>1168</v>
      </c>
      <c r="P1063" s="84">
        <f t="shared" si="28"/>
        <v>-2.6964321598857977E-3</v>
      </c>
    </row>
    <row r="1064" spans="2:16" ht="15" customHeight="1">
      <c r="B1064" s="83">
        <v>390.2509164954779</v>
      </c>
      <c r="C1064" s="83">
        <v>390.62223040270482</v>
      </c>
      <c r="D1064" s="83">
        <v>383.91953833378835</v>
      </c>
      <c r="E1064" s="83">
        <v>384.62408267057788</v>
      </c>
      <c r="F1064" s="83">
        <v>6170637.0954747116</v>
      </c>
      <c r="G1064" s="83" t="s">
        <v>1167</v>
      </c>
      <c r="H1064" s="84">
        <f t="shared" si="27"/>
        <v>1.4629437100846632E-2</v>
      </c>
      <c r="J1064" s="83">
        <v>135.9931283420606</v>
      </c>
      <c r="K1064" s="83">
        <v>136.10446652456818</v>
      </c>
      <c r="L1064" s="83">
        <v>132.1464935455152</v>
      </c>
      <c r="M1064" s="83">
        <v>133.09286809682965</v>
      </c>
      <c r="N1064" s="83">
        <v>46172537.43701075</v>
      </c>
      <c r="O1064" s="83" t="s">
        <v>1167</v>
      </c>
      <c r="P1064" s="84">
        <f t="shared" si="28"/>
        <v>2.1791252128708472E-2</v>
      </c>
    </row>
    <row r="1065" spans="2:16" ht="15" customHeight="1">
      <c r="B1065" s="83">
        <v>385.98556699707655</v>
      </c>
      <c r="C1065" s="83">
        <v>386.12838003831763</v>
      </c>
      <c r="D1065" s="83">
        <v>379.21622884224757</v>
      </c>
      <c r="E1065" s="83">
        <v>379.53993840239406</v>
      </c>
      <c r="F1065" s="83">
        <v>5438082.1474754727</v>
      </c>
      <c r="G1065" s="83" t="s">
        <v>1166</v>
      </c>
      <c r="H1065" s="84">
        <f t="shared" si="27"/>
        <v>1.6982741320489714E-2</v>
      </c>
      <c r="J1065" s="83">
        <v>133.8051342376036</v>
      </c>
      <c r="K1065" s="83">
        <v>133.94330790436825</v>
      </c>
      <c r="L1065" s="83">
        <v>131.93475218056776</v>
      </c>
      <c r="M1065" s="83">
        <v>132.53319491154599</v>
      </c>
      <c r="N1065" s="83">
        <v>24137007.623750523</v>
      </c>
      <c r="O1065" s="83" t="s">
        <v>1166</v>
      </c>
      <c r="P1065" s="84">
        <f t="shared" si="28"/>
        <v>9.597137735240624E-3</v>
      </c>
    </row>
    <row r="1066" spans="2:16" ht="15" customHeight="1">
      <c r="B1066" s="83">
        <v>381.32034098320003</v>
      </c>
      <c r="C1066" s="83">
        <v>381.35842446086434</v>
      </c>
      <c r="D1066" s="83">
        <v>371.83755504478984</v>
      </c>
      <c r="E1066" s="83">
        <v>376.55038540574668</v>
      </c>
      <c r="F1066" s="83">
        <v>7780099.3546806499</v>
      </c>
      <c r="G1066" s="83" t="s">
        <v>1165</v>
      </c>
      <c r="H1066" s="84">
        <f t="shared" si="27"/>
        <v>1.2667509481668837E-2</v>
      </c>
      <c r="J1066" s="83">
        <v>132.90051150472948</v>
      </c>
      <c r="K1066" s="83">
        <v>132.98053582340683</v>
      </c>
      <c r="L1066" s="83">
        <v>128.43754034073143</v>
      </c>
      <c r="M1066" s="83">
        <v>130.22590989725944</v>
      </c>
      <c r="N1066" s="83">
        <v>32248760.659942832</v>
      </c>
      <c r="O1066" s="83" t="s">
        <v>1165</v>
      </c>
      <c r="P1066" s="84">
        <f t="shared" si="28"/>
        <v>2.0538167938931151E-2</v>
      </c>
    </row>
    <row r="1067" spans="2:16" ht="15" customHeight="1">
      <c r="B1067" s="83">
        <v>372.98005937471873</v>
      </c>
      <c r="C1067" s="83">
        <v>373.57035327851537</v>
      </c>
      <c r="D1067" s="83">
        <v>366.2012003504737</v>
      </c>
      <c r="E1067" s="83">
        <v>367.3722672886509</v>
      </c>
      <c r="F1067" s="83">
        <v>6028190.0204512654</v>
      </c>
      <c r="G1067" s="83" t="s">
        <v>1164</v>
      </c>
      <c r="H1067" s="84">
        <f t="shared" si="27"/>
        <v>1.5264603742289884E-2</v>
      </c>
      <c r="J1067" s="83">
        <v>128.89432511628709</v>
      </c>
      <c r="K1067" s="83">
        <v>129.74601250792429</v>
      </c>
      <c r="L1067" s="83">
        <v>125.82009896088805</v>
      </c>
      <c r="M1067" s="83">
        <v>126.98666464992952</v>
      </c>
      <c r="N1067" s="83">
        <v>30472665.563487165</v>
      </c>
      <c r="O1067" s="83" t="s">
        <v>1164</v>
      </c>
      <c r="P1067" s="84">
        <f t="shared" si="28"/>
        <v>1.5022525960631583E-2</v>
      </c>
    </row>
    <row r="1068" spans="2:16" ht="15" customHeight="1">
      <c r="B1068" s="83">
        <v>364.97300819580005</v>
      </c>
      <c r="C1068" s="83">
        <v>371.5690665272565</v>
      </c>
      <c r="D1068" s="83">
        <v>363.93523342944798</v>
      </c>
      <c r="E1068" s="83">
        <v>368.52429248799587</v>
      </c>
      <c r="F1068" s="83">
        <v>6779817.8064513505</v>
      </c>
      <c r="G1068" s="83" t="s">
        <v>1163</v>
      </c>
      <c r="H1068" s="84">
        <f t="shared" si="27"/>
        <v>-9.6364998579069328E-3</v>
      </c>
      <c r="J1068" s="83">
        <v>125.99207668922566</v>
      </c>
      <c r="K1068" s="83">
        <v>130.25175626105585</v>
      </c>
      <c r="L1068" s="83">
        <v>125.66601486902488</v>
      </c>
      <c r="M1068" s="83">
        <v>129.80143307644929</v>
      </c>
      <c r="N1068" s="83">
        <v>30433695.28480757</v>
      </c>
      <c r="O1068" s="83" t="s">
        <v>1163</v>
      </c>
      <c r="P1068" s="84">
        <f t="shared" si="28"/>
        <v>-2.9347568027080495E-2</v>
      </c>
    </row>
    <row r="1069" spans="2:16" ht="15" customHeight="1">
      <c r="B1069" s="83">
        <v>367.65789337113313</v>
      </c>
      <c r="C1069" s="83">
        <v>375.30305630354678</v>
      </c>
      <c r="D1069" s="83">
        <v>367.20089163916151</v>
      </c>
      <c r="E1069" s="83">
        <v>374.7604619555247</v>
      </c>
      <c r="F1069" s="83">
        <v>6168343.187319315</v>
      </c>
      <c r="G1069" s="83" t="s">
        <v>1162</v>
      </c>
      <c r="H1069" s="84">
        <f t="shared" si="27"/>
        <v>-1.8952289009704804E-2</v>
      </c>
      <c r="J1069" s="83">
        <v>129.7045092122128</v>
      </c>
      <c r="K1069" s="83">
        <v>133.40700082604747</v>
      </c>
      <c r="L1069" s="83">
        <v>129.5265669383837</v>
      </c>
      <c r="M1069" s="83">
        <v>133.20768559754057</v>
      </c>
      <c r="N1069" s="83">
        <v>26757914.786305759</v>
      </c>
      <c r="O1069" s="83" t="s">
        <v>1162</v>
      </c>
      <c r="P1069" s="84">
        <f t="shared" si="28"/>
        <v>-2.6298605591811741E-2</v>
      </c>
    </row>
    <row r="1070" spans="2:16" ht="15" customHeight="1">
      <c r="B1070" s="83">
        <v>372.40880720975429</v>
      </c>
      <c r="C1070" s="83">
        <v>373.2276019795367</v>
      </c>
      <c r="D1070" s="83">
        <v>368.01016553952786</v>
      </c>
      <c r="E1070" s="83">
        <v>369.82865159799809</v>
      </c>
      <c r="F1070" s="83">
        <v>6716600.8906743284</v>
      </c>
      <c r="G1070" s="83" t="s">
        <v>1161</v>
      </c>
      <c r="H1070" s="84">
        <f t="shared" si="27"/>
        <v>6.9766244465039318E-3</v>
      </c>
      <c r="J1070" s="83">
        <v>131.89797081670363</v>
      </c>
      <c r="K1070" s="83">
        <v>132.74940968561205</v>
      </c>
      <c r="L1070" s="83">
        <v>130.62454035427319</v>
      </c>
      <c r="M1070" s="83">
        <v>130.68567694556083</v>
      </c>
      <c r="N1070" s="83">
        <v>24409437.434592236</v>
      </c>
      <c r="O1070" s="83" t="s">
        <v>1161</v>
      </c>
      <c r="P1070" s="84">
        <f t="shared" si="28"/>
        <v>9.2764096225159687E-3</v>
      </c>
    </row>
    <row r="1071" spans="2:16" ht="15" customHeight="1">
      <c r="B1071" s="83">
        <v>374.07495935756731</v>
      </c>
      <c r="C1071" s="83">
        <v>375.93152889370185</v>
      </c>
      <c r="D1071" s="83">
        <v>370.09523594164818</v>
      </c>
      <c r="E1071" s="83">
        <v>372.15174373552026</v>
      </c>
      <c r="F1071" s="83">
        <v>6105112.6173270829</v>
      </c>
      <c r="G1071" s="83" t="s">
        <v>1160</v>
      </c>
      <c r="H1071" s="84">
        <f t="shared" si="27"/>
        <v>5.1678264428980381E-3</v>
      </c>
      <c r="J1071" s="83">
        <v>133.07497446035521</v>
      </c>
      <c r="K1071" s="83">
        <v>133.40550968967457</v>
      </c>
      <c r="L1071" s="83">
        <v>129.31929898255487</v>
      </c>
      <c r="M1071" s="83">
        <v>130.62354626335795</v>
      </c>
      <c r="N1071" s="83">
        <v>32449184.984261945</v>
      </c>
      <c r="O1071" s="83" t="s">
        <v>1160</v>
      </c>
      <c r="P1071" s="84">
        <f t="shared" si="28"/>
        <v>1.8767123287671161E-2</v>
      </c>
    </row>
    <row r="1072" spans="2:16" ht="15" customHeight="1">
      <c r="B1072" s="83">
        <v>364.36367255317134</v>
      </c>
      <c r="C1072" s="83">
        <v>373.92262544691016</v>
      </c>
      <c r="D1072" s="83">
        <v>363.35446039506741</v>
      </c>
      <c r="E1072" s="83">
        <v>367.27705859449014</v>
      </c>
      <c r="F1072" s="83">
        <v>9826912.429030614</v>
      </c>
      <c r="G1072" s="83" t="s">
        <v>1159</v>
      </c>
      <c r="H1072" s="84">
        <f t="shared" ref="H1072:H1135" si="29">B1072/E1072-1</f>
        <v>-7.9323931978432238E-3</v>
      </c>
      <c r="J1072" s="83">
        <v>126.52640055617051</v>
      </c>
      <c r="K1072" s="83">
        <v>130.47095330786763</v>
      </c>
      <c r="L1072" s="83">
        <v>125.11702816108013</v>
      </c>
      <c r="M1072" s="83">
        <v>125.50447509529737</v>
      </c>
      <c r="N1072" s="83">
        <v>35459090.77266641</v>
      </c>
      <c r="O1072" s="83" t="s">
        <v>1159</v>
      </c>
      <c r="P1072" s="84">
        <f t="shared" ref="P1072:P1135" si="30">J1072/M1072-1</f>
        <v>8.1425420097345214E-3</v>
      </c>
    </row>
    <row r="1073" spans="2:16" ht="15" customHeight="1">
      <c r="B1073" s="83">
        <v>367.134245553249</v>
      </c>
      <c r="C1073" s="83">
        <v>377.97851581815786</v>
      </c>
      <c r="D1073" s="83">
        <v>367.08664120616862</v>
      </c>
      <c r="E1073" s="83">
        <v>377.72145234392389</v>
      </c>
      <c r="F1073" s="83">
        <v>8834784.5479305927</v>
      </c>
      <c r="G1073" s="83" t="s">
        <v>1158</v>
      </c>
      <c r="H1073" s="84">
        <f t="shared" si="29"/>
        <v>-2.8029138204824555E-2</v>
      </c>
      <c r="J1073" s="83">
        <v>125.71721055116005</v>
      </c>
      <c r="K1073" s="83">
        <v>131.12456808464205</v>
      </c>
      <c r="L1073" s="83">
        <v>125.66303259627912</v>
      </c>
      <c r="M1073" s="83">
        <v>131.12456808464205</v>
      </c>
      <c r="N1073" s="83">
        <v>39410781.648975119</v>
      </c>
      <c r="O1073" s="83" t="s">
        <v>1158</v>
      </c>
      <c r="P1073" s="84">
        <f t="shared" si="30"/>
        <v>-4.1238324842309493E-2</v>
      </c>
    </row>
    <row r="1074" spans="2:16" ht="15" customHeight="1">
      <c r="B1074" s="83">
        <v>378.3022253783044</v>
      </c>
      <c r="C1074" s="83">
        <v>379.33657263166674</v>
      </c>
      <c r="D1074" s="83">
        <v>374.5224402201228</v>
      </c>
      <c r="E1074" s="83">
        <v>377.91186973224535</v>
      </c>
      <c r="F1074" s="83">
        <v>6640651.9443754582</v>
      </c>
      <c r="G1074" s="83" t="s">
        <v>1157</v>
      </c>
      <c r="H1074" s="84">
        <f t="shared" si="29"/>
        <v>1.0329277202529852E-3</v>
      </c>
      <c r="J1074" s="83">
        <v>131.34127990416573</v>
      </c>
      <c r="K1074" s="83">
        <v>133.40600673513222</v>
      </c>
      <c r="L1074" s="83">
        <v>129.63790512089128</v>
      </c>
      <c r="M1074" s="83">
        <v>132.59433150283365</v>
      </c>
      <c r="N1074" s="83">
        <v>24617708.123746164</v>
      </c>
      <c r="O1074" s="83" t="s">
        <v>1157</v>
      </c>
      <c r="P1074" s="84">
        <f t="shared" si="30"/>
        <v>-9.4502652147022692E-3</v>
      </c>
    </row>
    <row r="1075" spans="2:16" ht="15" customHeight="1">
      <c r="B1075" s="83">
        <v>381.38698706911254</v>
      </c>
      <c r="C1075" s="83">
        <v>386.1093382994855</v>
      </c>
      <c r="D1075" s="83">
        <v>379.76843926837989</v>
      </c>
      <c r="E1075" s="83">
        <v>385.61425308984963</v>
      </c>
      <c r="F1075" s="83">
        <v>9185367.0267076418</v>
      </c>
      <c r="G1075" s="83" t="s">
        <v>1156</v>
      </c>
      <c r="H1075" s="84">
        <f t="shared" si="29"/>
        <v>-1.0962421608809447E-2</v>
      </c>
      <c r="J1075" s="83">
        <v>133.51436264489405</v>
      </c>
      <c r="K1075" s="83">
        <v>135.90594159833893</v>
      </c>
      <c r="L1075" s="83">
        <v>132.64254491222309</v>
      </c>
      <c r="M1075" s="83">
        <v>135.17499151881293</v>
      </c>
      <c r="N1075" s="83">
        <v>19896872.3047834</v>
      </c>
      <c r="O1075" s="83" t="s">
        <v>1156</v>
      </c>
      <c r="P1075" s="84">
        <f t="shared" si="30"/>
        <v>-1.2285030354063364E-2</v>
      </c>
    </row>
    <row r="1076" spans="2:16" ht="15" customHeight="1">
      <c r="B1076" s="83">
        <v>383.31020269115959</v>
      </c>
      <c r="C1076" s="83">
        <v>384.73833310357077</v>
      </c>
      <c r="D1076" s="83">
        <v>377.76905669100421</v>
      </c>
      <c r="E1076" s="83">
        <v>378.66401841611525</v>
      </c>
      <c r="F1076" s="83">
        <v>8597080.4159761071</v>
      </c>
      <c r="G1076" s="83" t="s">
        <v>1155</v>
      </c>
      <c r="H1076" s="84">
        <f t="shared" si="29"/>
        <v>1.2269938650306678E-2</v>
      </c>
      <c r="J1076" s="83">
        <v>133.95524196580578</v>
      </c>
      <c r="K1076" s="83">
        <v>134.81413651657854</v>
      </c>
      <c r="L1076" s="83">
        <v>132.64403604859595</v>
      </c>
      <c r="M1076" s="83">
        <v>133.81283844219675</v>
      </c>
      <c r="N1076" s="83">
        <v>24109203.325797401</v>
      </c>
      <c r="O1076" s="83" t="s">
        <v>1155</v>
      </c>
      <c r="P1076" s="84">
        <f t="shared" si="30"/>
        <v>1.0641992597035799E-3</v>
      </c>
    </row>
    <row r="1077" spans="2:16" ht="15" customHeight="1">
      <c r="B1077" s="83">
        <v>376.39805149508948</v>
      </c>
      <c r="C1077" s="83">
        <v>382.66278357086657</v>
      </c>
      <c r="D1077" s="83">
        <v>373.97022979399054</v>
      </c>
      <c r="E1077" s="83">
        <v>380.84429751239628</v>
      </c>
      <c r="F1077" s="83">
        <v>9583591.1630032975</v>
      </c>
      <c r="G1077" s="83" t="s">
        <v>1154</v>
      </c>
      <c r="H1077" s="84">
        <f t="shared" si="29"/>
        <v>-1.1674708132296763E-2</v>
      </c>
      <c r="J1077" s="83">
        <v>133.37518991675958</v>
      </c>
      <c r="K1077" s="83">
        <v>135.30670856508306</v>
      </c>
      <c r="L1077" s="83">
        <v>132.59035513917266</v>
      </c>
      <c r="M1077" s="83">
        <v>133.6853462823164</v>
      </c>
      <c r="N1077" s="83">
        <v>24786384.848810557</v>
      </c>
      <c r="O1077" s="83" t="s">
        <v>1154</v>
      </c>
      <c r="P1077" s="84">
        <f t="shared" si="30"/>
        <v>-2.3200475907196871E-3</v>
      </c>
    </row>
    <row r="1078" spans="2:16" ht="15" customHeight="1">
      <c r="B1078" s="83">
        <v>382.12961488356638</v>
      </c>
      <c r="C1078" s="83">
        <v>383.54822442656149</v>
      </c>
      <c r="D1078" s="83">
        <v>377.02642887655043</v>
      </c>
      <c r="E1078" s="83">
        <v>378.14989146764719</v>
      </c>
      <c r="F1078" s="83">
        <v>12452583.353347003</v>
      </c>
      <c r="G1078" s="83" t="s">
        <v>1153</v>
      </c>
      <c r="H1078" s="84">
        <f t="shared" si="29"/>
        <v>1.0524195578830886E-2</v>
      </c>
      <c r="J1078" s="83">
        <v>134.09391764848263</v>
      </c>
      <c r="K1078" s="83">
        <v>134.83898878945968</v>
      </c>
      <c r="L1078" s="83">
        <v>132.04037434031267</v>
      </c>
      <c r="M1078" s="83">
        <v>132.49691059313952</v>
      </c>
      <c r="N1078" s="83">
        <v>29852078.461705655</v>
      </c>
      <c r="O1078" s="83" t="s">
        <v>1153</v>
      </c>
      <c r="P1078" s="84">
        <f t="shared" si="30"/>
        <v>1.2053164471487632E-2</v>
      </c>
    </row>
    <row r="1079" spans="2:16" ht="15" customHeight="1">
      <c r="B1079" s="83">
        <v>383.09122269458987</v>
      </c>
      <c r="C1079" s="83">
        <v>383.23403573583096</v>
      </c>
      <c r="D1079" s="83">
        <v>374.54671843713385</v>
      </c>
      <c r="E1079" s="83">
        <v>376.02673758786261</v>
      </c>
      <c r="F1079" s="83">
        <v>12252270.764584882</v>
      </c>
      <c r="G1079" s="83" t="s">
        <v>1152</v>
      </c>
      <c r="H1079" s="84">
        <f t="shared" si="29"/>
        <v>1.8787188251677467E-2</v>
      </c>
      <c r="J1079" s="83">
        <v>133.72461287346863</v>
      </c>
      <c r="K1079" s="83">
        <v>134.58897492427528</v>
      </c>
      <c r="L1079" s="83">
        <v>130.98638944742282</v>
      </c>
      <c r="M1079" s="83">
        <v>132.73648650371388</v>
      </c>
      <c r="N1079" s="83">
        <v>26391811.450666841</v>
      </c>
      <c r="O1079" s="83" t="s">
        <v>1152</v>
      </c>
      <c r="P1079" s="84">
        <f t="shared" si="30"/>
        <v>7.4442709445010635E-3</v>
      </c>
    </row>
    <row r="1080" spans="2:16" ht="15" customHeight="1">
      <c r="B1080" s="83">
        <v>374.90327499676579</v>
      </c>
      <c r="C1080" s="83">
        <v>375.28410977340877</v>
      </c>
      <c r="D1080" s="83">
        <v>359.4128204568126</v>
      </c>
      <c r="E1080" s="83">
        <v>359.66036306163051</v>
      </c>
      <c r="F1080" s="83">
        <v>22347980.074253228</v>
      </c>
      <c r="G1080" s="83" t="s">
        <v>1151</v>
      </c>
      <c r="H1080" s="84">
        <f t="shared" si="29"/>
        <v>4.2381406183820358E-2</v>
      </c>
      <c r="J1080" s="83">
        <v>131.88952104392405</v>
      </c>
      <c r="K1080" s="83">
        <v>132.25087309161606</v>
      </c>
      <c r="L1080" s="83">
        <v>124.02725599524142</v>
      </c>
      <c r="M1080" s="83">
        <v>124.2613644057819</v>
      </c>
      <c r="N1080" s="83">
        <v>43421662.282576226</v>
      </c>
      <c r="O1080" s="83" t="s">
        <v>1151</v>
      </c>
      <c r="P1080" s="84">
        <f t="shared" si="30"/>
        <v>6.1387999999999998E-2</v>
      </c>
    </row>
    <row r="1081" spans="2:16" ht="15" customHeight="1">
      <c r="B1081" s="83">
        <v>369.22883682478539</v>
      </c>
      <c r="C1081" s="83">
        <v>379.2352705810797</v>
      </c>
      <c r="D1081" s="83">
        <v>368.81943943989421</v>
      </c>
      <c r="E1081" s="83">
        <v>378.68306015494738</v>
      </c>
      <c r="F1081" s="83">
        <v>12766539.975307737</v>
      </c>
      <c r="G1081" s="83" t="s">
        <v>1150</v>
      </c>
      <c r="H1081" s="84">
        <f t="shared" si="29"/>
        <v>-2.4966058228993893E-2</v>
      </c>
      <c r="J1081" s="83">
        <v>126.83108942169348</v>
      </c>
      <c r="K1081" s="83">
        <v>130.9704839927789</v>
      </c>
      <c r="L1081" s="83">
        <v>126.75007101210092</v>
      </c>
      <c r="M1081" s="83">
        <v>130.30394603410627</v>
      </c>
      <c r="N1081" s="83">
        <v>26588393.068105314</v>
      </c>
      <c r="O1081" s="83" t="s">
        <v>1150</v>
      </c>
      <c r="P1081" s="84">
        <f t="shared" si="30"/>
        <v>-2.6651968095454337E-2</v>
      </c>
    </row>
    <row r="1082" spans="2:16" ht="15" customHeight="1">
      <c r="B1082" s="83">
        <v>375.99817497961436</v>
      </c>
      <c r="C1082" s="83">
        <v>381.18704881137501</v>
      </c>
      <c r="D1082" s="83">
        <v>372.74679807402492</v>
      </c>
      <c r="E1082" s="83">
        <v>378.02612016523824</v>
      </c>
      <c r="F1082" s="83">
        <v>10938849.746658998</v>
      </c>
      <c r="G1082" s="83" t="s">
        <v>1149</v>
      </c>
      <c r="H1082" s="84">
        <f t="shared" si="29"/>
        <v>-5.3645636569701338E-3</v>
      </c>
      <c r="J1082" s="83">
        <v>128.63784966015356</v>
      </c>
      <c r="K1082" s="83">
        <v>131.12133728916751</v>
      </c>
      <c r="L1082" s="83">
        <v>126.9861676044719</v>
      </c>
      <c r="M1082" s="83">
        <v>129.21690761828449</v>
      </c>
      <c r="N1082" s="83">
        <v>39137848.866028614</v>
      </c>
      <c r="O1082" s="83" t="s">
        <v>1149</v>
      </c>
      <c r="P1082" s="84">
        <f t="shared" si="30"/>
        <v>-4.4812863022655192E-3</v>
      </c>
    </row>
    <row r="1083" spans="2:16" ht="15" customHeight="1">
      <c r="B1083" s="83">
        <v>380.15879491443894</v>
      </c>
      <c r="C1083" s="83">
        <v>383.98618441970086</v>
      </c>
      <c r="D1083" s="83">
        <v>377.97851581815786</v>
      </c>
      <c r="E1083" s="83">
        <v>382.88176356743622</v>
      </c>
      <c r="F1083" s="83">
        <v>11102801.16031504</v>
      </c>
      <c r="G1083" s="83" t="s">
        <v>1148</v>
      </c>
      <c r="H1083" s="84">
        <f t="shared" si="29"/>
        <v>-7.1117742136017625E-3</v>
      </c>
      <c r="J1083" s="83">
        <v>129.69655648489081</v>
      </c>
      <c r="K1083" s="83">
        <v>133.03322264191488</v>
      </c>
      <c r="L1083" s="83">
        <v>129.53702974526666</v>
      </c>
      <c r="M1083" s="83">
        <v>132.25137013707368</v>
      </c>
      <c r="N1083" s="83">
        <v>32047974.195708264</v>
      </c>
      <c r="O1083" s="83" t="s">
        <v>1148</v>
      </c>
      <c r="P1083" s="84">
        <f t="shared" si="30"/>
        <v>-1.931786150521464E-2</v>
      </c>
    </row>
    <row r="1084" spans="2:16" ht="15" customHeight="1">
      <c r="B1084" s="83">
        <v>382.60565835437012</v>
      </c>
      <c r="C1084" s="83">
        <v>388.43243043700767</v>
      </c>
      <c r="D1084" s="83">
        <v>382.00584358115742</v>
      </c>
      <c r="E1084" s="83">
        <v>387.96590783562004</v>
      </c>
      <c r="F1084" s="83">
        <v>7920485.693531529</v>
      </c>
      <c r="G1084" s="83" t="s">
        <v>1147</v>
      </c>
      <c r="H1084" s="84">
        <f t="shared" si="29"/>
        <v>-1.3816289970305928E-2</v>
      </c>
      <c r="J1084" s="83">
        <v>131.52667785985918</v>
      </c>
      <c r="K1084" s="83">
        <v>136.03090379683994</v>
      </c>
      <c r="L1084" s="83">
        <v>131.42080717738543</v>
      </c>
      <c r="M1084" s="83">
        <v>135.34547811077766</v>
      </c>
      <c r="N1084" s="83">
        <v>31152200.995950762</v>
      </c>
      <c r="O1084" s="83" t="s">
        <v>1147</v>
      </c>
      <c r="P1084" s="84">
        <f t="shared" si="30"/>
        <v>-2.8215203819316859E-2</v>
      </c>
    </row>
    <row r="1085" spans="2:16" ht="15" customHeight="1">
      <c r="B1085" s="83">
        <v>390.9173773546031</v>
      </c>
      <c r="C1085" s="83">
        <v>392.15509037869282</v>
      </c>
      <c r="D1085" s="83">
        <v>386.85196611393928</v>
      </c>
      <c r="E1085" s="83">
        <v>388.64188956416132</v>
      </c>
      <c r="F1085" s="83">
        <v>8133463.0920636933</v>
      </c>
      <c r="G1085" s="83" t="s">
        <v>1146</v>
      </c>
      <c r="H1085" s="84">
        <f t="shared" si="29"/>
        <v>5.8549730524253274E-3</v>
      </c>
      <c r="J1085" s="83">
        <v>136.67507470991953</v>
      </c>
      <c r="K1085" s="83">
        <v>137.13086539455995</v>
      </c>
      <c r="L1085" s="83">
        <v>134.02695568443164</v>
      </c>
      <c r="M1085" s="83">
        <v>135.62432061250425</v>
      </c>
      <c r="N1085" s="83">
        <v>25761889.186620317</v>
      </c>
      <c r="O1085" s="83" t="s">
        <v>1146</v>
      </c>
      <c r="P1085" s="84">
        <f t="shared" si="30"/>
        <v>7.7475344589368333E-3</v>
      </c>
    </row>
    <row r="1086" spans="2:16" ht="15" customHeight="1">
      <c r="B1086" s="83">
        <v>390.45085475321548</v>
      </c>
      <c r="C1086" s="83">
        <v>390.63175127212088</v>
      </c>
      <c r="D1086" s="83">
        <v>387.93734522737179</v>
      </c>
      <c r="E1086" s="83">
        <v>388.62284782532919</v>
      </c>
      <c r="F1086" s="83">
        <v>7165620.808202262</v>
      </c>
      <c r="G1086" s="83" t="s">
        <v>1145</v>
      </c>
      <c r="H1086" s="84">
        <f t="shared" si="29"/>
        <v>4.7038071439071683E-3</v>
      </c>
      <c r="J1086" s="83">
        <v>135.61935015792801</v>
      </c>
      <c r="K1086" s="83">
        <v>137.08513721245859</v>
      </c>
      <c r="L1086" s="83">
        <v>134.73859057747441</v>
      </c>
      <c r="M1086" s="83">
        <v>136.65916925527557</v>
      </c>
      <c r="N1086" s="83">
        <v>26735542.587084435</v>
      </c>
      <c r="O1086" s="83" t="s">
        <v>1145</v>
      </c>
      <c r="P1086" s="84">
        <f t="shared" si="30"/>
        <v>-7.6088498343291899E-3</v>
      </c>
    </row>
    <row r="1087" spans="2:16" ht="15" customHeight="1">
      <c r="B1087" s="83">
        <v>384.28133137159921</v>
      </c>
      <c r="C1087" s="83">
        <v>386.53777742320887</v>
      </c>
      <c r="D1087" s="83">
        <v>381.063277508966</v>
      </c>
      <c r="E1087" s="83">
        <v>385.05252179430124</v>
      </c>
      <c r="F1087" s="83">
        <v>10679260.008370262</v>
      </c>
      <c r="G1087" s="83" t="s">
        <v>1144</v>
      </c>
      <c r="H1087" s="84">
        <f t="shared" si="29"/>
        <v>-2.0028187819894905E-3</v>
      </c>
      <c r="J1087" s="83">
        <v>134.50050083281835</v>
      </c>
      <c r="K1087" s="83">
        <v>135.36187564042464</v>
      </c>
      <c r="L1087" s="83">
        <v>132.51430718415631</v>
      </c>
      <c r="M1087" s="83">
        <v>132.57743195727446</v>
      </c>
      <c r="N1087" s="83">
        <v>26952062.018757019</v>
      </c>
      <c r="O1087" s="83" t="s">
        <v>1144</v>
      </c>
      <c r="P1087" s="84">
        <f t="shared" si="30"/>
        <v>1.4505250608290776E-2</v>
      </c>
    </row>
    <row r="1088" spans="2:16" ht="15" customHeight="1">
      <c r="B1088" s="83">
        <v>385.53808613452105</v>
      </c>
      <c r="C1088" s="83">
        <v>395.30649815541346</v>
      </c>
      <c r="D1088" s="83">
        <v>384.23372702451883</v>
      </c>
      <c r="E1088" s="83">
        <v>393.35471992511816</v>
      </c>
      <c r="F1088" s="83">
        <v>10984906.464888917</v>
      </c>
      <c r="G1088" s="83" t="s">
        <v>1143</v>
      </c>
      <c r="H1088" s="84">
        <f t="shared" si="29"/>
        <v>-1.9871717293960867E-2</v>
      </c>
      <c r="J1088" s="83">
        <v>133.33741446198022</v>
      </c>
      <c r="K1088" s="83">
        <v>138.46021347097297</v>
      </c>
      <c r="L1088" s="83">
        <v>132.50088695680049</v>
      </c>
      <c r="M1088" s="83">
        <v>137.93011449041791</v>
      </c>
      <c r="N1088" s="83">
        <v>39039487.641214706</v>
      </c>
      <c r="O1088" s="83" t="s">
        <v>1143</v>
      </c>
      <c r="P1088" s="84">
        <f t="shared" si="30"/>
        <v>-3.3297297297297246E-2</v>
      </c>
    </row>
    <row r="1089" spans="2:16" ht="15" customHeight="1">
      <c r="B1089" s="83">
        <v>393.38328253336641</v>
      </c>
      <c r="C1089" s="83">
        <v>400.63818502841519</v>
      </c>
      <c r="D1089" s="83">
        <v>391.44102517248723</v>
      </c>
      <c r="E1089" s="83">
        <v>395.04943468117949</v>
      </c>
      <c r="F1089" s="83">
        <v>9726487.7768044509</v>
      </c>
      <c r="G1089" s="83" t="s">
        <v>1142</v>
      </c>
      <c r="H1089" s="84">
        <f t="shared" si="29"/>
        <v>-4.2175788687249804E-3</v>
      </c>
      <c r="J1089" s="83">
        <v>137.7834860804191</v>
      </c>
      <c r="K1089" s="83">
        <v>140.59527223419312</v>
      </c>
      <c r="L1089" s="83">
        <v>137.23425084974554</v>
      </c>
      <c r="M1089" s="83">
        <v>138.6756826768526</v>
      </c>
      <c r="N1089" s="83">
        <v>33213964.129046373</v>
      </c>
      <c r="O1089" s="83" t="s">
        <v>1142</v>
      </c>
      <c r="P1089" s="84">
        <f t="shared" si="30"/>
        <v>-6.4336917562723972E-3</v>
      </c>
    </row>
    <row r="1090" spans="2:16" ht="15" customHeight="1">
      <c r="B1090" s="83">
        <v>400.41920503184548</v>
      </c>
      <c r="C1090" s="83">
        <v>400.7048311143277</v>
      </c>
      <c r="D1090" s="83">
        <v>398.30081158676893</v>
      </c>
      <c r="E1090" s="83">
        <v>398.49598940979843</v>
      </c>
      <c r="F1090" s="83">
        <v>6600719.6668296587</v>
      </c>
      <c r="G1090" s="83" t="s">
        <v>1141</v>
      </c>
      <c r="H1090" s="84">
        <f t="shared" si="29"/>
        <v>4.8261856409030912E-3</v>
      </c>
      <c r="J1090" s="83">
        <v>140.61714223432855</v>
      </c>
      <c r="K1090" s="83">
        <v>141.33537292059398</v>
      </c>
      <c r="L1090" s="83">
        <v>139.54750040952356</v>
      </c>
      <c r="M1090" s="83">
        <v>140.01745688970624</v>
      </c>
      <c r="N1090" s="83">
        <v>28797325.839064233</v>
      </c>
      <c r="O1090" s="83" t="s">
        <v>1141</v>
      </c>
      <c r="P1090" s="84">
        <f t="shared" si="30"/>
        <v>4.2829326995610373E-3</v>
      </c>
    </row>
    <row r="1091" spans="2:16" ht="15" customHeight="1">
      <c r="B1091" s="83">
        <v>394.63051642687219</v>
      </c>
      <c r="C1091" s="83">
        <v>395.55404076023137</v>
      </c>
      <c r="D1091" s="83">
        <v>389.73678954700989</v>
      </c>
      <c r="E1091" s="83">
        <v>391.04114865701212</v>
      </c>
      <c r="F1091" s="83">
        <v>5845773.9065333754</v>
      </c>
      <c r="G1091" s="83" t="s">
        <v>1140</v>
      </c>
      <c r="H1091" s="84">
        <f t="shared" si="29"/>
        <v>9.179002726918517E-3</v>
      </c>
      <c r="J1091" s="83">
        <v>138.39037858417694</v>
      </c>
      <c r="K1091" s="83">
        <v>139.01081060620044</v>
      </c>
      <c r="L1091" s="83">
        <v>136.06420584250071</v>
      </c>
      <c r="M1091" s="83">
        <v>138.16993892372108</v>
      </c>
      <c r="N1091" s="83">
        <v>34458659.13734296</v>
      </c>
      <c r="O1091" s="83" t="s">
        <v>1140</v>
      </c>
      <c r="P1091" s="84">
        <f t="shared" si="30"/>
        <v>1.5954241723850071E-3</v>
      </c>
    </row>
    <row r="1092" spans="2:16" ht="15" customHeight="1">
      <c r="B1092" s="83">
        <v>391.46006691131942</v>
      </c>
      <c r="C1092" s="83">
        <v>394.75428772928115</v>
      </c>
      <c r="D1092" s="83">
        <v>390.26043736489396</v>
      </c>
      <c r="E1092" s="83">
        <v>393.43088688044679</v>
      </c>
      <c r="F1092" s="83">
        <v>5903780.1637211461</v>
      </c>
      <c r="G1092" s="83" t="s">
        <v>1139</v>
      </c>
      <c r="H1092" s="84">
        <f t="shared" si="29"/>
        <v>-5.0093168453402281E-3</v>
      </c>
      <c r="J1092" s="83">
        <v>138.11700358248422</v>
      </c>
      <c r="K1092" s="83">
        <v>142.99649386951589</v>
      </c>
      <c r="L1092" s="83">
        <v>137.87941585374037</v>
      </c>
      <c r="M1092" s="83">
        <v>142.85981133912409</v>
      </c>
      <c r="N1092" s="83">
        <v>44875915.588615023</v>
      </c>
      <c r="O1092" s="83" t="s">
        <v>1139</v>
      </c>
      <c r="P1092" s="84">
        <f t="shared" si="30"/>
        <v>-3.3199034159308027E-2</v>
      </c>
    </row>
    <row r="1093" spans="2:16" ht="15" customHeight="1">
      <c r="B1093" s="83">
        <v>392.75490515190546</v>
      </c>
      <c r="C1093" s="83">
        <v>396.29666857468521</v>
      </c>
      <c r="D1093" s="83">
        <v>388.5085973923363</v>
      </c>
      <c r="E1093" s="83">
        <v>390.67935561920126</v>
      </c>
      <c r="F1093" s="83">
        <v>8623187.2754589543</v>
      </c>
      <c r="G1093" s="83" t="s">
        <v>1138</v>
      </c>
      <c r="H1093" s="84">
        <f t="shared" si="29"/>
        <v>5.3126675439878479E-3</v>
      </c>
      <c r="J1093" s="83">
        <v>142.17090633485844</v>
      </c>
      <c r="K1093" s="83">
        <v>143.68117895784633</v>
      </c>
      <c r="L1093" s="83">
        <v>138.99130654244328</v>
      </c>
      <c r="M1093" s="83">
        <v>142.17190042577369</v>
      </c>
      <c r="N1093" s="83">
        <v>49517000.15064133</v>
      </c>
      <c r="O1093" s="83" t="s">
        <v>1138</v>
      </c>
      <c r="P1093" s="84">
        <f t="shared" si="30"/>
        <v>-6.9921757552826591E-6</v>
      </c>
    </row>
    <row r="1094" spans="2:16" ht="15" customHeight="1">
      <c r="B1094" s="83">
        <v>390.9173773546031</v>
      </c>
      <c r="C1094" s="83">
        <v>396.47756509359061</v>
      </c>
      <c r="D1094" s="83">
        <v>390.15570780131719</v>
      </c>
      <c r="E1094" s="83">
        <v>394.72572512103289</v>
      </c>
      <c r="F1094" s="83">
        <v>8043667.7212169319</v>
      </c>
      <c r="G1094" s="83" t="s">
        <v>1137</v>
      </c>
      <c r="H1094" s="84">
        <f t="shared" si="29"/>
        <v>-9.6480860609275965E-3</v>
      </c>
      <c r="J1094" s="83">
        <v>141.80756610533595</v>
      </c>
      <c r="K1094" s="83">
        <v>148.23657075423483</v>
      </c>
      <c r="L1094" s="83">
        <v>141.36469860259373</v>
      </c>
      <c r="M1094" s="83">
        <v>144.43643953070466</v>
      </c>
      <c r="N1094" s="83">
        <v>57268544.684262924</v>
      </c>
      <c r="O1094" s="83" t="s">
        <v>1137</v>
      </c>
      <c r="P1094" s="84">
        <f t="shared" si="30"/>
        <v>-1.820090161395771E-2</v>
      </c>
    </row>
    <row r="1095" spans="2:16" ht="15" customHeight="1">
      <c r="B1095" s="83">
        <v>400.21926677410795</v>
      </c>
      <c r="C1095" s="83">
        <v>400.99997806622605</v>
      </c>
      <c r="D1095" s="83">
        <v>396.58229465716749</v>
      </c>
      <c r="E1095" s="83">
        <v>398.90538679468966</v>
      </c>
      <c r="F1095" s="83">
        <v>7064980.8395054685</v>
      </c>
      <c r="G1095" s="83" t="s">
        <v>1136</v>
      </c>
      <c r="H1095" s="84">
        <f t="shared" si="29"/>
        <v>3.2937133037376221E-3</v>
      </c>
      <c r="J1095" s="83">
        <v>147.16173977485226</v>
      </c>
      <c r="K1095" s="83">
        <v>151.20122820895543</v>
      </c>
      <c r="L1095" s="83">
        <v>144.69739336641138</v>
      </c>
      <c r="M1095" s="83">
        <v>150.96612570749969</v>
      </c>
      <c r="N1095" s="83">
        <v>90284257.328482896</v>
      </c>
      <c r="O1095" s="83" t="s">
        <v>1136</v>
      </c>
      <c r="P1095" s="84">
        <f t="shared" si="30"/>
        <v>-2.5200262077457736E-2</v>
      </c>
    </row>
    <row r="1096" spans="2:16" ht="15" customHeight="1">
      <c r="B1096" s="83">
        <v>396.4394816159263</v>
      </c>
      <c r="C1096" s="83">
        <v>397.05833812797118</v>
      </c>
      <c r="D1096" s="83">
        <v>391.21252430650139</v>
      </c>
      <c r="E1096" s="83">
        <v>394.48770338563105</v>
      </c>
      <c r="F1096" s="83">
        <v>8565279.7487503998</v>
      </c>
      <c r="G1096" s="83" t="s">
        <v>1135</v>
      </c>
      <c r="H1096" s="84">
        <f t="shared" si="29"/>
        <v>4.9476275522517543E-3</v>
      </c>
      <c r="J1096" s="83">
        <v>137.0637642577808</v>
      </c>
      <c r="K1096" s="83">
        <v>137.38336448703248</v>
      </c>
      <c r="L1096" s="83">
        <v>133.77304995331403</v>
      </c>
      <c r="M1096" s="83">
        <v>137.02052130296758</v>
      </c>
      <c r="N1096" s="83">
        <v>51507562.552582018</v>
      </c>
      <c r="O1096" s="83" t="s">
        <v>1135</v>
      </c>
      <c r="P1096" s="84">
        <f t="shared" si="30"/>
        <v>3.1559473283282458E-4</v>
      </c>
    </row>
    <row r="1097" spans="2:16" ht="15" customHeight="1">
      <c r="B1097" s="83">
        <v>393.86884687358622</v>
      </c>
      <c r="C1097" s="83">
        <v>394.13543121723632</v>
      </c>
      <c r="D1097" s="83">
        <v>384.97635483897267</v>
      </c>
      <c r="E1097" s="83">
        <v>386.23310960189445</v>
      </c>
      <c r="F1097" s="83">
        <v>9663439.963231191</v>
      </c>
      <c r="G1097" s="83" t="s">
        <v>1134</v>
      </c>
      <c r="H1097" s="84">
        <f t="shared" si="29"/>
        <v>1.9769763600956392E-2</v>
      </c>
      <c r="J1097" s="83">
        <v>134.89664606254397</v>
      </c>
      <c r="K1097" s="83">
        <v>135.04078924525467</v>
      </c>
      <c r="L1097" s="83">
        <v>131.49238172328316</v>
      </c>
      <c r="M1097" s="83">
        <v>133.40501264421698</v>
      </c>
      <c r="N1097" s="83">
        <v>34257993.386413544</v>
      </c>
      <c r="O1097" s="83" t="s">
        <v>1134</v>
      </c>
      <c r="P1097" s="84">
        <f t="shared" si="30"/>
        <v>1.1181239660799536E-2</v>
      </c>
    </row>
    <row r="1098" spans="2:16" ht="15" customHeight="1">
      <c r="B1098" s="83">
        <v>386.79484089744284</v>
      </c>
      <c r="C1098" s="83">
        <v>386.86148698335535</v>
      </c>
      <c r="D1098" s="83">
        <v>374.45579413421029</v>
      </c>
      <c r="E1098" s="83">
        <v>378.75922711027596</v>
      </c>
      <c r="F1098" s="83">
        <v>12705569.703094998</v>
      </c>
      <c r="G1098" s="83" t="s">
        <v>1133</v>
      </c>
      <c r="H1098" s="84">
        <f t="shared" si="29"/>
        <v>2.1215625157106288E-2</v>
      </c>
      <c r="J1098" s="83">
        <v>132.50188104771576</v>
      </c>
      <c r="K1098" s="83">
        <v>132.58240241185069</v>
      </c>
      <c r="L1098" s="83">
        <v>127.9340332921592</v>
      </c>
      <c r="M1098" s="83">
        <v>129.23181898201318</v>
      </c>
      <c r="N1098" s="83">
        <v>30698962.772876985</v>
      </c>
      <c r="O1098" s="83" t="s">
        <v>1133</v>
      </c>
      <c r="P1098" s="84">
        <f t="shared" si="30"/>
        <v>2.5303846153846399E-2</v>
      </c>
    </row>
    <row r="1099" spans="2:16" ht="15" customHeight="1">
      <c r="B1099" s="83">
        <v>377.54055582501849</v>
      </c>
      <c r="C1099" s="83">
        <v>386.51873568437674</v>
      </c>
      <c r="D1099" s="83">
        <v>375.9029662854536</v>
      </c>
      <c r="E1099" s="83">
        <v>383.62439138189006</v>
      </c>
      <c r="F1099" s="83">
        <v>13082025.869372066</v>
      </c>
      <c r="G1099" s="83" t="s">
        <v>1132</v>
      </c>
      <c r="H1099" s="84">
        <f t="shared" si="29"/>
        <v>-1.5858834040652137E-2</v>
      </c>
      <c r="J1099" s="83">
        <v>128.35801306751173</v>
      </c>
      <c r="K1099" s="83">
        <v>131.82633662535102</v>
      </c>
      <c r="L1099" s="83">
        <v>128.18305306642839</v>
      </c>
      <c r="M1099" s="83">
        <v>130.58477671766332</v>
      </c>
      <c r="N1099" s="83">
        <v>30465040.506378457</v>
      </c>
      <c r="O1099" s="83" t="s">
        <v>1132</v>
      </c>
      <c r="P1099" s="84">
        <f t="shared" si="30"/>
        <v>-1.7052245339179595E-2</v>
      </c>
    </row>
    <row r="1100" spans="2:16" ht="15" customHeight="1">
      <c r="B1100" s="83">
        <v>379.46377144706548</v>
      </c>
      <c r="C1100" s="83">
        <v>388.63750996422993</v>
      </c>
      <c r="D1100" s="83">
        <v>375.44596455348204</v>
      </c>
      <c r="E1100" s="83">
        <v>386.22358873247839</v>
      </c>
      <c r="F1100" s="83">
        <v>15100875.110970527</v>
      </c>
      <c r="G1100" s="83" t="s">
        <v>1131</v>
      </c>
      <c r="H1100" s="84">
        <f t="shared" si="29"/>
        <v>-1.7502341862643656E-2</v>
      </c>
      <c r="J1100" s="83">
        <v>128.47630988642604</v>
      </c>
      <c r="K1100" s="83">
        <v>132.02272922656707</v>
      </c>
      <c r="L1100" s="83">
        <v>126.40213919176473</v>
      </c>
      <c r="M1100" s="83">
        <v>129.82081784929659</v>
      </c>
      <c r="N1100" s="83">
        <v>39866454.257036112</v>
      </c>
      <c r="O1100" s="83" t="s">
        <v>1131</v>
      </c>
      <c r="P1100" s="84">
        <f t="shared" si="30"/>
        <v>-1.0356643758255624E-2</v>
      </c>
    </row>
    <row r="1101" spans="2:16" ht="15" customHeight="1">
      <c r="B1101" s="83">
        <v>380.32064969451216</v>
      </c>
      <c r="C1101" s="83">
        <v>384.89066701422797</v>
      </c>
      <c r="D1101" s="83">
        <v>373.91548479484811</v>
      </c>
      <c r="E1101" s="83">
        <v>379.09245753983862</v>
      </c>
      <c r="F1101" s="83">
        <v>17683601.427800789</v>
      </c>
      <c r="G1101" s="83" t="s">
        <v>1130</v>
      </c>
      <c r="H1101" s="84">
        <f t="shared" si="29"/>
        <v>3.2398221865030941E-3</v>
      </c>
      <c r="J1101" s="83">
        <v>125.98660918919178</v>
      </c>
      <c r="K1101" s="83">
        <v>128.57422784157779</v>
      </c>
      <c r="L1101" s="83">
        <v>125.63122168699125</v>
      </c>
      <c r="M1101" s="83">
        <v>127.67656374511043</v>
      </c>
      <c r="N1101" s="83">
        <v>36222642.66551514</v>
      </c>
      <c r="O1101" s="83" t="s">
        <v>1130</v>
      </c>
      <c r="P1101" s="84">
        <f t="shared" si="30"/>
        <v>-1.3236215843750454E-2</v>
      </c>
    </row>
    <row r="1102" spans="2:16" ht="15" customHeight="1">
      <c r="B1102" s="83">
        <v>384.9953965778048</v>
      </c>
      <c r="C1102" s="83">
        <v>385.48096091802455</v>
      </c>
      <c r="D1102" s="83">
        <v>368.30531249142615</v>
      </c>
      <c r="E1102" s="83">
        <v>378.22605842297583</v>
      </c>
      <c r="F1102" s="83">
        <v>24155184.778788935</v>
      </c>
      <c r="G1102" s="83" t="s">
        <v>1129</v>
      </c>
      <c r="H1102" s="84">
        <f t="shared" si="29"/>
        <v>1.7897598550068006E-2</v>
      </c>
      <c r="J1102" s="83">
        <v>129.6016208024848</v>
      </c>
      <c r="K1102" s="83">
        <v>130.00571875953241</v>
      </c>
      <c r="L1102" s="83">
        <v>123.90543015357798</v>
      </c>
      <c r="M1102" s="83">
        <v>125.28279282119745</v>
      </c>
      <c r="N1102" s="83">
        <v>55620707.474530242</v>
      </c>
      <c r="O1102" s="83" t="s">
        <v>1129</v>
      </c>
      <c r="P1102" s="84">
        <f t="shared" si="30"/>
        <v>3.4472634940786673E-2</v>
      </c>
    </row>
    <row r="1103" spans="2:16" ht="15" customHeight="1">
      <c r="B1103" s="83">
        <v>383.39589051590428</v>
      </c>
      <c r="C1103" s="83">
        <v>392.18984155206147</v>
      </c>
      <c r="D1103" s="83">
        <v>383.36732790765609</v>
      </c>
      <c r="E1103" s="83">
        <v>390.07954084598856</v>
      </c>
      <c r="F1103" s="83">
        <v>17042485.60809483</v>
      </c>
      <c r="G1103" s="83" t="s">
        <v>1128</v>
      </c>
      <c r="H1103" s="84">
        <f t="shared" si="29"/>
        <v>-1.7134070440067317E-2</v>
      </c>
      <c r="J1103" s="83">
        <v>129.32327534621584</v>
      </c>
      <c r="K1103" s="83">
        <v>133.96418878404299</v>
      </c>
      <c r="L1103" s="83">
        <v>129.23281307292842</v>
      </c>
      <c r="M1103" s="83">
        <v>132.2260208187349</v>
      </c>
      <c r="N1103" s="83">
        <v>42168396.629613914</v>
      </c>
      <c r="O1103" s="83" t="s">
        <v>1128</v>
      </c>
      <c r="P1103" s="84">
        <f t="shared" si="30"/>
        <v>-2.1952906504676184E-2</v>
      </c>
    </row>
    <row r="1104" spans="2:16" ht="15" customHeight="1">
      <c r="B1104" s="83">
        <v>391.07923213467637</v>
      </c>
      <c r="C1104" s="83">
        <v>401.54266762294225</v>
      </c>
      <c r="D1104" s="83">
        <v>390.63175127212088</v>
      </c>
      <c r="E1104" s="83">
        <v>397.18210943038014</v>
      </c>
      <c r="F1104" s="83">
        <v>9355871.4133405704</v>
      </c>
      <c r="G1104" s="83" t="s">
        <v>1127</v>
      </c>
      <c r="H1104" s="84">
        <f t="shared" si="29"/>
        <v>-1.5365438550231314E-2</v>
      </c>
      <c r="J1104" s="83">
        <v>132.71759877632419</v>
      </c>
      <c r="K1104" s="83">
        <v>137.09706630344155</v>
      </c>
      <c r="L1104" s="83">
        <v>132.35773786500502</v>
      </c>
      <c r="M1104" s="83">
        <v>135.70732720392729</v>
      </c>
      <c r="N1104" s="83">
        <v>22060919.845110327</v>
      </c>
      <c r="O1104" s="83" t="s">
        <v>1127</v>
      </c>
      <c r="P1104" s="84">
        <f t="shared" si="30"/>
        <v>-2.2030707473226108E-2</v>
      </c>
    </row>
    <row r="1105" spans="2:16" ht="15" customHeight="1">
      <c r="B1105" s="83">
        <v>395.43026945782242</v>
      </c>
      <c r="C1105" s="83">
        <v>402.29005587210412</v>
      </c>
      <c r="D1105" s="83">
        <v>395.18272685300451</v>
      </c>
      <c r="E1105" s="83">
        <v>400.99045719680998</v>
      </c>
      <c r="F1105" s="83">
        <v>8595964.9716258179</v>
      </c>
      <c r="G1105" s="83" t="s">
        <v>1126</v>
      </c>
      <c r="H1105" s="84">
        <f t="shared" si="29"/>
        <v>-1.3866134814920494E-2</v>
      </c>
      <c r="J1105" s="83">
        <v>134.85042083498502</v>
      </c>
      <c r="K1105" s="83">
        <v>137.5816856246241</v>
      </c>
      <c r="L1105" s="83">
        <v>134.69931901586759</v>
      </c>
      <c r="M1105" s="83">
        <v>136.12931879744932</v>
      </c>
      <c r="N1105" s="83">
        <v>20918891.502844699</v>
      </c>
      <c r="O1105" s="83" t="s">
        <v>1126</v>
      </c>
      <c r="P1105" s="84">
        <f t="shared" si="30"/>
        <v>-9.3947282904368601E-3</v>
      </c>
    </row>
    <row r="1106" spans="2:16" ht="15" customHeight="1">
      <c r="B1106" s="83">
        <v>399.62897287031132</v>
      </c>
      <c r="C1106" s="83">
        <v>404.61790844433438</v>
      </c>
      <c r="D1106" s="83">
        <v>397.33444334103734</v>
      </c>
      <c r="E1106" s="83">
        <v>402.37098326214078</v>
      </c>
      <c r="F1106" s="83">
        <v>11236348.837993855</v>
      </c>
      <c r="G1106" s="83" t="s">
        <v>1125</v>
      </c>
      <c r="H1106" s="84">
        <f t="shared" si="29"/>
        <v>-6.8146325304055955E-3</v>
      </c>
      <c r="J1106" s="83">
        <v>135.48514788436975</v>
      </c>
      <c r="K1106" s="83">
        <v>136.57963701160131</v>
      </c>
      <c r="L1106" s="83">
        <v>134.81562765295141</v>
      </c>
      <c r="M1106" s="83">
        <v>135.79281902263847</v>
      </c>
      <c r="N1106" s="83">
        <v>27564842.993472092</v>
      </c>
      <c r="O1106" s="83" t="s">
        <v>1125</v>
      </c>
      <c r="P1106" s="84">
        <f t="shared" si="30"/>
        <v>-2.2657393850659124E-3</v>
      </c>
    </row>
    <row r="1107" spans="2:16" ht="15" customHeight="1">
      <c r="B1107" s="83">
        <v>406.76010406295114</v>
      </c>
      <c r="C1107" s="83">
        <v>407.09323928381957</v>
      </c>
      <c r="D1107" s="83">
        <v>402.55187978104618</v>
      </c>
      <c r="E1107" s="83">
        <v>403.6324984597706</v>
      </c>
      <c r="F1107" s="83">
        <v>10462084.463822933</v>
      </c>
      <c r="G1107" s="83" t="s">
        <v>1124</v>
      </c>
      <c r="H1107" s="84">
        <f t="shared" si="29"/>
        <v>7.7486466404841359E-3</v>
      </c>
      <c r="J1107" s="83">
        <v>138.96048972407067</v>
      </c>
      <c r="K1107" s="83">
        <v>140.36613427822888</v>
      </c>
      <c r="L1107" s="83">
        <v>136.68750084636011</v>
      </c>
      <c r="M1107" s="83">
        <v>136.68750084636011</v>
      </c>
      <c r="N1107" s="83">
        <v>23967546.262202654</v>
      </c>
      <c r="O1107" s="83" t="s">
        <v>1124</v>
      </c>
      <c r="P1107" s="84">
        <f t="shared" si="30"/>
        <v>1.6629090909090927E-2</v>
      </c>
    </row>
    <row r="1108" spans="2:16" ht="15" customHeight="1">
      <c r="B1108" s="83">
        <v>406.63633276054213</v>
      </c>
      <c r="C1108" s="83">
        <v>413.89123525559091</v>
      </c>
      <c r="D1108" s="83">
        <v>405.67472494951858</v>
      </c>
      <c r="E1108" s="83">
        <v>413.29142048237821</v>
      </c>
      <c r="F1108" s="83">
        <v>7899777.5006781397</v>
      </c>
      <c r="G1108" s="83" t="s">
        <v>1123</v>
      </c>
      <c r="H1108" s="84">
        <f t="shared" si="29"/>
        <v>-1.6102651523877576E-2</v>
      </c>
      <c r="J1108" s="83">
        <v>138.30886312912673</v>
      </c>
      <c r="K1108" s="83">
        <v>142.33940474499269</v>
      </c>
      <c r="L1108" s="83">
        <v>138.09314540051832</v>
      </c>
      <c r="M1108" s="83">
        <v>141.00235246398648</v>
      </c>
      <c r="N1108" s="83">
        <v>26722988.403348725</v>
      </c>
      <c r="O1108" s="83" t="s">
        <v>1123</v>
      </c>
      <c r="P1108" s="84">
        <f t="shared" si="30"/>
        <v>-1.9102442532281105E-2</v>
      </c>
    </row>
    <row r="1109" spans="2:16" ht="15" customHeight="1">
      <c r="B1109" s="83">
        <v>412.32029180193859</v>
      </c>
      <c r="C1109" s="83">
        <v>414.19590307690532</v>
      </c>
      <c r="D1109" s="83">
        <v>410.48276400463624</v>
      </c>
      <c r="E1109" s="83">
        <v>412.78681440332628</v>
      </c>
      <c r="F1109" s="83">
        <v>8686530.2301456127</v>
      </c>
      <c r="G1109" s="83" t="s">
        <v>1122</v>
      </c>
      <c r="H1109" s="84">
        <f t="shared" si="29"/>
        <v>-1.1301780607068102E-3</v>
      </c>
      <c r="J1109" s="83">
        <v>140.81098996280156</v>
      </c>
      <c r="K1109" s="83">
        <v>141.97034352225293</v>
      </c>
      <c r="L1109" s="83">
        <v>140.27815723222957</v>
      </c>
      <c r="M1109" s="83">
        <v>140.71804246222604</v>
      </c>
      <c r="N1109" s="83">
        <v>23782110.50660646</v>
      </c>
      <c r="O1109" s="83" t="s">
        <v>1122</v>
      </c>
      <c r="P1109" s="84">
        <f t="shared" si="30"/>
        <v>6.6052297878194111E-4</v>
      </c>
    </row>
    <row r="1110" spans="2:16" ht="15" customHeight="1">
      <c r="B1110" s="83">
        <v>411.092099647265</v>
      </c>
      <c r="C1110" s="83">
        <v>411.25395442733827</v>
      </c>
      <c r="D1110" s="83">
        <v>404.4274910560128</v>
      </c>
      <c r="E1110" s="83">
        <v>407.18854318667445</v>
      </c>
      <c r="F1110" s="83">
        <v>7648925.4098000024</v>
      </c>
      <c r="G1110" s="83" t="s">
        <v>1121</v>
      </c>
      <c r="H1110" s="84">
        <f t="shared" si="29"/>
        <v>9.5866068088290568E-3</v>
      </c>
      <c r="J1110" s="83">
        <v>139.19012472549255</v>
      </c>
      <c r="K1110" s="83">
        <v>139.5002810910494</v>
      </c>
      <c r="L1110" s="83">
        <v>136.00505743304353</v>
      </c>
      <c r="M1110" s="83">
        <v>137.36397971418518</v>
      </c>
      <c r="N1110" s="83">
        <v>23640936.296232317</v>
      </c>
      <c r="O1110" s="83" t="s">
        <v>1121</v>
      </c>
      <c r="P1110" s="84">
        <f t="shared" si="30"/>
        <v>1.3294205767094613E-2</v>
      </c>
    </row>
    <row r="1111" spans="2:16" ht="15" customHeight="1">
      <c r="B1111" s="83">
        <v>407.52177361623706</v>
      </c>
      <c r="C1111" s="83">
        <v>407.67410752689426</v>
      </c>
      <c r="D1111" s="83">
        <v>399.65753547855951</v>
      </c>
      <c r="E1111" s="83">
        <v>404.9987432209773</v>
      </c>
      <c r="F1111" s="83">
        <v>11009009.305708533</v>
      </c>
      <c r="G1111" s="83" t="s">
        <v>1120</v>
      </c>
      <c r="H1111" s="84">
        <f t="shared" si="29"/>
        <v>6.2297240114721486E-3</v>
      </c>
      <c r="J1111" s="83">
        <v>137.75515448933459</v>
      </c>
      <c r="K1111" s="83">
        <v>137.82076448974084</v>
      </c>
      <c r="L1111" s="83">
        <v>132.35376150134405</v>
      </c>
      <c r="M1111" s="83">
        <v>134.30068855885384</v>
      </c>
      <c r="N1111" s="83">
        <v>34298351.868102372</v>
      </c>
      <c r="O1111" s="83" t="s">
        <v>1120</v>
      </c>
      <c r="P1111" s="84">
        <f t="shared" si="30"/>
        <v>2.572187803018533E-2</v>
      </c>
    </row>
    <row r="1112" spans="2:16" ht="15" customHeight="1">
      <c r="B1112" s="83">
        <v>408.05494230353719</v>
      </c>
      <c r="C1112" s="83">
        <v>410.69222313178989</v>
      </c>
      <c r="D1112" s="83">
        <v>406.73154145470289</v>
      </c>
      <c r="E1112" s="83">
        <v>409.59732314894126</v>
      </c>
      <c r="F1112" s="83">
        <v>6467409.362430661</v>
      </c>
      <c r="G1112" s="83" t="s">
        <v>1119</v>
      </c>
      <c r="H1112" s="84">
        <f t="shared" si="29"/>
        <v>-3.7656028451221735E-3</v>
      </c>
      <c r="J1112" s="83">
        <v>136.1949287978556</v>
      </c>
      <c r="K1112" s="83">
        <v>137.43778599418764</v>
      </c>
      <c r="L1112" s="83">
        <v>134.98661129037376</v>
      </c>
      <c r="M1112" s="83">
        <v>137.09010766703483</v>
      </c>
      <c r="N1112" s="83">
        <v>19523606.646372188</v>
      </c>
      <c r="O1112" s="83" t="s">
        <v>1119</v>
      </c>
      <c r="P1112" s="84">
        <f t="shared" si="30"/>
        <v>-6.529857510604975E-3</v>
      </c>
    </row>
    <row r="1113" spans="2:16" ht="15" customHeight="1">
      <c r="B1113" s="83">
        <v>409.4735518465323</v>
      </c>
      <c r="C1113" s="83">
        <v>412.09179093595282</v>
      </c>
      <c r="D1113" s="83">
        <v>407.39800231382804</v>
      </c>
      <c r="E1113" s="83">
        <v>409.58780227952519</v>
      </c>
      <c r="F1113" s="83">
        <v>8372709.1000127401</v>
      </c>
      <c r="G1113" s="83" t="s">
        <v>1118</v>
      </c>
      <c r="H1113" s="84">
        <f t="shared" si="29"/>
        <v>-2.7894002789397021E-4</v>
      </c>
      <c r="J1113" s="83">
        <v>136.73819948303765</v>
      </c>
      <c r="K1113" s="83">
        <v>138.8605835870884</v>
      </c>
      <c r="L1113" s="83">
        <v>135.95535288728124</v>
      </c>
      <c r="M1113" s="83">
        <v>136.68501561907198</v>
      </c>
      <c r="N1113" s="83">
        <v>29221713.582206912</v>
      </c>
      <c r="O1113" s="83" t="s">
        <v>1118</v>
      </c>
      <c r="P1113" s="84">
        <f t="shared" si="30"/>
        <v>3.8909798359965109E-4</v>
      </c>
    </row>
    <row r="1114" spans="2:16" ht="15" customHeight="1">
      <c r="B1114" s="83">
        <v>410.02576227266468</v>
      </c>
      <c r="C1114" s="83">
        <v>418.35652301172985</v>
      </c>
      <c r="D1114" s="83">
        <v>409.89723053554764</v>
      </c>
      <c r="E1114" s="83">
        <v>417.75670823851715</v>
      </c>
      <c r="F1114" s="83">
        <v>7919032.0447737128</v>
      </c>
      <c r="G1114" s="83" t="s">
        <v>1117</v>
      </c>
      <c r="H1114" s="84">
        <f t="shared" si="29"/>
        <v>-1.8505857149368587E-2</v>
      </c>
      <c r="J1114" s="83">
        <v>136.8400938018504</v>
      </c>
      <c r="K1114" s="83">
        <v>143.44533088820415</v>
      </c>
      <c r="L1114" s="83">
        <v>136.71086198286838</v>
      </c>
      <c r="M1114" s="83">
        <v>143.32902225112034</v>
      </c>
      <c r="N1114" s="83">
        <v>49936599.599346355</v>
      </c>
      <c r="O1114" s="83" t="s">
        <v>1117</v>
      </c>
      <c r="P1114" s="84">
        <f t="shared" si="30"/>
        <v>-4.5272955521185154E-2</v>
      </c>
    </row>
    <row r="1115" spans="2:16" ht="15" customHeight="1">
      <c r="B1115" s="83">
        <v>418.03281345158331</v>
      </c>
      <c r="C1115" s="83">
        <v>420.11788385370363</v>
      </c>
      <c r="D1115" s="83">
        <v>416.27145260960958</v>
      </c>
      <c r="E1115" s="83">
        <v>419.47046473341055</v>
      </c>
      <c r="F1115" s="83">
        <v>6577379.3614133475</v>
      </c>
      <c r="G1115" s="83" t="s">
        <v>1116</v>
      </c>
      <c r="H1115" s="84">
        <f t="shared" si="29"/>
        <v>-3.4273003767760768E-3</v>
      </c>
      <c r="J1115" s="83">
        <v>143.56313066166084</v>
      </c>
      <c r="K1115" s="83">
        <v>145.74366908425347</v>
      </c>
      <c r="L1115" s="83">
        <v>142.96630332841985</v>
      </c>
      <c r="M1115" s="83">
        <v>144.69042975955009</v>
      </c>
      <c r="N1115" s="83">
        <v>23064067.529799677</v>
      </c>
      <c r="O1115" s="83" t="s">
        <v>1116</v>
      </c>
      <c r="P1115" s="84">
        <f t="shared" si="30"/>
        <v>-7.791110301922699E-3</v>
      </c>
    </row>
    <row r="1116" spans="2:16" ht="15" customHeight="1">
      <c r="B1116" s="83">
        <v>418.20418910107264</v>
      </c>
      <c r="C1116" s="83">
        <v>418.22323083990477</v>
      </c>
      <c r="D1116" s="83">
        <v>414.76715524186977</v>
      </c>
      <c r="E1116" s="83">
        <v>416.94743433815086</v>
      </c>
      <c r="F1116" s="83">
        <v>6320119.2423044061</v>
      </c>
      <c r="G1116" s="83" t="s">
        <v>1115</v>
      </c>
      <c r="H1116" s="84">
        <f t="shared" si="29"/>
        <v>3.0141803484573515E-3</v>
      </c>
      <c r="J1116" s="83">
        <v>144.21724248389285</v>
      </c>
      <c r="K1116" s="83">
        <v>144.68993271409246</v>
      </c>
      <c r="L1116" s="83">
        <v>142.65453156512575</v>
      </c>
      <c r="M1116" s="83">
        <v>143.62178202566037</v>
      </c>
      <c r="N1116" s="83">
        <v>25374439.714853857</v>
      </c>
      <c r="O1116" s="83" t="s">
        <v>1115</v>
      </c>
      <c r="P1116" s="84">
        <f t="shared" si="30"/>
        <v>4.1460316801116281E-3</v>
      </c>
    </row>
    <row r="1117" spans="2:16" ht="15" customHeight="1">
      <c r="B1117" s="83">
        <v>415.6525960975647</v>
      </c>
      <c r="C1117" s="83">
        <v>417.37587346187416</v>
      </c>
      <c r="D1117" s="83">
        <v>415.48122044807536</v>
      </c>
      <c r="E1117" s="83">
        <v>416.28097347902565</v>
      </c>
      <c r="F1117" s="83">
        <v>5446569.81771529</v>
      </c>
      <c r="G1117" s="83" t="s">
        <v>1114</v>
      </c>
      <c r="H1117" s="84">
        <f t="shared" si="29"/>
        <v>-1.5095030075704674E-3</v>
      </c>
      <c r="J1117" s="83">
        <v>143.8245765723706</v>
      </c>
      <c r="K1117" s="83">
        <v>145.50011681001817</v>
      </c>
      <c r="L1117" s="83">
        <v>143.82258839054012</v>
      </c>
      <c r="M1117" s="83">
        <v>144.68396816860098</v>
      </c>
      <c r="N1117" s="83">
        <v>17400521.154259849</v>
      </c>
      <c r="O1117" s="83" t="s">
        <v>1114</v>
      </c>
      <c r="P1117" s="84">
        <f t="shared" si="30"/>
        <v>-5.9397845325124266E-3</v>
      </c>
    </row>
    <row r="1118" spans="2:16" ht="15" customHeight="1">
      <c r="B1118" s="83">
        <v>416.79510042749359</v>
      </c>
      <c r="C1118" s="83">
        <v>419.26100560625696</v>
      </c>
      <c r="D1118" s="83">
        <v>416.36666130377029</v>
      </c>
      <c r="E1118" s="83">
        <v>418.33748127289766</v>
      </c>
      <c r="F1118" s="83">
        <v>3940639.0698580714</v>
      </c>
      <c r="G1118" s="83" t="s">
        <v>1113</v>
      </c>
      <c r="H1118" s="84">
        <f t="shared" si="29"/>
        <v>-3.6869296069550472E-3</v>
      </c>
      <c r="J1118" s="83">
        <v>145.1397588532414</v>
      </c>
      <c r="K1118" s="83">
        <v>146.19349522340241</v>
      </c>
      <c r="L1118" s="83">
        <v>144.89720066992132</v>
      </c>
      <c r="M1118" s="83">
        <v>145.58461453781408</v>
      </c>
      <c r="N1118" s="83">
        <v>13054158.126759809</v>
      </c>
      <c r="O1118" s="83" t="s">
        <v>1113</v>
      </c>
      <c r="P1118" s="84">
        <f t="shared" si="30"/>
        <v>-3.055650392625342E-3</v>
      </c>
    </row>
    <row r="1119" spans="2:16" ht="15" customHeight="1">
      <c r="B1119" s="83">
        <v>417.97568823508686</v>
      </c>
      <c r="C1119" s="83">
        <v>418.87064996019785</v>
      </c>
      <c r="D1119" s="83">
        <v>416.57612043092394</v>
      </c>
      <c r="E1119" s="83">
        <v>417.49012389486705</v>
      </c>
      <c r="F1119" s="83">
        <v>4828010.7615373982</v>
      </c>
      <c r="G1119" s="83" t="s">
        <v>1112</v>
      </c>
      <c r="H1119" s="84">
        <f t="shared" si="29"/>
        <v>1.1630558722919293E-3</v>
      </c>
      <c r="J1119" s="83">
        <v>145.63879249269502</v>
      </c>
      <c r="K1119" s="83">
        <v>146.31402874687603</v>
      </c>
      <c r="L1119" s="83">
        <v>144.64470157744876</v>
      </c>
      <c r="M1119" s="83">
        <v>145.56423567405156</v>
      </c>
      <c r="N1119" s="83">
        <v>17125918.50392542</v>
      </c>
      <c r="O1119" s="83" t="s">
        <v>1112</v>
      </c>
      <c r="P1119" s="84">
        <f t="shared" si="30"/>
        <v>5.1219187390505461E-4</v>
      </c>
    </row>
    <row r="1120" spans="2:16" ht="15" customHeight="1">
      <c r="B1120" s="83">
        <v>417.47108215603492</v>
      </c>
      <c r="C1120" s="83">
        <v>419.09915082618363</v>
      </c>
      <c r="D1120" s="83">
        <v>416.68561042920874</v>
      </c>
      <c r="E1120" s="83">
        <v>418.23275170932084</v>
      </c>
      <c r="F1120" s="83">
        <v>5110713.9352050982</v>
      </c>
      <c r="G1120" s="83" t="s">
        <v>1111</v>
      </c>
      <c r="H1120" s="84">
        <f t="shared" si="29"/>
        <v>-1.8211619012928892E-3</v>
      </c>
      <c r="J1120" s="83">
        <v>145.58262635598359</v>
      </c>
      <c r="K1120" s="83">
        <v>147.49774250420549</v>
      </c>
      <c r="L1120" s="83">
        <v>145.07315476191988</v>
      </c>
      <c r="M1120" s="83">
        <v>147.49774250420549</v>
      </c>
      <c r="N1120" s="83">
        <v>18746615.338883311</v>
      </c>
      <c r="O1120" s="83" t="s">
        <v>1111</v>
      </c>
      <c r="P1120" s="84">
        <f t="shared" si="30"/>
        <v>-1.2984037014446503E-2</v>
      </c>
    </row>
    <row r="1121" spans="2:16" ht="15" customHeight="1">
      <c r="B1121" s="83">
        <v>417.7852708467654</v>
      </c>
      <c r="C1121" s="83">
        <v>417.79479171618146</v>
      </c>
      <c r="D1121" s="83">
        <v>413.15812831055314</v>
      </c>
      <c r="E1121" s="83">
        <v>413.18669091880139</v>
      </c>
      <c r="F1121" s="83">
        <v>5237249.6482110973</v>
      </c>
      <c r="G1121" s="83" t="s">
        <v>1110</v>
      </c>
      <c r="H1121" s="84">
        <f t="shared" si="29"/>
        <v>1.1129545140329045E-2</v>
      </c>
      <c r="J1121" s="83">
        <v>147.18907727502156</v>
      </c>
      <c r="K1121" s="83">
        <v>147.54943523179833</v>
      </c>
      <c r="L1121" s="83">
        <v>146.3798872700111</v>
      </c>
      <c r="M1121" s="83">
        <v>146.59212568041616</v>
      </c>
      <c r="N1121" s="83">
        <v>13338136.177127635</v>
      </c>
      <c r="O1121" s="83" t="s">
        <v>1110</v>
      </c>
      <c r="P1121" s="84">
        <f t="shared" si="30"/>
        <v>4.0721941361763214E-3</v>
      </c>
    </row>
    <row r="1122" spans="2:16" ht="15" customHeight="1">
      <c r="B1122" s="83">
        <v>411.91089441704742</v>
      </c>
      <c r="C1122" s="83">
        <v>413.29741863011031</v>
      </c>
      <c r="D1122" s="83">
        <v>410.22570053040221</v>
      </c>
      <c r="E1122" s="83">
        <v>410.26378400806652</v>
      </c>
      <c r="F1122" s="83">
        <v>5285950.0325706564</v>
      </c>
      <c r="G1122" s="83" t="s">
        <v>1109</v>
      </c>
      <c r="H1122" s="84">
        <f t="shared" si="29"/>
        <v>4.0147594625328242E-3</v>
      </c>
      <c r="J1122" s="83">
        <v>146.2730224966221</v>
      </c>
      <c r="K1122" s="83">
        <v>147.69466694406123</v>
      </c>
      <c r="L1122" s="83">
        <v>146.08249503180602</v>
      </c>
      <c r="M1122" s="83">
        <v>146.22033567811405</v>
      </c>
      <c r="N1122" s="83">
        <v>13900821.130205028</v>
      </c>
      <c r="O1122" s="83" t="s">
        <v>1109</v>
      </c>
      <c r="P1122" s="84">
        <f t="shared" si="30"/>
        <v>3.6032483623915645E-4</v>
      </c>
    </row>
    <row r="1123" spans="2:16" ht="15" customHeight="1">
      <c r="B1123" s="83">
        <v>409.38786402178766</v>
      </c>
      <c r="C1123" s="83">
        <v>409.48307271594837</v>
      </c>
      <c r="D1123" s="83">
        <v>404.94161800448086</v>
      </c>
      <c r="E1123" s="83">
        <v>405.06538930688981</v>
      </c>
      <c r="F1123" s="83">
        <v>5243442.3599712709</v>
      </c>
      <c r="G1123" s="83" t="s">
        <v>1108</v>
      </c>
      <c r="H1123" s="84">
        <f t="shared" si="29"/>
        <v>1.0671054177929351E-2</v>
      </c>
      <c r="J1123" s="83">
        <v>146.08066590452196</v>
      </c>
      <c r="K1123" s="83">
        <v>146.43257408851915</v>
      </c>
      <c r="L1123" s="83">
        <v>143.11231043159665</v>
      </c>
      <c r="M1123" s="83">
        <v>143.2485008869854</v>
      </c>
      <c r="N1123" s="83">
        <v>18550094.078097414</v>
      </c>
      <c r="O1123" s="83" t="s">
        <v>1108</v>
      </c>
      <c r="P1123" s="84">
        <f t="shared" si="30"/>
        <v>1.9770992366412221E-2</v>
      </c>
    </row>
    <row r="1124" spans="2:16" ht="15" customHeight="1">
      <c r="B1124" s="83">
        <v>405.29389017287565</v>
      </c>
      <c r="C1124" s="83">
        <v>405.44622408353285</v>
      </c>
      <c r="D1124" s="83">
        <v>399.41951374315767</v>
      </c>
      <c r="E1124" s="83">
        <v>401.44745892878149</v>
      </c>
      <c r="F1124" s="83">
        <v>7264738.8570651868</v>
      </c>
      <c r="G1124" s="83" t="s">
        <v>1107</v>
      </c>
      <c r="H1124" s="84">
        <f t="shared" si="29"/>
        <v>9.5814063796990645E-3</v>
      </c>
      <c r="J1124" s="83">
        <v>143.36828884227256</v>
      </c>
      <c r="K1124" s="83">
        <v>143.83706732472066</v>
      </c>
      <c r="L1124" s="83">
        <v>140.89747587242798</v>
      </c>
      <c r="M1124" s="83">
        <v>142.30411451750143</v>
      </c>
      <c r="N1124" s="83">
        <v>19668160.829290561</v>
      </c>
      <c r="O1124" s="83" t="s">
        <v>1107</v>
      </c>
      <c r="P1124" s="84">
        <f t="shared" si="30"/>
        <v>7.4781697520085455E-3</v>
      </c>
    </row>
    <row r="1125" spans="2:16" ht="15" customHeight="1">
      <c r="B1125" s="83">
        <v>398.22664401401767</v>
      </c>
      <c r="C1125" s="83">
        <v>398.62506038011077</v>
      </c>
      <c r="D1125" s="83">
        <v>394.90650762990839</v>
      </c>
      <c r="E1125" s="83">
        <v>397.83771375187911</v>
      </c>
      <c r="F1125" s="83">
        <v>10439916.163052257</v>
      </c>
      <c r="G1125" s="83" t="s">
        <v>1106</v>
      </c>
      <c r="H1125" s="84">
        <f t="shared" si="29"/>
        <v>9.7761033882548531E-4</v>
      </c>
      <c r="J1125" s="83">
        <v>141.56003746743963</v>
      </c>
      <c r="K1125" s="83">
        <v>141.7678024687261</v>
      </c>
      <c r="L1125" s="83">
        <v>139.4212508632873</v>
      </c>
      <c r="M1125" s="83">
        <v>139.84830735002251</v>
      </c>
      <c r="N1125" s="83">
        <v>20383970.609952047</v>
      </c>
      <c r="O1125" s="83" t="s">
        <v>1106</v>
      </c>
      <c r="P1125" s="84">
        <f t="shared" si="30"/>
        <v>1.2239905865523815E-2</v>
      </c>
    </row>
    <row r="1126" spans="2:16" ht="15" customHeight="1">
      <c r="B1126" s="83">
        <v>402.58076572917804</v>
      </c>
      <c r="C1126" s="83">
        <v>406.75465146920112</v>
      </c>
      <c r="D1126" s="83">
        <v>400.94915584898723</v>
      </c>
      <c r="E1126" s="83">
        <v>403.96573690654935</v>
      </c>
      <c r="F1126" s="83">
        <v>9364699.1879044864</v>
      </c>
      <c r="G1126" s="83" t="s">
        <v>1105</v>
      </c>
      <c r="H1126" s="84">
        <f t="shared" si="29"/>
        <v>-3.4284372431607757E-3</v>
      </c>
      <c r="J1126" s="83">
        <v>141.959164969911</v>
      </c>
      <c r="K1126" s="83">
        <v>143.60646805511098</v>
      </c>
      <c r="L1126" s="83">
        <v>140.95016269093605</v>
      </c>
      <c r="M1126" s="83">
        <v>141.87118792391169</v>
      </c>
      <c r="N1126" s="83">
        <v>43662706.634078659</v>
      </c>
      <c r="O1126" s="83" t="s">
        <v>1105</v>
      </c>
      <c r="P1126" s="84">
        <f t="shared" si="30"/>
        <v>6.2011918901028196E-4</v>
      </c>
    </row>
    <row r="1127" spans="2:16" ht="15" customHeight="1">
      <c r="B1127" s="83">
        <v>406.80208198897407</v>
      </c>
      <c r="C1127" s="83">
        <v>412.45579994591441</v>
      </c>
      <c r="D1127" s="83">
        <v>405.38865249973907</v>
      </c>
      <c r="E1127" s="83">
        <v>412.22813345100406</v>
      </c>
      <c r="F1127" s="83">
        <v>7547375.6499683224</v>
      </c>
      <c r="G1127" s="83" t="s">
        <v>1104</v>
      </c>
      <c r="H1127" s="84">
        <f t="shared" si="29"/>
        <v>-1.3162739322533201E-2</v>
      </c>
      <c r="J1127" s="83">
        <v>143.98263702789475</v>
      </c>
      <c r="K1127" s="83">
        <v>147.67369659620411</v>
      </c>
      <c r="L1127" s="83">
        <v>143.24104520512103</v>
      </c>
      <c r="M1127" s="83">
        <v>147.20200045691973</v>
      </c>
      <c r="N1127" s="83">
        <v>27562609.797326799</v>
      </c>
      <c r="O1127" s="83" t="s">
        <v>1104</v>
      </c>
      <c r="P1127" s="84">
        <f t="shared" si="30"/>
        <v>-2.1870378249154054E-2</v>
      </c>
    </row>
    <row r="1128" spans="2:16" ht="15" customHeight="1">
      <c r="B1128" s="83">
        <v>410.51114863522184</v>
      </c>
      <c r="C1128" s="83">
        <v>410.7293290261776</v>
      </c>
      <c r="D1128" s="83">
        <v>401.89776624444704</v>
      </c>
      <c r="E1128" s="83">
        <v>404.21237560936891</v>
      </c>
      <c r="F1128" s="83">
        <v>7243493.2538026348</v>
      </c>
      <c r="G1128" s="83" t="s">
        <v>1103</v>
      </c>
      <c r="H1128" s="84">
        <f t="shared" si="29"/>
        <v>1.5582830724460761E-2</v>
      </c>
      <c r="J1128" s="83">
        <v>146.49768704346778</v>
      </c>
      <c r="K1128" s="83">
        <v>146.64555806711064</v>
      </c>
      <c r="L1128" s="83">
        <v>141.86224110567449</v>
      </c>
      <c r="M1128" s="83">
        <v>143.51292907044089</v>
      </c>
      <c r="N1128" s="83">
        <v>27443123.74411146</v>
      </c>
      <c r="O1128" s="83" t="s">
        <v>1103</v>
      </c>
      <c r="P1128" s="84">
        <f t="shared" si="30"/>
        <v>2.0797833284845524E-2</v>
      </c>
    </row>
    <row r="1129" spans="2:16" ht="15" customHeight="1">
      <c r="B1129" s="83">
        <v>404.19340340145965</v>
      </c>
      <c r="C1129" s="83">
        <v>406.23291575169821</v>
      </c>
      <c r="D1129" s="83">
        <v>401.45191935858088</v>
      </c>
      <c r="E1129" s="83">
        <v>403.91830638677635</v>
      </c>
      <c r="F1129" s="83">
        <v>6876296.1393000381</v>
      </c>
      <c r="G1129" s="83" t="s">
        <v>1102</v>
      </c>
      <c r="H1129" s="84">
        <f t="shared" si="29"/>
        <v>6.8107092531688451E-4</v>
      </c>
      <c r="J1129" s="83">
        <v>144.11385702870726</v>
      </c>
      <c r="K1129" s="83">
        <v>144.58257089524588</v>
      </c>
      <c r="L1129" s="83">
        <v>141.40197701191548</v>
      </c>
      <c r="M1129" s="83">
        <v>143.91454180020037</v>
      </c>
      <c r="N1129" s="83">
        <v>24926090.380638696</v>
      </c>
      <c r="O1129" s="83" t="s">
        <v>1102</v>
      </c>
      <c r="P1129" s="84">
        <f t="shared" si="30"/>
        <v>1.3849554465705793E-3</v>
      </c>
    </row>
    <row r="1130" spans="2:16" ht="15" customHeight="1">
      <c r="B1130" s="83">
        <v>406.96334575620227</v>
      </c>
      <c r="C1130" s="83">
        <v>410.4257736996305</v>
      </c>
      <c r="D1130" s="83">
        <v>406.71670705338272</v>
      </c>
      <c r="E1130" s="83">
        <v>410.14119058099254</v>
      </c>
      <c r="F1130" s="83">
        <v>6244795.5750355637</v>
      </c>
      <c r="G1130" s="83" t="s">
        <v>1101</v>
      </c>
      <c r="H1130" s="84">
        <f t="shared" si="29"/>
        <v>-7.7481728189471299E-3</v>
      </c>
      <c r="J1130" s="83">
        <v>145.83761067574426</v>
      </c>
      <c r="K1130" s="83">
        <v>147.6846315962718</v>
      </c>
      <c r="L1130" s="83">
        <v>145.4951463554419</v>
      </c>
      <c r="M1130" s="83">
        <v>147.56683182281512</v>
      </c>
      <c r="N1130" s="83">
        <v>24247198.752469234</v>
      </c>
      <c r="O1130" s="83" t="s">
        <v>1101</v>
      </c>
      <c r="P1130" s="84">
        <f t="shared" si="30"/>
        <v>-1.1718223707256614E-2</v>
      </c>
    </row>
    <row r="1131" spans="2:16" ht="15" customHeight="1">
      <c r="B1131" s="83">
        <v>410.60600967476785</v>
      </c>
      <c r="C1131" s="83">
        <v>410.71035681826839</v>
      </c>
      <c r="D1131" s="83">
        <v>406.90642913247467</v>
      </c>
      <c r="E1131" s="83">
        <v>409.26846901716954</v>
      </c>
      <c r="F1131" s="83">
        <v>6576251.9890753878</v>
      </c>
      <c r="G1131" s="83" t="s">
        <v>1100</v>
      </c>
      <c r="H1131" s="84">
        <f t="shared" si="29"/>
        <v>3.2681253476729566E-3</v>
      </c>
      <c r="J1131" s="83">
        <v>147.796466824237</v>
      </c>
      <c r="K1131" s="83">
        <v>148.51718273779053</v>
      </c>
      <c r="L1131" s="83">
        <v>146.48675204340006</v>
      </c>
      <c r="M1131" s="83">
        <v>148.21895546321667</v>
      </c>
      <c r="N1131" s="83">
        <v>21767083.541488498</v>
      </c>
      <c r="O1131" s="83" t="s">
        <v>1100</v>
      </c>
      <c r="P1131" s="84">
        <f t="shared" si="30"/>
        <v>-2.8504359490275633E-3</v>
      </c>
    </row>
    <row r="1132" spans="2:16" ht="15" customHeight="1">
      <c r="B1132" s="83">
        <v>406.72619315733732</v>
      </c>
      <c r="C1132" s="83">
        <v>409.15463576971433</v>
      </c>
      <c r="D1132" s="83">
        <v>406.58390159801837</v>
      </c>
      <c r="E1132" s="83">
        <v>408.33883082961893</v>
      </c>
      <c r="F1132" s="83">
        <v>5308214.019264847</v>
      </c>
      <c r="G1132" s="83" t="s">
        <v>1099</v>
      </c>
      <c r="H1132" s="84">
        <f t="shared" si="29"/>
        <v>-3.9492635784973418E-3</v>
      </c>
      <c r="J1132" s="83">
        <v>147.23082909346189</v>
      </c>
      <c r="K1132" s="83">
        <v>148.72097137541601</v>
      </c>
      <c r="L1132" s="83">
        <v>146.65723863536479</v>
      </c>
      <c r="M1132" s="83">
        <v>147.30041545752911</v>
      </c>
      <c r="N1132" s="83">
        <v>18691046.98074545</v>
      </c>
      <c r="O1132" s="83" t="s">
        <v>1099</v>
      </c>
      <c r="P1132" s="84">
        <f t="shared" si="30"/>
        <v>-4.7241118669683058E-4</v>
      </c>
    </row>
    <row r="1133" spans="2:16" ht="15" customHeight="1">
      <c r="B1133" s="83">
        <v>409.51510771998909</v>
      </c>
      <c r="C1133" s="83">
        <v>409.93249629399139</v>
      </c>
      <c r="D1133" s="83">
        <v>407.18152614715802</v>
      </c>
      <c r="E1133" s="83">
        <v>408.80364992339423</v>
      </c>
      <c r="F1133" s="83">
        <v>4719052.2277907906</v>
      </c>
      <c r="G1133" s="83" t="s">
        <v>1098</v>
      </c>
      <c r="H1133" s="84">
        <f t="shared" si="29"/>
        <v>1.7403411068570573E-3</v>
      </c>
      <c r="J1133" s="83">
        <v>147.84169796088071</v>
      </c>
      <c r="K1133" s="83">
        <v>148.27512159992807</v>
      </c>
      <c r="L1133" s="83">
        <v>146.33018272424877</v>
      </c>
      <c r="M1133" s="83">
        <v>147.45499659484992</v>
      </c>
      <c r="N1133" s="83">
        <v>19076665.634050455</v>
      </c>
      <c r="O1133" s="83" t="s">
        <v>1098</v>
      </c>
      <c r="P1133" s="84">
        <f t="shared" si="30"/>
        <v>2.6225043230871936E-3</v>
      </c>
    </row>
    <row r="1134" spans="2:16" ht="15" customHeight="1">
      <c r="B1134" s="83">
        <v>408.36728914148273</v>
      </c>
      <c r="C1134" s="83">
        <v>408.94594148271324</v>
      </c>
      <c r="D1134" s="83">
        <v>404.99972223760051</v>
      </c>
      <c r="E1134" s="83">
        <v>405.03766665341891</v>
      </c>
      <c r="F1134" s="83">
        <v>4988264.9638331989</v>
      </c>
      <c r="G1134" s="83" t="s">
        <v>1097</v>
      </c>
      <c r="H1134" s="84">
        <f t="shared" si="29"/>
        <v>8.2205255515479525E-3</v>
      </c>
      <c r="J1134" s="83">
        <v>147.16173977485226</v>
      </c>
      <c r="K1134" s="83">
        <v>147.42368273101965</v>
      </c>
      <c r="L1134" s="83">
        <v>144.84153157866751</v>
      </c>
      <c r="M1134" s="83">
        <v>145.08756908019095</v>
      </c>
      <c r="N1134" s="83">
        <v>23396532.09106984</v>
      </c>
      <c r="O1134" s="83" t="s">
        <v>1097</v>
      </c>
      <c r="P1134" s="84">
        <f t="shared" si="30"/>
        <v>1.4295991778006112E-2</v>
      </c>
    </row>
    <row r="1135" spans="2:16" ht="15" customHeight="1">
      <c r="B1135" s="83">
        <v>400.14283701284643</v>
      </c>
      <c r="C1135" s="83">
        <v>401.88828014049244</v>
      </c>
      <c r="D1135" s="83">
        <v>395.57053490673024</v>
      </c>
      <c r="E1135" s="83">
        <v>397.85668595978836</v>
      </c>
      <c r="F1135" s="83">
        <v>7684390.8045798233</v>
      </c>
      <c r="G1135" s="83" t="s">
        <v>1096</v>
      </c>
      <c r="H1135" s="84">
        <f t="shared" si="29"/>
        <v>5.7461672349252702E-3</v>
      </c>
      <c r="J1135" s="83">
        <v>142.94679429420813</v>
      </c>
      <c r="K1135" s="83">
        <v>143.49851475216983</v>
      </c>
      <c r="L1135" s="83">
        <v>139.81590495664008</v>
      </c>
      <c r="M1135" s="83">
        <v>142.72560906556586</v>
      </c>
      <c r="N1135" s="83">
        <v>22329647.781260736</v>
      </c>
      <c r="O1135" s="83" t="s">
        <v>1096</v>
      </c>
      <c r="P1135" s="84">
        <f t="shared" si="30"/>
        <v>1.5497234875394561E-3</v>
      </c>
    </row>
    <row r="1136" spans="2:16" ht="15" customHeight="1">
      <c r="B1136" s="83">
        <v>395.41875724345664</v>
      </c>
      <c r="C1136" s="83">
        <v>401.44243325462634</v>
      </c>
      <c r="D1136" s="83">
        <v>391.55791293393531</v>
      </c>
      <c r="E1136" s="83">
        <v>400.42742013148433</v>
      </c>
      <c r="F1136" s="83">
        <v>10783068.632767944</v>
      </c>
      <c r="G1136" s="83" t="s">
        <v>1095</v>
      </c>
      <c r="H1136" s="84">
        <f t="shared" ref="H1136:H1199" si="31">B1136/E1136-1</f>
        <v>-1.2508291481095446E-2</v>
      </c>
      <c r="J1136" s="83">
        <v>141.67833428635393</v>
      </c>
      <c r="K1136" s="83">
        <v>144.35491910519988</v>
      </c>
      <c r="L1136" s="83">
        <v>140.31593268700894</v>
      </c>
      <c r="M1136" s="83">
        <v>143.64166384396526</v>
      </c>
      <c r="N1136" s="83">
        <v>26846115.974602789</v>
      </c>
      <c r="O1136" s="83" t="s">
        <v>1095</v>
      </c>
      <c r="P1136" s="84">
        <f t="shared" ref="P1136:P1199" si="32">J1136/M1136-1</f>
        <v>-1.3668245723915118E-2</v>
      </c>
    </row>
    <row r="1137" spans="2:16" ht="15" customHeight="1">
      <c r="B1137" s="83">
        <v>398.94758791456707</v>
      </c>
      <c r="C1137" s="83">
        <v>400.37050350775678</v>
      </c>
      <c r="D1137" s="83">
        <v>392.75316203221468</v>
      </c>
      <c r="E1137" s="83">
        <v>393.12312008644403</v>
      </c>
      <c r="F1137" s="83">
        <v>10982034.405126488</v>
      </c>
      <c r="G1137" s="83" t="s">
        <v>1094</v>
      </c>
      <c r="H1137" s="84">
        <f t="shared" si="31"/>
        <v>1.4815887264127969E-2</v>
      </c>
      <c r="J1137" s="83">
        <v>142.92691247590324</v>
      </c>
      <c r="K1137" s="83">
        <v>143.82010316325199</v>
      </c>
      <c r="L1137" s="83">
        <v>140.14892541324755</v>
      </c>
      <c r="M1137" s="83">
        <v>140.98594996388491</v>
      </c>
      <c r="N1137" s="83">
        <v>21377018.614777096</v>
      </c>
      <c r="O1137" s="83" t="s">
        <v>1094</v>
      </c>
      <c r="P1137" s="84">
        <f t="shared" si="32"/>
        <v>1.3767063402527091E-2</v>
      </c>
    </row>
    <row r="1138" spans="2:16" ht="15" customHeight="1">
      <c r="B1138" s="83">
        <v>392.95237021526123</v>
      </c>
      <c r="C1138" s="83">
        <v>405.26647148080383</v>
      </c>
      <c r="D1138" s="83">
        <v>392.69624540848713</v>
      </c>
      <c r="E1138" s="83">
        <v>402.65665456081484</v>
      </c>
      <c r="F1138" s="83">
        <v>8823950.3172879331</v>
      </c>
      <c r="G1138" s="83" t="s">
        <v>1093</v>
      </c>
      <c r="H1138" s="84">
        <f t="shared" si="31"/>
        <v>-2.4100643154993384E-2</v>
      </c>
      <c r="J1138" s="83">
        <v>140.78116723534418</v>
      </c>
      <c r="K1138" s="83">
        <v>145.63344925402555</v>
      </c>
      <c r="L1138" s="83">
        <v>140.66386450734512</v>
      </c>
      <c r="M1138" s="83">
        <v>143.3603361149506</v>
      </c>
      <c r="N1138" s="83">
        <v>28715462.099287637</v>
      </c>
      <c r="O1138" s="83" t="s">
        <v>1093</v>
      </c>
      <c r="P1138" s="84">
        <f t="shared" si="32"/>
        <v>-1.7990812169541459E-2</v>
      </c>
    </row>
    <row r="1139" spans="2:16" ht="15" customHeight="1">
      <c r="B1139" s="83">
        <v>397.52467232137741</v>
      </c>
      <c r="C1139" s="83">
        <v>404.70565301500795</v>
      </c>
      <c r="D1139" s="83">
        <v>397.11676985132971</v>
      </c>
      <c r="E1139" s="83">
        <v>402.9696959913166</v>
      </c>
      <c r="F1139" s="83">
        <v>9126658.3641050048</v>
      </c>
      <c r="G1139" s="83" t="s">
        <v>1092</v>
      </c>
      <c r="H1139" s="84">
        <f t="shared" si="31"/>
        <v>-1.3512241054614016E-2</v>
      </c>
      <c r="J1139" s="83">
        <v>141.61023905865954</v>
      </c>
      <c r="K1139" s="83">
        <v>145.76205976618556</v>
      </c>
      <c r="L1139" s="83">
        <v>141.22651996537451</v>
      </c>
      <c r="M1139" s="83">
        <v>144.59077214529665</v>
      </c>
      <c r="N1139" s="83">
        <v>41837742.767921016</v>
      </c>
      <c r="O1139" s="83" t="s">
        <v>1092</v>
      </c>
      <c r="P1139" s="84">
        <f t="shared" si="32"/>
        <v>-2.06135774947106E-2</v>
      </c>
    </row>
    <row r="1140" spans="2:16" ht="15" customHeight="1">
      <c r="B1140" s="83">
        <v>405.28430535623846</v>
      </c>
      <c r="C1140" s="83">
        <v>406.93488744433847</v>
      </c>
      <c r="D1140" s="83">
        <v>402.73254339245165</v>
      </c>
      <c r="E1140" s="83">
        <v>404.78154184664476</v>
      </c>
      <c r="F1140" s="83">
        <v>6642095.6697887182</v>
      </c>
      <c r="G1140" s="83" t="s">
        <v>1091</v>
      </c>
      <c r="H1140" s="84">
        <f t="shared" si="31"/>
        <v>1.242061353143864E-3</v>
      </c>
      <c r="J1140" s="83">
        <v>145.25059999029136</v>
      </c>
      <c r="K1140" s="83">
        <v>145.99417999489555</v>
      </c>
      <c r="L1140" s="83">
        <v>143.44582793366175</v>
      </c>
      <c r="M1140" s="83">
        <v>143.44582793366175</v>
      </c>
      <c r="N1140" s="83">
        <v>26432310.764545016</v>
      </c>
      <c r="O1140" s="83" t="s">
        <v>1091</v>
      </c>
      <c r="P1140" s="84">
        <f t="shared" si="32"/>
        <v>1.2581558366857815E-2</v>
      </c>
    </row>
    <row r="1141" spans="2:16" ht="15" customHeight="1">
      <c r="B1141" s="83">
        <v>400.44639233939353</v>
      </c>
      <c r="C1141" s="83">
        <v>404.60130587150741</v>
      </c>
      <c r="D1141" s="83">
        <v>399.27011544902336</v>
      </c>
      <c r="E1141" s="83">
        <v>403.3396540455459</v>
      </c>
      <c r="F1141" s="83">
        <v>8119748.6732861102</v>
      </c>
      <c r="G1141" s="83" t="s">
        <v>1090</v>
      </c>
      <c r="H1141" s="84">
        <f t="shared" si="31"/>
        <v>-7.173263717397016E-3</v>
      </c>
      <c r="J1141" s="83">
        <v>141.96214724265673</v>
      </c>
      <c r="K1141" s="83">
        <v>144.43844759435345</v>
      </c>
      <c r="L1141" s="83">
        <v>141.64354110432032</v>
      </c>
      <c r="M1141" s="83">
        <v>144.15859111989334</v>
      </c>
      <c r="N1141" s="83">
        <v>17093124.722692721</v>
      </c>
      <c r="O1141" s="83" t="s">
        <v>1090</v>
      </c>
      <c r="P1141" s="84">
        <f t="shared" si="32"/>
        <v>-1.5236302326303131E-2</v>
      </c>
    </row>
    <row r="1142" spans="2:16" ht="15" customHeight="1">
      <c r="B1142" s="83">
        <v>409.35384395276088</v>
      </c>
      <c r="C1142" s="83">
        <v>409.56253823976209</v>
      </c>
      <c r="D1142" s="83">
        <v>405.73015224210451</v>
      </c>
      <c r="E1142" s="83">
        <v>406.53647107824537</v>
      </c>
      <c r="F1142" s="83">
        <v>4817138.8610865399</v>
      </c>
      <c r="G1142" s="83" t="s">
        <v>1089</v>
      </c>
      <c r="H1142" s="84">
        <f t="shared" si="31"/>
        <v>6.930184804927908E-3</v>
      </c>
      <c r="J1142" s="83">
        <v>145.85053385764246</v>
      </c>
      <c r="K1142" s="83">
        <v>146.13136454119953</v>
      </c>
      <c r="L1142" s="83">
        <v>144.34100680284101</v>
      </c>
      <c r="M1142" s="83">
        <v>145.48520544628946</v>
      </c>
      <c r="N1142" s="83">
        <v>16561925.823375558</v>
      </c>
      <c r="O1142" s="83" t="s">
        <v>1089</v>
      </c>
      <c r="P1142" s="84">
        <f t="shared" si="32"/>
        <v>2.5111035189613329E-3</v>
      </c>
    </row>
    <row r="1143" spans="2:16" ht="15" customHeight="1">
      <c r="B1143" s="83">
        <v>408.34831693357359</v>
      </c>
      <c r="C1143" s="83">
        <v>409.12617745785059</v>
      </c>
      <c r="D1143" s="83">
        <v>405.09458327714651</v>
      </c>
      <c r="E1143" s="83">
        <v>407.49456757765972</v>
      </c>
      <c r="F1143" s="83">
        <v>7169762.2464947291</v>
      </c>
      <c r="G1143" s="83" t="s">
        <v>1088</v>
      </c>
      <c r="H1143" s="84">
        <f t="shared" si="31"/>
        <v>2.0951183741881874E-3</v>
      </c>
      <c r="J1143" s="83">
        <v>145.88980044879469</v>
      </c>
      <c r="K1143" s="83">
        <v>146.82126363638042</v>
      </c>
      <c r="L1143" s="83">
        <v>144.03333566457229</v>
      </c>
      <c r="M1143" s="83">
        <v>146.24369681462235</v>
      </c>
      <c r="N1143" s="83">
        <v>18240927.184721407</v>
      </c>
      <c r="O1143" s="83" t="s">
        <v>1088</v>
      </c>
      <c r="P1143" s="84">
        <f t="shared" si="32"/>
        <v>-2.4199085057065028E-3</v>
      </c>
    </row>
    <row r="1144" spans="2:16" ht="15" customHeight="1">
      <c r="B1144" s="83">
        <v>407.81709511211608</v>
      </c>
      <c r="C1144" s="83">
        <v>413.03445228714492</v>
      </c>
      <c r="D1144" s="83">
        <v>407.63685913697873</v>
      </c>
      <c r="E1144" s="83">
        <v>410.68189850640465</v>
      </c>
      <c r="F1144" s="83">
        <v>5140074.3902207315</v>
      </c>
      <c r="G1144" s="83" t="s">
        <v>1087</v>
      </c>
      <c r="H1144" s="84">
        <f t="shared" si="31"/>
        <v>-6.9757235580810706E-3</v>
      </c>
      <c r="J1144" s="83">
        <v>146.20940067804636</v>
      </c>
      <c r="K1144" s="83">
        <v>149.85373797333912</v>
      </c>
      <c r="L1144" s="83">
        <v>146.13683204123339</v>
      </c>
      <c r="M1144" s="83">
        <v>149.25455961508359</v>
      </c>
      <c r="N1144" s="83">
        <v>24774092.210569341</v>
      </c>
      <c r="O1144" s="83" t="s">
        <v>1087</v>
      </c>
      <c r="P1144" s="84">
        <f t="shared" si="32"/>
        <v>-2.040245165635457E-2</v>
      </c>
    </row>
    <row r="1145" spans="2:16" ht="15" customHeight="1">
      <c r="B1145" s="83">
        <v>408.89851096294024</v>
      </c>
      <c r="C1145" s="83">
        <v>410.7388151301322</v>
      </c>
      <c r="D1145" s="83">
        <v>408.26275227590304</v>
      </c>
      <c r="E1145" s="83">
        <v>409.67637148721724</v>
      </c>
      <c r="F1145" s="83">
        <v>5151245.4674624726</v>
      </c>
      <c r="G1145" s="83" t="s">
        <v>1086</v>
      </c>
      <c r="H1145" s="84">
        <f t="shared" si="31"/>
        <v>-1.8987195220783182E-3</v>
      </c>
      <c r="J1145" s="83">
        <v>149.06641796846409</v>
      </c>
      <c r="K1145" s="83">
        <v>150.95270548014386</v>
      </c>
      <c r="L1145" s="83">
        <v>149.00180205897308</v>
      </c>
      <c r="M1145" s="83">
        <v>150.10772820218455</v>
      </c>
      <c r="N1145" s="83">
        <v>19900554.060590509</v>
      </c>
      <c r="O1145" s="83" t="s">
        <v>1086</v>
      </c>
      <c r="P1145" s="84">
        <f t="shared" si="32"/>
        <v>-6.9370860927152611E-3</v>
      </c>
    </row>
    <row r="1146" spans="2:16" ht="15" customHeight="1">
      <c r="B1146" s="83">
        <v>409.66688538326264</v>
      </c>
      <c r="C1146" s="83">
        <v>409.96095460585519</v>
      </c>
      <c r="D1146" s="83">
        <v>406.76413757315572</v>
      </c>
      <c r="E1146" s="83">
        <v>409.26846901716954</v>
      </c>
      <c r="F1146" s="83">
        <v>4993433.5768101038</v>
      </c>
      <c r="G1146" s="83" t="s">
        <v>1085</v>
      </c>
      <c r="H1146" s="84">
        <f t="shared" si="31"/>
        <v>9.7348414611531098E-4</v>
      </c>
      <c r="J1146" s="83">
        <v>149.81844774584789</v>
      </c>
      <c r="K1146" s="83">
        <v>150.71412366048474</v>
      </c>
      <c r="L1146" s="83">
        <v>148.11805523531916</v>
      </c>
      <c r="M1146" s="83">
        <v>148.264683645318</v>
      </c>
      <c r="N1146" s="83">
        <v>26841005.778018061</v>
      </c>
      <c r="O1146" s="83" t="s">
        <v>1085</v>
      </c>
      <c r="P1146" s="84">
        <f t="shared" si="32"/>
        <v>1.0479664221635154E-2</v>
      </c>
    </row>
    <row r="1147" spans="2:16" ht="15" customHeight="1">
      <c r="B1147" s="83">
        <v>408.25345589402758</v>
      </c>
      <c r="C1147" s="83">
        <v>409.22103849739653</v>
      </c>
      <c r="D1147" s="83">
        <v>407.75069238443388</v>
      </c>
      <c r="E1147" s="83">
        <v>409.07874693807759</v>
      </c>
      <c r="F1147" s="83">
        <v>3968811.6617941982</v>
      </c>
      <c r="G1147" s="83" t="s">
        <v>1084</v>
      </c>
      <c r="H1147" s="84">
        <f t="shared" si="31"/>
        <v>-2.0174380855207952E-3</v>
      </c>
      <c r="J1147" s="83">
        <v>148.18118000843728</v>
      </c>
      <c r="K1147" s="83">
        <v>148.74184728463618</v>
      </c>
      <c r="L1147" s="83">
        <v>147.68512864172945</v>
      </c>
      <c r="M1147" s="83">
        <v>148.34719319128342</v>
      </c>
      <c r="N1147" s="83">
        <v>15381711.838913821</v>
      </c>
      <c r="O1147" s="83" t="s">
        <v>1084</v>
      </c>
      <c r="P1147" s="84">
        <f t="shared" si="32"/>
        <v>-1.1190854324563126E-3</v>
      </c>
    </row>
    <row r="1148" spans="2:16" ht="15" customHeight="1">
      <c r="B1148" s="83">
        <v>409.24001070530579</v>
      </c>
      <c r="C1148" s="83">
        <v>410.35937097194824</v>
      </c>
      <c r="D1148" s="83">
        <v>407.40169861994423</v>
      </c>
      <c r="E1148" s="83">
        <v>407.44713705788672</v>
      </c>
      <c r="F1148" s="83">
        <v>3443982.9203184191</v>
      </c>
      <c r="G1148" s="83" t="s">
        <v>1083</v>
      </c>
      <c r="H1148" s="84">
        <f t="shared" si="31"/>
        <v>4.4002607561930418E-3</v>
      </c>
      <c r="J1148" s="83">
        <v>148.19509728125075</v>
      </c>
      <c r="K1148" s="83">
        <v>148.94712705863455</v>
      </c>
      <c r="L1148" s="83">
        <v>147.47338727678198</v>
      </c>
      <c r="M1148" s="83">
        <v>148.28903887274151</v>
      </c>
      <c r="N1148" s="83">
        <v>17357426.504320927</v>
      </c>
      <c r="O1148" s="83" t="s">
        <v>1083</v>
      </c>
      <c r="P1148" s="84">
        <f t="shared" si="32"/>
        <v>-6.3350327310018884E-4</v>
      </c>
    </row>
    <row r="1149" spans="2:16" ht="15" customHeight="1">
      <c r="B1149" s="83">
        <v>407.68428965675167</v>
      </c>
      <c r="C1149" s="83">
        <v>408.85582349514453</v>
      </c>
      <c r="D1149" s="83">
        <v>406.62184601383672</v>
      </c>
      <c r="E1149" s="83">
        <v>408.80364992339423</v>
      </c>
      <c r="F1149" s="83">
        <v>3291431.3557428918</v>
      </c>
      <c r="G1149" s="83" t="s">
        <v>1082</v>
      </c>
      <c r="H1149" s="84">
        <f t="shared" si="31"/>
        <v>-2.7381366747882829E-3</v>
      </c>
      <c r="J1149" s="83">
        <v>148.5052536468076</v>
      </c>
      <c r="K1149" s="83">
        <v>149.58781865351077</v>
      </c>
      <c r="L1149" s="83">
        <v>147.77409977864397</v>
      </c>
      <c r="M1149" s="83">
        <v>149.11363728693829</v>
      </c>
      <c r="N1149" s="83">
        <v>16343917.594272777</v>
      </c>
      <c r="O1149" s="83" t="s">
        <v>1082</v>
      </c>
      <c r="P1149" s="84">
        <f t="shared" si="32"/>
        <v>-4.0799999999998615E-3</v>
      </c>
    </row>
    <row r="1150" spans="2:16" ht="15" customHeight="1">
      <c r="B1150" s="83">
        <v>407.49456757765972</v>
      </c>
      <c r="C1150" s="83">
        <v>408.06373381493563</v>
      </c>
      <c r="D1150" s="83">
        <v>404.80051405455396</v>
      </c>
      <c r="E1150" s="83">
        <v>405.68272172233156</v>
      </c>
      <c r="F1150" s="83">
        <v>3853526.1868263707</v>
      </c>
      <c r="G1150" s="83" t="s">
        <v>1081</v>
      </c>
      <c r="H1150" s="84">
        <f t="shared" si="31"/>
        <v>4.4661647102837154E-3</v>
      </c>
      <c r="J1150" s="83">
        <v>148.76123205748348</v>
      </c>
      <c r="K1150" s="83">
        <v>148.9739675133462</v>
      </c>
      <c r="L1150" s="83">
        <v>145.58859090147507</v>
      </c>
      <c r="M1150" s="83">
        <v>146.95795113722679</v>
      </c>
      <c r="N1150" s="83">
        <v>17148994.86409346</v>
      </c>
      <c r="O1150" s="83" t="s">
        <v>1081</v>
      </c>
      <c r="P1150" s="84">
        <f t="shared" si="32"/>
        <v>1.2270727145432314E-2</v>
      </c>
    </row>
    <row r="1151" spans="2:16" ht="15" customHeight="1">
      <c r="B1151" s="83">
        <v>404.4874726240522</v>
      </c>
      <c r="C1151" s="83">
        <v>405.83449938560511</v>
      </c>
      <c r="D1151" s="83">
        <v>404.4779865200976</v>
      </c>
      <c r="E1151" s="83">
        <v>405.72066613814991</v>
      </c>
      <c r="F1151" s="83">
        <v>3831531.9096185109</v>
      </c>
      <c r="G1151" s="83" t="s">
        <v>1080</v>
      </c>
      <c r="H1151" s="84">
        <f t="shared" si="31"/>
        <v>-3.0395136778115228E-3</v>
      </c>
      <c r="J1151" s="83">
        <v>145.88085363055748</v>
      </c>
      <c r="K1151" s="83">
        <v>147.62473761862822</v>
      </c>
      <c r="L1151" s="83">
        <v>145.82766976659178</v>
      </c>
      <c r="M1151" s="83">
        <v>146.23773226913087</v>
      </c>
      <c r="N1151" s="83">
        <v>12537183.278566279</v>
      </c>
      <c r="O1151" s="83" t="s">
        <v>1080</v>
      </c>
      <c r="P1151" s="84">
        <f t="shared" si="32"/>
        <v>-2.4404005247880001E-3</v>
      </c>
    </row>
    <row r="1152" spans="2:16" ht="15" customHeight="1">
      <c r="B1152" s="83">
        <v>404.35466716868785</v>
      </c>
      <c r="C1152" s="83">
        <v>407.64634524093333</v>
      </c>
      <c r="D1152" s="83">
        <v>402.97918209527114</v>
      </c>
      <c r="E1152" s="83">
        <v>406.09062419237921</v>
      </c>
      <c r="F1152" s="83">
        <v>6694695.7680364456</v>
      </c>
      <c r="G1152" s="83" t="s">
        <v>1079</v>
      </c>
      <c r="H1152" s="84">
        <f t="shared" si="31"/>
        <v>-4.27480202761088E-3</v>
      </c>
      <c r="J1152" s="83">
        <v>145.75957453889743</v>
      </c>
      <c r="K1152" s="83">
        <v>147.82131412666357</v>
      </c>
      <c r="L1152" s="83">
        <v>144.46626225816206</v>
      </c>
      <c r="M1152" s="83">
        <v>147.13514784286943</v>
      </c>
      <c r="N1152" s="83">
        <v>22843303.013562612</v>
      </c>
      <c r="O1152" s="83" t="s">
        <v>1079</v>
      </c>
      <c r="P1152" s="84">
        <f t="shared" si="32"/>
        <v>-9.3490462621550474E-3</v>
      </c>
    </row>
    <row r="1153" spans="2:16" ht="15" customHeight="1">
      <c r="B1153" s="83">
        <v>407.63685913697873</v>
      </c>
      <c r="C1153" s="83">
        <v>409.56253823976209</v>
      </c>
      <c r="D1153" s="83">
        <v>406.32777679124416</v>
      </c>
      <c r="E1153" s="83">
        <v>409.38230226462474</v>
      </c>
      <c r="F1153" s="83">
        <v>4950424.3496339405</v>
      </c>
      <c r="G1153" s="83" t="s">
        <v>1078</v>
      </c>
      <c r="H1153" s="84">
        <f t="shared" si="31"/>
        <v>-4.2636018166651857E-3</v>
      </c>
      <c r="J1153" s="83">
        <v>148.36657796413073</v>
      </c>
      <c r="K1153" s="83">
        <v>149.48990069835901</v>
      </c>
      <c r="L1153" s="83">
        <v>146.63536863522938</v>
      </c>
      <c r="M1153" s="83">
        <v>148.86113819446575</v>
      </c>
      <c r="N1153" s="83">
        <v>16975871.865622673</v>
      </c>
      <c r="O1153" s="83" t="s">
        <v>1078</v>
      </c>
      <c r="P1153" s="84">
        <f t="shared" si="32"/>
        <v>-3.3222924151564692E-3</v>
      </c>
    </row>
    <row r="1154" spans="2:16" ht="15" customHeight="1">
      <c r="B1154" s="83">
        <v>409.06926083412299</v>
      </c>
      <c r="C1154" s="83">
        <v>410.12221837308334</v>
      </c>
      <c r="D1154" s="83">
        <v>408.37677524543733</v>
      </c>
      <c r="E1154" s="83">
        <v>409.68585759117184</v>
      </c>
      <c r="F1154" s="83">
        <v>3701846.4237870253</v>
      </c>
      <c r="G1154" s="83" t="s">
        <v>1077</v>
      </c>
      <c r="H1154" s="84">
        <f t="shared" si="31"/>
        <v>-1.5050476984347361E-3</v>
      </c>
      <c r="J1154" s="83">
        <v>148.4689693284011</v>
      </c>
      <c r="K1154" s="83">
        <v>150.14201936830597</v>
      </c>
      <c r="L1154" s="83">
        <v>148.2388372815216</v>
      </c>
      <c r="M1154" s="83">
        <v>149.11363728693829</v>
      </c>
      <c r="N1154" s="83">
        <v>18497442.95816737</v>
      </c>
      <c r="O1154" s="83" t="s">
        <v>1077</v>
      </c>
      <c r="P1154" s="84">
        <f t="shared" si="32"/>
        <v>-4.3233333333332347E-3</v>
      </c>
    </row>
    <row r="1155" spans="2:16" ht="15" customHeight="1">
      <c r="B1155" s="83">
        <v>408.57598342848388</v>
      </c>
      <c r="C1155" s="83">
        <v>410.52063473917644</v>
      </c>
      <c r="D1155" s="83">
        <v>407.23844277088563</v>
      </c>
      <c r="E1155" s="83">
        <v>409.37281616067014</v>
      </c>
      <c r="F1155" s="83">
        <v>5210709.2897755932</v>
      </c>
      <c r="G1155" s="83" t="s">
        <v>1076</v>
      </c>
      <c r="H1155" s="84">
        <f t="shared" si="31"/>
        <v>-1.946472019464851E-3</v>
      </c>
      <c r="J1155" s="83">
        <v>148.35912228226638</v>
      </c>
      <c r="K1155" s="83">
        <v>149.68098982454219</v>
      </c>
      <c r="L1155" s="83">
        <v>147.77360273318635</v>
      </c>
      <c r="M1155" s="83">
        <v>148.47095751023159</v>
      </c>
      <c r="N1155" s="83">
        <v>20529450.261543244</v>
      </c>
      <c r="O1155" s="83" t="s">
        <v>1076</v>
      </c>
      <c r="P1155" s="84">
        <f t="shared" si="32"/>
        <v>-7.5324649238217578E-4</v>
      </c>
    </row>
    <row r="1156" spans="2:16" ht="15" customHeight="1">
      <c r="B1156" s="83">
        <v>407.19101225111262</v>
      </c>
      <c r="C1156" s="83">
        <v>407.30484549856777</v>
      </c>
      <c r="D1156" s="83">
        <v>405.56888847487642</v>
      </c>
      <c r="E1156" s="83">
        <v>405.86295769746891</v>
      </c>
      <c r="F1156" s="83">
        <v>4519541.4477004372</v>
      </c>
      <c r="G1156" s="83" t="s">
        <v>1075</v>
      </c>
      <c r="H1156" s="84">
        <f t="shared" si="31"/>
        <v>3.2721748276265394E-3</v>
      </c>
      <c r="J1156" s="83">
        <v>147.80441955155896</v>
      </c>
      <c r="K1156" s="83">
        <v>149.06393274117599</v>
      </c>
      <c r="L1156" s="83">
        <v>145.76852135713463</v>
      </c>
      <c r="M1156" s="83">
        <v>146.33018272424877</v>
      </c>
      <c r="N1156" s="83">
        <v>24847626.732290518</v>
      </c>
      <c r="O1156" s="83" t="s">
        <v>1075</v>
      </c>
      <c r="P1156" s="84">
        <f t="shared" si="32"/>
        <v>1.0074728260869525E-2</v>
      </c>
    </row>
    <row r="1157" spans="2:16" ht="15" customHeight="1">
      <c r="B1157" s="83">
        <v>405.29379146019306</v>
      </c>
      <c r="C1157" s="83">
        <v>405.68272172233156</v>
      </c>
      <c r="D1157" s="83">
        <v>401.91673845235619</v>
      </c>
      <c r="E1157" s="83">
        <v>402.34361313031309</v>
      </c>
      <c r="F1157" s="83">
        <v>3755925.5275429306</v>
      </c>
      <c r="G1157" s="83" t="s">
        <v>1074</v>
      </c>
      <c r="H1157" s="84">
        <f t="shared" si="31"/>
        <v>7.3324845569859853E-3</v>
      </c>
      <c r="J1157" s="83">
        <v>145.92260544899781</v>
      </c>
      <c r="K1157" s="83">
        <v>146.04239340428498</v>
      </c>
      <c r="L1157" s="83">
        <v>144.19637154512725</v>
      </c>
      <c r="M1157" s="83">
        <v>145.410648627646</v>
      </c>
      <c r="N1157" s="83">
        <v>17992921.699288588</v>
      </c>
      <c r="O1157" s="83" t="s">
        <v>1074</v>
      </c>
      <c r="P1157" s="84">
        <f t="shared" si="32"/>
        <v>3.5207656810800625E-3</v>
      </c>
    </row>
    <row r="1158" spans="2:16" ht="15" customHeight="1">
      <c r="B1158" s="83">
        <v>402.86534884781599</v>
      </c>
      <c r="C1158" s="83">
        <v>403.12147365459009</v>
      </c>
      <c r="D1158" s="83">
        <v>401.27168338344353</v>
      </c>
      <c r="E1158" s="83">
        <v>401.40448883880788</v>
      </c>
      <c r="F1158" s="83">
        <v>3151150.3714347859</v>
      </c>
      <c r="G1158" s="83" t="s">
        <v>1073</v>
      </c>
      <c r="H1158" s="84">
        <f t="shared" si="31"/>
        <v>3.6393713813069883E-3</v>
      </c>
      <c r="J1158" s="83">
        <v>145.00108317056456</v>
      </c>
      <c r="K1158" s="83">
        <v>146.05233431343746</v>
      </c>
      <c r="L1158" s="83">
        <v>143.78630407213362</v>
      </c>
      <c r="M1158" s="83">
        <v>143.95369407089734</v>
      </c>
      <c r="N1158" s="83">
        <v>21276303.480512742</v>
      </c>
      <c r="O1158" s="83" t="s">
        <v>1073</v>
      </c>
      <c r="P1158" s="84">
        <f t="shared" si="32"/>
        <v>7.2758751098904728E-3</v>
      </c>
    </row>
    <row r="1159" spans="2:16" ht="15" customHeight="1">
      <c r="B1159" s="83">
        <v>401.30962779926193</v>
      </c>
      <c r="C1159" s="83">
        <v>401.80290520490104</v>
      </c>
      <c r="D1159" s="83">
        <v>399.63058739929812</v>
      </c>
      <c r="E1159" s="83">
        <v>401.44243325462634</v>
      </c>
      <c r="F1159" s="83">
        <v>4150613.3802082269</v>
      </c>
      <c r="G1159" s="83" t="s">
        <v>1072</v>
      </c>
      <c r="H1159" s="84">
        <f t="shared" si="31"/>
        <v>-3.3082067156608996E-4</v>
      </c>
      <c r="J1159" s="83">
        <v>142.9244272486151</v>
      </c>
      <c r="K1159" s="83">
        <v>147.52259477708665</v>
      </c>
      <c r="L1159" s="83">
        <v>142.73107656559972</v>
      </c>
      <c r="M1159" s="83">
        <v>147.28948045746142</v>
      </c>
      <c r="N1159" s="83">
        <v>32463932.126374561</v>
      </c>
      <c r="O1159" s="83" t="s">
        <v>1072</v>
      </c>
      <c r="P1159" s="84">
        <f t="shared" si="32"/>
        <v>-2.9635878918773062E-2</v>
      </c>
    </row>
    <row r="1160" spans="2:16" ht="15" customHeight="1">
      <c r="B1160" s="83">
        <v>400.46536454730278</v>
      </c>
      <c r="C1160" s="83">
        <v>400.80212123769093</v>
      </c>
      <c r="D1160" s="83">
        <v>397.34443634624006</v>
      </c>
      <c r="E1160" s="83">
        <v>397.61004725696876</v>
      </c>
      <c r="F1160" s="83">
        <v>4888983.9518911447</v>
      </c>
      <c r="G1160" s="83" t="s">
        <v>1071</v>
      </c>
      <c r="H1160" s="84">
        <f t="shared" si="31"/>
        <v>7.18120004771583E-3</v>
      </c>
      <c r="J1160" s="83">
        <v>147.39435704901987</v>
      </c>
      <c r="K1160" s="83">
        <v>147.73483318749174</v>
      </c>
      <c r="L1160" s="83">
        <v>144.3086988480955</v>
      </c>
      <c r="M1160" s="83">
        <v>144.66010998663506</v>
      </c>
      <c r="N1160" s="83">
        <v>29126611.616632085</v>
      </c>
      <c r="O1160" s="83" t="s">
        <v>1071</v>
      </c>
      <c r="P1160" s="84">
        <f t="shared" si="32"/>
        <v>1.8901181968114189E-2</v>
      </c>
    </row>
    <row r="1161" spans="2:16" ht="15" customHeight="1">
      <c r="B1161" s="83">
        <v>399.75390675070793</v>
      </c>
      <c r="C1161" s="83">
        <v>399.78236506257167</v>
      </c>
      <c r="D1161" s="83">
        <v>397.23060309878485</v>
      </c>
      <c r="E1161" s="83">
        <v>397.25906141064866</v>
      </c>
      <c r="F1161" s="83">
        <v>3840945.6795315761</v>
      </c>
      <c r="G1161" s="83" t="s">
        <v>1070</v>
      </c>
      <c r="H1161" s="84">
        <f t="shared" si="31"/>
        <v>6.2801470939395365E-3</v>
      </c>
      <c r="J1161" s="83">
        <v>145.26551135402005</v>
      </c>
      <c r="K1161" s="83">
        <v>146.55335613472155</v>
      </c>
      <c r="L1161" s="83">
        <v>143.90808020925127</v>
      </c>
      <c r="M1161" s="83">
        <v>146.42859772485815</v>
      </c>
      <c r="N1161" s="83">
        <v>32610759.743206613</v>
      </c>
      <c r="O1161" s="83" t="s">
        <v>1070</v>
      </c>
      <c r="P1161" s="84">
        <f t="shared" si="32"/>
        <v>-7.9430274475724705E-3</v>
      </c>
    </row>
    <row r="1162" spans="2:16" ht="15" customHeight="1">
      <c r="B1162" s="83">
        <v>395.88357633723194</v>
      </c>
      <c r="C1162" s="83">
        <v>398.69146310779297</v>
      </c>
      <c r="D1162" s="83">
        <v>395.83614581745894</v>
      </c>
      <c r="E1162" s="83">
        <v>398.09383855865332</v>
      </c>
      <c r="F1162" s="83">
        <v>3029182.4902543137</v>
      </c>
      <c r="G1162" s="83" t="s">
        <v>1069</v>
      </c>
      <c r="H1162" s="84">
        <f t="shared" si="31"/>
        <v>-5.5521136157844486E-3</v>
      </c>
      <c r="J1162" s="83">
        <v>145.56224749222105</v>
      </c>
      <c r="K1162" s="83">
        <v>148.23684909969111</v>
      </c>
      <c r="L1162" s="83">
        <v>139.07580427023925</v>
      </c>
      <c r="M1162" s="83">
        <v>139.07580427023925</v>
      </c>
      <c r="N1162" s="83">
        <v>52159132.736018956</v>
      </c>
      <c r="O1162" s="83" t="s">
        <v>1069</v>
      </c>
      <c r="P1162" s="84">
        <f t="shared" si="32"/>
        <v>4.663962402387356E-2</v>
      </c>
    </row>
    <row r="1163" spans="2:16" ht="15" customHeight="1">
      <c r="B1163" s="83">
        <v>397.61004725696876</v>
      </c>
      <c r="C1163" s="83">
        <v>399.86717083192582</v>
      </c>
      <c r="D1163" s="83">
        <v>397.33495024228546</v>
      </c>
      <c r="E1163" s="83">
        <v>398.67249089988371</v>
      </c>
      <c r="F1163" s="83">
        <v>3252400.5795915779</v>
      </c>
      <c r="G1163" s="83" t="s">
        <v>1068</v>
      </c>
      <c r="H1163" s="84">
        <f t="shared" si="31"/>
        <v>-2.6649534822852372E-3</v>
      </c>
      <c r="J1163" s="83">
        <v>138.84666631427498</v>
      </c>
      <c r="K1163" s="83">
        <v>140.00726745782498</v>
      </c>
      <c r="L1163" s="83">
        <v>138.18410471926336</v>
      </c>
      <c r="M1163" s="83">
        <v>139.77514722911496</v>
      </c>
      <c r="N1163" s="83">
        <v>28426715.873366341</v>
      </c>
      <c r="O1163" s="83" t="s">
        <v>1068</v>
      </c>
      <c r="P1163" s="84">
        <f t="shared" si="32"/>
        <v>-6.6426752770150088E-3</v>
      </c>
    </row>
    <row r="1164" spans="2:16" ht="15" customHeight="1">
      <c r="B1164" s="83">
        <v>397.23060309878485</v>
      </c>
      <c r="C1164" s="83">
        <v>397.60056115301416</v>
      </c>
      <c r="D1164" s="83">
        <v>394.55552178358829</v>
      </c>
      <c r="E1164" s="83">
        <v>396.1776455598245</v>
      </c>
      <c r="F1164" s="83">
        <v>2647520.0061271843</v>
      </c>
      <c r="G1164" s="83" t="s">
        <v>1067</v>
      </c>
      <c r="H1164" s="84">
        <f t="shared" si="31"/>
        <v>2.6577913992913427E-3</v>
      </c>
      <c r="J1164" s="83">
        <v>137.95297858146859</v>
      </c>
      <c r="K1164" s="83">
        <v>138.38322112958716</v>
      </c>
      <c r="L1164" s="83">
        <v>135.94044152355252</v>
      </c>
      <c r="M1164" s="83">
        <v>137.99025699079033</v>
      </c>
      <c r="N1164" s="83">
        <v>21207014.043356046</v>
      </c>
      <c r="O1164" s="83" t="s">
        <v>1067</v>
      </c>
      <c r="P1164" s="84">
        <f t="shared" si="32"/>
        <v>-2.7015247405637322E-4</v>
      </c>
    </row>
    <row r="1165" spans="2:16" ht="15" customHeight="1">
      <c r="B1165" s="83">
        <v>395.18160464459169</v>
      </c>
      <c r="C1165" s="83">
        <v>396.51914530219005</v>
      </c>
      <c r="D1165" s="83">
        <v>393.38873099717273</v>
      </c>
      <c r="E1165" s="83">
        <v>395.17211854063714</v>
      </c>
      <c r="F1165" s="83">
        <v>3846526.4743714156</v>
      </c>
      <c r="G1165" s="83" t="s">
        <v>1066</v>
      </c>
      <c r="H1165" s="84">
        <f t="shared" si="31"/>
        <v>2.4004993038451161E-5</v>
      </c>
      <c r="J1165" s="83">
        <v>137.80585312601215</v>
      </c>
      <c r="K1165" s="83">
        <v>140.72201882588703</v>
      </c>
      <c r="L1165" s="83">
        <v>136.35994788978644</v>
      </c>
      <c r="M1165" s="83">
        <v>139.52165404572716</v>
      </c>
      <c r="N1165" s="83">
        <v>30362051.938200425</v>
      </c>
      <c r="O1165" s="83" t="s">
        <v>1066</v>
      </c>
      <c r="P1165" s="84">
        <f t="shared" si="32"/>
        <v>-1.2297739239477967E-2</v>
      </c>
    </row>
    <row r="1166" spans="2:16" ht="15" customHeight="1">
      <c r="B1166" s="83">
        <v>395.58002101068485</v>
      </c>
      <c r="C1166" s="83">
        <v>395.7982014016406</v>
      </c>
      <c r="D1166" s="83">
        <v>393.62104568302084</v>
      </c>
      <c r="E1166" s="83">
        <v>394.03378606608538</v>
      </c>
      <c r="F1166" s="83">
        <v>2719187.9957732898</v>
      </c>
      <c r="G1166" s="83" t="s">
        <v>1065</v>
      </c>
      <c r="H1166" s="84">
        <f t="shared" si="31"/>
        <v>3.9241176753816998E-3</v>
      </c>
      <c r="J1166" s="83">
        <v>141.93679792431797</v>
      </c>
      <c r="K1166" s="83">
        <v>142.00539019746992</v>
      </c>
      <c r="L1166" s="83">
        <v>140.80005496273384</v>
      </c>
      <c r="M1166" s="83">
        <v>141.35177542069553</v>
      </c>
      <c r="N1166" s="83">
        <v>14938191.0369047</v>
      </c>
      <c r="O1166" s="83" t="s">
        <v>1065</v>
      </c>
      <c r="P1166" s="84">
        <f t="shared" si="32"/>
        <v>4.1387701136492705E-3</v>
      </c>
    </row>
    <row r="1167" spans="2:16" ht="15" customHeight="1">
      <c r="B1167" s="83">
        <v>394.61243840731589</v>
      </c>
      <c r="C1167" s="83">
        <v>394.83061879827164</v>
      </c>
      <c r="D1167" s="83">
        <v>393.34130047739973</v>
      </c>
      <c r="E1167" s="83">
        <v>393.42667541299113</v>
      </c>
      <c r="F1167" s="83">
        <v>3381953.2395541896</v>
      </c>
      <c r="G1167" s="83" t="s">
        <v>1064</v>
      </c>
      <c r="H1167" s="84">
        <f t="shared" si="31"/>
        <v>3.0139364421084558E-3</v>
      </c>
      <c r="J1167" s="83">
        <v>141.57345769479545</v>
      </c>
      <c r="K1167" s="83">
        <v>143.39537781971302</v>
      </c>
      <c r="L1167" s="83">
        <v>141.07342996442657</v>
      </c>
      <c r="M1167" s="83">
        <v>143.37027702410305</v>
      </c>
      <c r="N1167" s="83">
        <v>18046136.147976007</v>
      </c>
      <c r="O1167" s="83" t="s">
        <v>1064</v>
      </c>
      <c r="P1167" s="84">
        <f t="shared" si="32"/>
        <v>-1.2532718542529686E-2</v>
      </c>
    </row>
    <row r="1168" spans="2:16" ht="15" customHeight="1">
      <c r="B1168" s="83">
        <v>393.08517567062563</v>
      </c>
      <c r="C1168" s="83">
        <v>393.08517567062563</v>
      </c>
      <c r="D1168" s="83">
        <v>390.96028838479566</v>
      </c>
      <c r="E1168" s="83">
        <v>391.52945462207157</v>
      </c>
      <c r="F1168" s="83">
        <v>2992020.7638293006</v>
      </c>
      <c r="G1168" s="83" t="s">
        <v>1063</v>
      </c>
      <c r="H1168" s="84">
        <f t="shared" si="31"/>
        <v>3.9734457527742517E-3</v>
      </c>
      <c r="J1168" s="83">
        <v>142.97214361254694</v>
      </c>
      <c r="K1168" s="83">
        <v>143.25545952339209</v>
      </c>
      <c r="L1168" s="83">
        <v>142.25043360807814</v>
      </c>
      <c r="M1168" s="83">
        <v>142.44477838200879</v>
      </c>
      <c r="N1168" s="83">
        <v>15406880.563037813</v>
      </c>
      <c r="O1168" s="83" t="s">
        <v>1063</v>
      </c>
      <c r="P1168" s="84">
        <f t="shared" si="32"/>
        <v>3.7022433291578061E-3</v>
      </c>
    </row>
    <row r="1169" spans="2:16" ht="15" customHeight="1">
      <c r="B1169" s="83">
        <v>390.04962240515431</v>
      </c>
      <c r="C1169" s="83">
        <v>390.31523331588301</v>
      </c>
      <c r="D1169" s="83">
        <v>386.58719446172609</v>
      </c>
      <c r="E1169" s="83">
        <v>387.22276342668414</v>
      </c>
      <c r="F1169" s="83">
        <v>3587004.7558890074</v>
      </c>
      <c r="G1169" s="83" t="s">
        <v>1062</v>
      </c>
      <c r="H1169" s="84">
        <f t="shared" si="31"/>
        <v>7.3003429691327337E-3</v>
      </c>
      <c r="J1169" s="83">
        <v>142.11573428906229</v>
      </c>
      <c r="K1169" s="83">
        <v>142.15375826657043</v>
      </c>
      <c r="L1169" s="83">
        <v>140.37905746012706</v>
      </c>
      <c r="M1169" s="83">
        <v>140.37905746012706</v>
      </c>
      <c r="N1169" s="83">
        <v>16665678.90915288</v>
      </c>
      <c r="O1169" s="83" t="s">
        <v>1062</v>
      </c>
      <c r="P1169" s="84">
        <f t="shared" si="32"/>
        <v>1.2371338434356671E-2</v>
      </c>
    </row>
    <row r="1170" spans="2:16" ht="15" customHeight="1">
      <c r="B1170" s="83">
        <v>388.86385941082955</v>
      </c>
      <c r="C1170" s="83">
        <v>389.1769008413313</v>
      </c>
      <c r="D1170" s="83">
        <v>387.29390920634359</v>
      </c>
      <c r="E1170" s="83">
        <v>387.9057629114152</v>
      </c>
      <c r="F1170" s="83">
        <v>3691314.1757241548</v>
      </c>
      <c r="G1170" s="83" t="s">
        <v>1061</v>
      </c>
      <c r="H1170" s="84">
        <f t="shared" si="31"/>
        <v>2.4699207668981149E-3</v>
      </c>
      <c r="J1170" s="83">
        <v>140.83783041751323</v>
      </c>
      <c r="K1170" s="83">
        <v>141.3597281480175</v>
      </c>
      <c r="L1170" s="83">
        <v>140.23093791375538</v>
      </c>
      <c r="M1170" s="83">
        <v>141.3597281480175</v>
      </c>
      <c r="N1170" s="83">
        <v>21379694.426374611</v>
      </c>
      <c r="O1170" s="83" t="s">
        <v>1061</v>
      </c>
      <c r="P1170" s="84">
        <f t="shared" si="32"/>
        <v>-3.6919831223627408E-3</v>
      </c>
    </row>
    <row r="1171" spans="2:16" ht="15" customHeight="1">
      <c r="B1171" s="83">
        <v>385.85676445722203</v>
      </c>
      <c r="C1171" s="83">
        <v>386.03700043235938</v>
      </c>
      <c r="D1171" s="83">
        <v>382.49868365729446</v>
      </c>
      <c r="E1171" s="83">
        <v>382.95401664711511</v>
      </c>
      <c r="F1171" s="83">
        <v>3993620.5824139151</v>
      </c>
      <c r="G1171" s="83" t="s">
        <v>1060</v>
      </c>
      <c r="H1171" s="84">
        <f t="shared" si="31"/>
        <v>7.5798860540003954E-3</v>
      </c>
      <c r="J1171" s="83">
        <v>140.57638450680344</v>
      </c>
      <c r="K1171" s="83">
        <v>140.81446928100493</v>
      </c>
      <c r="L1171" s="83">
        <v>138.51563403949797</v>
      </c>
      <c r="M1171" s="83">
        <v>139.12501177054392</v>
      </c>
      <c r="N1171" s="83">
        <v>21564989.349781461</v>
      </c>
      <c r="O1171" s="83" t="s">
        <v>1060</v>
      </c>
      <c r="P1171" s="84">
        <f t="shared" si="32"/>
        <v>1.0432148165085087E-2</v>
      </c>
    </row>
    <row r="1172" spans="2:16" ht="15" customHeight="1">
      <c r="B1172" s="83">
        <v>379.48210259973234</v>
      </c>
      <c r="C1172" s="83">
        <v>380.27893533191849</v>
      </c>
      <c r="D1172" s="83">
        <v>376.36117439866962</v>
      </c>
      <c r="E1172" s="83">
        <v>379.10265844154839</v>
      </c>
      <c r="F1172" s="83">
        <v>6844077.4327095561</v>
      </c>
      <c r="G1172" s="83" t="s">
        <v>1059</v>
      </c>
      <c r="H1172" s="84">
        <f t="shared" si="31"/>
        <v>1.0009008107296768E-3</v>
      </c>
      <c r="J1172" s="83">
        <v>137.08513721245859</v>
      </c>
      <c r="K1172" s="83">
        <v>137.73129630736867</v>
      </c>
      <c r="L1172" s="83">
        <v>136.16709425222871</v>
      </c>
      <c r="M1172" s="83">
        <v>136.93602357517167</v>
      </c>
      <c r="N1172" s="83">
        <v>16490725.092220636</v>
      </c>
      <c r="O1172" s="83" t="s">
        <v>1059</v>
      </c>
      <c r="P1172" s="84">
        <f t="shared" si="32"/>
        <v>1.0889292196005762E-3</v>
      </c>
    </row>
    <row r="1173" spans="2:16" ht="15" customHeight="1">
      <c r="B1173" s="83">
        <v>378.26788129354378</v>
      </c>
      <c r="C1173" s="83">
        <v>380.31687974773695</v>
      </c>
      <c r="D1173" s="83">
        <v>377.42361804158458</v>
      </c>
      <c r="E1173" s="83">
        <v>379.96589390141679</v>
      </c>
      <c r="F1173" s="83">
        <v>6537208.5628413241</v>
      </c>
      <c r="G1173" s="83" t="s">
        <v>1058</v>
      </c>
      <c r="H1173" s="84">
        <f t="shared" si="31"/>
        <v>-4.4688553239295992E-3</v>
      </c>
      <c r="J1173" s="83">
        <v>135.90515129606132</v>
      </c>
      <c r="K1173" s="83">
        <v>138.86953040532563</v>
      </c>
      <c r="L1173" s="83">
        <v>135.44488720230228</v>
      </c>
      <c r="M1173" s="83">
        <v>138.81237017769897</v>
      </c>
      <c r="N1173" s="83">
        <v>22668972.882040318</v>
      </c>
      <c r="O1173" s="83" t="s">
        <v>1058</v>
      </c>
      <c r="P1173" s="84">
        <f t="shared" si="32"/>
        <v>-2.0943514457076207E-2</v>
      </c>
    </row>
    <row r="1174" spans="2:16" ht="15" customHeight="1">
      <c r="B1174" s="83">
        <v>379.02676960991158</v>
      </c>
      <c r="C1174" s="83">
        <v>383.94057145839326</v>
      </c>
      <c r="D1174" s="83">
        <v>379.02676960991158</v>
      </c>
      <c r="E1174" s="83">
        <v>381.2560040392421</v>
      </c>
      <c r="F1174" s="83">
        <v>3895879.7180466633</v>
      </c>
      <c r="G1174" s="83" t="s">
        <v>1057</v>
      </c>
      <c r="H1174" s="84">
        <f t="shared" si="31"/>
        <v>-5.8470801920829096E-3</v>
      </c>
      <c r="J1174" s="83">
        <v>138.02703835465442</v>
      </c>
      <c r="K1174" s="83">
        <v>139.93184080963067</v>
      </c>
      <c r="L1174" s="83">
        <v>137.98628062712933</v>
      </c>
      <c r="M1174" s="83">
        <v>138.97390995142649</v>
      </c>
      <c r="N1174" s="83">
        <v>16683343.289473316</v>
      </c>
      <c r="O1174" s="83" t="s">
        <v>1057</v>
      </c>
      <c r="P1174" s="84">
        <f t="shared" si="32"/>
        <v>-6.8133047210301445E-3</v>
      </c>
    </row>
    <row r="1175" spans="2:16" ht="15" customHeight="1">
      <c r="B1175" s="83">
        <v>381.80619806860875</v>
      </c>
      <c r="C1175" s="83">
        <v>383.606755460231</v>
      </c>
      <c r="D1175" s="83">
        <v>381.2844623511059</v>
      </c>
      <c r="E1175" s="83">
        <v>383.27654418157147</v>
      </c>
      <c r="F1175" s="83">
        <v>4175496.092977318</v>
      </c>
      <c r="G1175" s="83" t="s">
        <v>1056</v>
      </c>
      <c r="H1175" s="84">
        <f t="shared" si="31"/>
        <v>-3.8362538362539667E-3</v>
      </c>
      <c r="J1175" s="83">
        <v>139.22839722572954</v>
      </c>
      <c r="K1175" s="83">
        <v>139.48785495460882</v>
      </c>
      <c r="L1175" s="83">
        <v>138.6054402127813</v>
      </c>
      <c r="M1175" s="83">
        <v>139.07928358844259</v>
      </c>
      <c r="N1175" s="83">
        <v>19040934.495725743</v>
      </c>
      <c r="O1175" s="83" t="s">
        <v>1056</v>
      </c>
      <c r="P1175" s="84">
        <f t="shared" si="32"/>
        <v>1.0721484425257888E-3</v>
      </c>
    </row>
    <row r="1176" spans="2:16" ht="15" customHeight="1">
      <c r="B1176" s="83">
        <v>382.52714196915821</v>
      </c>
      <c r="C1176" s="83">
        <v>385.18325107644563</v>
      </c>
      <c r="D1176" s="83">
        <v>382.14769781097431</v>
      </c>
      <c r="E1176" s="83">
        <v>382.35639209797546</v>
      </c>
      <c r="F1176" s="83">
        <v>4648056.8008775553</v>
      </c>
      <c r="G1176" s="83" t="s">
        <v>1055</v>
      </c>
      <c r="H1176" s="84">
        <f t="shared" si="31"/>
        <v>4.4657255563551601E-4</v>
      </c>
      <c r="J1176" s="83">
        <v>138.36304108400768</v>
      </c>
      <c r="K1176" s="83">
        <v>139.32627044679012</v>
      </c>
      <c r="L1176" s="83">
        <v>137.74421948926687</v>
      </c>
      <c r="M1176" s="83">
        <v>138.04244676384076</v>
      </c>
      <c r="N1176" s="83">
        <v>18358944.559390739</v>
      </c>
      <c r="O1176" s="83" t="s">
        <v>1055</v>
      </c>
      <c r="P1176" s="84">
        <f t="shared" si="32"/>
        <v>2.3224329014928102E-3</v>
      </c>
    </row>
    <row r="1177" spans="2:16" ht="15" customHeight="1">
      <c r="B1177" s="83">
        <v>379.26392220877653</v>
      </c>
      <c r="C1177" s="83">
        <v>379.46313039182309</v>
      </c>
      <c r="D1177" s="83">
        <v>372.86080203942299</v>
      </c>
      <c r="E1177" s="83">
        <v>374.36909256820405</v>
      </c>
      <c r="F1177" s="83">
        <v>6946952.1223261496</v>
      </c>
      <c r="G1177" s="83" t="s">
        <v>1054</v>
      </c>
      <c r="H1177" s="84">
        <f t="shared" si="31"/>
        <v>1.3074876472823904E-2</v>
      </c>
      <c r="J1177" s="83">
        <v>136.54236357273413</v>
      </c>
      <c r="K1177" s="83">
        <v>137.03742084852678</v>
      </c>
      <c r="L1177" s="83">
        <v>133.6918078732655</v>
      </c>
      <c r="M1177" s="83">
        <v>133.82998651048476</v>
      </c>
      <c r="N1177" s="83">
        <v>19881803.260523714</v>
      </c>
      <c r="O1177" s="83" t="s">
        <v>1054</v>
      </c>
      <c r="P1177" s="84">
        <f t="shared" si="32"/>
        <v>2.0267334197458631E-2</v>
      </c>
    </row>
    <row r="1178" spans="2:16" ht="15" customHeight="1">
      <c r="B1178" s="83">
        <v>377.58488180881272</v>
      </c>
      <c r="C1178" s="83">
        <v>379.77863820935301</v>
      </c>
      <c r="D1178" s="83">
        <v>374.50189802356846</v>
      </c>
      <c r="E1178" s="83">
        <v>375.23232802807246</v>
      </c>
      <c r="F1178" s="83">
        <v>5822457.8039996307</v>
      </c>
      <c r="G1178" s="83" t="s">
        <v>1053</v>
      </c>
      <c r="H1178" s="84">
        <f t="shared" si="31"/>
        <v>6.2695924764890609E-3</v>
      </c>
      <c r="J1178" s="83">
        <v>135.37231856548931</v>
      </c>
      <c r="K1178" s="83">
        <v>136.5503163000561</v>
      </c>
      <c r="L1178" s="83">
        <v>133.2081826429982</v>
      </c>
      <c r="M1178" s="83">
        <v>133.2081826429982</v>
      </c>
      <c r="N1178" s="83">
        <v>24270154.399332125</v>
      </c>
      <c r="O1178" s="83" t="s">
        <v>1053</v>
      </c>
      <c r="P1178" s="84">
        <f t="shared" si="32"/>
        <v>1.6246268656716634E-2</v>
      </c>
    </row>
    <row r="1179" spans="2:16" ht="15" customHeight="1">
      <c r="B1179" s="83">
        <v>373.95170399420175</v>
      </c>
      <c r="C1179" s="83">
        <v>378.43863116472653</v>
      </c>
      <c r="D1179" s="83">
        <v>371.81733060441724</v>
      </c>
      <c r="E1179" s="83">
        <v>377.66077064044953</v>
      </c>
      <c r="F1179" s="83">
        <v>9298260.9533019103</v>
      </c>
      <c r="G1179" s="83" t="s">
        <v>1052</v>
      </c>
      <c r="H1179" s="84">
        <f t="shared" si="31"/>
        <v>-9.8211594494123089E-3</v>
      </c>
      <c r="J1179" s="83">
        <v>132.97457127791535</v>
      </c>
      <c r="K1179" s="83">
        <v>134.89813719891683</v>
      </c>
      <c r="L1179" s="83">
        <v>130.39142603464794</v>
      </c>
      <c r="M1179" s="83">
        <v>134.89764015345921</v>
      </c>
      <c r="N1179" s="83">
        <v>31717320.334015366</v>
      </c>
      <c r="O1179" s="83" t="s">
        <v>1052</v>
      </c>
      <c r="P1179" s="84">
        <f t="shared" si="32"/>
        <v>-1.4255763654250631E-2</v>
      </c>
    </row>
    <row r="1180" spans="2:16" ht="15" customHeight="1">
      <c r="B1180" s="83">
        <v>378.60938103590928</v>
      </c>
      <c r="C1180" s="83">
        <v>380.25047702005475</v>
      </c>
      <c r="D1180" s="83">
        <v>372.58570502473964</v>
      </c>
      <c r="E1180" s="83">
        <v>375.86429227352778</v>
      </c>
      <c r="F1180" s="83">
        <v>8941706.7750862446</v>
      </c>
      <c r="G1180" s="83" t="s">
        <v>1051</v>
      </c>
      <c r="H1180" s="84">
        <f t="shared" si="31"/>
        <v>7.3034039647048576E-3</v>
      </c>
      <c r="J1180" s="83">
        <v>135.6561315217921</v>
      </c>
      <c r="K1180" s="83">
        <v>136.26103584371947</v>
      </c>
      <c r="L1180" s="83">
        <v>132.58936104825742</v>
      </c>
      <c r="M1180" s="83">
        <v>132.76531514025601</v>
      </c>
      <c r="N1180" s="83">
        <v>28556040.06095149</v>
      </c>
      <c r="O1180" s="83" t="s">
        <v>1051</v>
      </c>
      <c r="P1180" s="84">
        <f t="shared" si="32"/>
        <v>2.1773882572283076E-2</v>
      </c>
    </row>
    <row r="1181" spans="2:16" ht="15" customHeight="1">
      <c r="B1181" s="83">
        <v>374.1319399693391</v>
      </c>
      <c r="C1181" s="83">
        <v>380.88604598501274</v>
      </c>
      <c r="D1181" s="83">
        <v>374.0750233456115</v>
      </c>
      <c r="E1181" s="83">
        <v>380.25047702005475</v>
      </c>
      <c r="F1181" s="83">
        <v>10026408.149775768</v>
      </c>
      <c r="G1181" s="83" t="s">
        <v>1050</v>
      </c>
      <c r="H1181" s="84">
        <f t="shared" si="31"/>
        <v>-1.6090807035050614E-2</v>
      </c>
      <c r="J1181" s="83">
        <v>132.47802286574984</v>
      </c>
      <c r="K1181" s="83">
        <v>134.78878719823976</v>
      </c>
      <c r="L1181" s="83">
        <v>132.21409172775196</v>
      </c>
      <c r="M1181" s="83">
        <v>133.53126219045325</v>
      </c>
      <c r="N1181" s="83">
        <v>35574190.909127928</v>
      </c>
      <c r="O1181" s="83" t="s">
        <v>1050</v>
      </c>
      <c r="P1181" s="84">
        <f t="shared" si="32"/>
        <v>-7.887586078540898E-3</v>
      </c>
    </row>
    <row r="1182" spans="2:16" ht="15" customHeight="1">
      <c r="B1182" s="83">
        <v>378.93190857036558</v>
      </c>
      <c r="C1182" s="83">
        <v>381.14217079178695</v>
      </c>
      <c r="D1182" s="83">
        <v>378.36274233308978</v>
      </c>
      <c r="E1182" s="83">
        <v>379.53901922345989</v>
      </c>
      <c r="F1182" s="83">
        <v>4980090.9020296261</v>
      </c>
      <c r="G1182" s="83" t="s">
        <v>1049</v>
      </c>
      <c r="H1182" s="84">
        <f t="shared" si="31"/>
        <v>-1.5996000999751736E-3</v>
      </c>
      <c r="J1182" s="83">
        <v>133.72610400984152</v>
      </c>
      <c r="K1182" s="83">
        <v>136.5866006184626</v>
      </c>
      <c r="L1182" s="83">
        <v>133.45670537180976</v>
      </c>
      <c r="M1182" s="83">
        <v>136.29949722123033</v>
      </c>
      <c r="N1182" s="83">
        <v>26493773.955751088</v>
      </c>
      <c r="O1182" s="83" t="s">
        <v>1049</v>
      </c>
      <c r="P1182" s="84">
        <f t="shared" si="32"/>
        <v>-1.8880430697494677E-2</v>
      </c>
    </row>
    <row r="1183" spans="2:16" ht="15" customHeight="1">
      <c r="B1183" s="83">
        <v>378.33580179785884</v>
      </c>
      <c r="C1183" s="83">
        <v>383.753565941163</v>
      </c>
      <c r="D1183" s="83">
        <v>377.56993985089957</v>
      </c>
      <c r="E1183" s="83">
        <v>383.45100319668529</v>
      </c>
      <c r="F1183" s="83">
        <v>8708867.5922360122</v>
      </c>
      <c r="G1183" s="83" t="s">
        <v>1048</v>
      </c>
      <c r="H1183" s="84">
        <f t="shared" si="31"/>
        <v>-1.3339908765873543E-2</v>
      </c>
      <c r="J1183" s="83">
        <v>135.37927720189603</v>
      </c>
      <c r="K1183" s="83">
        <v>138.78155335932635</v>
      </c>
      <c r="L1183" s="83">
        <v>134.89813719891683</v>
      </c>
      <c r="M1183" s="83">
        <v>138.26661426522878</v>
      </c>
      <c r="N1183" s="83">
        <v>42440444.181655973</v>
      </c>
      <c r="O1183" s="83" t="s">
        <v>1048</v>
      </c>
      <c r="P1183" s="84">
        <f t="shared" si="32"/>
        <v>-2.0882387832207527E-2</v>
      </c>
    </row>
    <row r="1184" spans="2:16" ht="15" customHeight="1">
      <c r="B1184" s="83">
        <v>386.05115178204068</v>
      </c>
      <c r="C1184" s="83">
        <v>387.25194767418662</v>
      </c>
      <c r="D1184" s="83">
        <v>385.37984069273074</v>
      </c>
      <c r="E1184" s="83">
        <v>386.16536921808103</v>
      </c>
      <c r="F1184" s="83">
        <v>3750997.175673665</v>
      </c>
      <c r="G1184" s="83" t="s">
        <v>1047</v>
      </c>
      <c r="H1184" s="84">
        <f t="shared" si="31"/>
        <v>-2.9577337882891186E-4</v>
      </c>
      <c r="J1184" s="83">
        <v>140.66485859826037</v>
      </c>
      <c r="K1184" s="83">
        <v>141.65795542259139</v>
      </c>
      <c r="L1184" s="83">
        <v>139.66977359209886</v>
      </c>
      <c r="M1184" s="83">
        <v>140.74885928059868</v>
      </c>
      <c r="N1184" s="83">
        <v>18956093.161088753</v>
      </c>
      <c r="O1184" s="83" t="s">
        <v>1047</v>
      </c>
      <c r="P1184" s="84">
        <f t="shared" si="32"/>
        <v>-5.9681252670651386E-4</v>
      </c>
    </row>
    <row r="1185" spans="2:16" ht="15" customHeight="1">
      <c r="B1185" s="83">
        <v>387.1479417307724</v>
      </c>
      <c r="C1185" s="83">
        <v>387.78143247702263</v>
      </c>
      <c r="D1185" s="83">
        <v>384.77471520377532</v>
      </c>
      <c r="E1185" s="83">
        <v>384.98272709060376</v>
      </c>
      <c r="F1185" s="83">
        <v>3614655.7365741208</v>
      </c>
      <c r="G1185" s="83" t="s">
        <v>1046</v>
      </c>
      <c r="H1185" s="84">
        <f t="shared" si="31"/>
        <v>5.624186457744873E-3</v>
      </c>
      <c r="J1185" s="83">
        <v>141.79016951431913</v>
      </c>
      <c r="K1185" s="83">
        <v>142.05907110689324</v>
      </c>
      <c r="L1185" s="83">
        <v>140.0182024578927</v>
      </c>
      <c r="M1185" s="83">
        <v>140.1131381402987</v>
      </c>
      <c r="N1185" s="83">
        <v>15038202.010222338</v>
      </c>
      <c r="O1185" s="83" t="s">
        <v>1046</v>
      </c>
      <c r="P1185" s="84">
        <f t="shared" si="32"/>
        <v>1.1969122926510867E-2</v>
      </c>
    </row>
    <row r="1186" spans="2:16" ht="15" customHeight="1">
      <c r="B1186" s="83">
        <v>386.50499589875722</v>
      </c>
      <c r="C1186" s="83">
        <v>387.96107910655627</v>
      </c>
      <c r="D1186" s="83">
        <v>383.37536251056588</v>
      </c>
      <c r="E1186" s="83">
        <v>383.60228456892412</v>
      </c>
      <c r="F1186" s="83">
        <v>4334220.8647124665</v>
      </c>
      <c r="G1186" s="83" t="s">
        <v>1045</v>
      </c>
      <c r="H1186" s="84">
        <f t="shared" si="31"/>
        <v>7.5669813413521414E-3</v>
      </c>
      <c r="J1186" s="83">
        <v>140.98843519117304</v>
      </c>
      <c r="K1186" s="83">
        <v>141.41188312788591</v>
      </c>
      <c r="L1186" s="83">
        <v>140.26274882304324</v>
      </c>
      <c r="M1186" s="83">
        <v>140.7727174625646</v>
      </c>
      <c r="N1186" s="83">
        <v>17378792.759332661</v>
      </c>
      <c r="O1186" s="83" t="s">
        <v>1045</v>
      </c>
      <c r="P1186" s="84">
        <f t="shared" si="32"/>
        <v>1.5323830675202377E-3</v>
      </c>
    </row>
    <row r="1187" spans="2:16" ht="15" customHeight="1">
      <c r="B1187" s="83">
        <v>381.89091404547202</v>
      </c>
      <c r="C1187" s="83">
        <v>383.73465576963315</v>
      </c>
      <c r="D1187" s="83">
        <v>379.39477140353085</v>
      </c>
      <c r="E1187" s="83">
        <v>380.25518420813938</v>
      </c>
      <c r="F1187" s="83">
        <v>6350839.2724190718</v>
      </c>
      <c r="G1187" s="83" t="s">
        <v>1044</v>
      </c>
      <c r="H1187" s="84">
        <f t="shared" si="31"/>
        <v>4.3016634756445349E-3</v>
      </c>
      <c r="J1187" s="83">
        <v>140.10568245843436</v>
      </c>
      <c r="K1187" s="83">
        <v>140.7468710987682</v>
      </c>
      <c r="L1187" s="83">
        <v>138.6475996084969</v>
      </c>
      <c r="M1187" s="83">
        <v>139.22292972569568</v>
      </c>
      <c r="N1187" s="83">
        <v>22198975.628434733</v>
      </c>
      <c r="O1187" s="83" t="s">
        <v>1044</v>
      </c>
      <c r="P1187" s="84">
        <f t="shared" si="32"/>
        <v>6.3405700086753836E-3</v>
      </c>
    </row>
    <row r="1188" spans="2:16" ht="15" customHeight="1">
      <c r="B1188" s="83">
        <v>378.24125094020957</v>
      </c>
      <c r="C1188" s="83">
        <v>381.89091404547202</v>
      </c>
      <c r="D1188" s="83">
        <v>377.67394579431379</v>
      </c>
      <c r="E1188" s="83">
        <v>380.71848341062088</v>
      </c>
      <c r="F1188" s="83">
        <v>6788012.461829179</v>
      </c>
      <c r="G1188" s="83" t="s">
        <v>1043</v>
      </c>
      <c r="H1188" s="84">
        <f t="shared" si="31"/>
        <v>-6.506730243878156E-3</v>
      </c>
      <c r="J1188" s="83">
        <v>138.82131699593617</v>
      </c>
      <c r="K1188" s="83">
        <v>139.97954723265335</v>
      </c>
      <c r="L1188" s="83">
        <v>138.08469562773871</v>
      </c>
      <c r="M1188" s="83">
        <v>139.28903677155955</v>
      </c>
      <c r="N1188" s="83">
        <v>18237144.834493339</v>
      </c>
      <c r="O1188" s="83" t="s">
        <v>1043</v>
      </c>
      <c r="P1188" s="84">
        <f t="shared" si="32"/>
        <v>-3.3579080340002676E-3</v>
      </c>
    </row>
    <row r="1189" spans="2:16" ht="15" customHeight="1">
      <c r="B1189" s="83">
        <v>378.60999928504179</v>
      </c>
      <c r="C1189" s="83">
        <v>380.69957323909102</v>
      </c>
      <c r="D1189" s="83">
        <v>374.01482760328639</v>
      </c>
      <c r="E1189" s="83">
        <v>379.25294511705692</v>
      </c>
      <c r="F1189" s="83">
        <v>11573387.351587355</v>
      </c>
      <c r="G1189" s="83" t="s">
        <v>1042</v>
      </c>
      <c r="H1189" s="84">
        <f t="shared" si="31"/>
        <v>-1.6952955548352744E-3</v>
      </c>
      <c r="J1189" s="83">
        <v>138.19553676478867</v>
      </c>
      <c r="K1189" s="83">
        <v>138.53899517600624</v>
      </c>
      <c r="L1189" s="83">
        <v>136.24314220724503</v>
      </c>
      <c r="M1189" s="83">
        <v>138.17881118513964</v>
      </c>
      <c r="N1189" s="83">
        <v>35125278.246155396</v>
      </c>
      <c r="O1189" s="83" t="s">
        <v>1042</v>
      </c>
      <c r="P1189" s="84">
        <f t="shared" si="32"/>
        <v>1.2104301307536147E-4</v>
      </c>
    </row>
    <row r="1190" spans="2:16" ht="15" customHeight="1">
      <c r="B1190" s="83">
        <v>384.89763131871933</v>
      </c>
      <c r="C1190" s="83">
        <v>388.39601305174301</v>
      </c>
      <c r="D1190" s="83">
        <v>384.60452366000658</v>
      </c>
      <c r="E1190" s="83">
        <v>387.98944436385108</v>
      </c>
      <c r="F1190" s="83">
        <v>5707082.023534311</v>
      </c>
      <c r="G1190" s="83" t="s">
        <v>1041</v>
      </c>
      <c r="H1190" s="84">
        <f t="shared" si="31"/>
        <v>-7.9688071158767748E-3</v>
      </c>
      <c r="J1190" s="83">
        <v>140.62758018893862</v>
      </c>
      <c r="K1190" s="83">
        <v>143.39711747881469</v>
      </c>
      <c r="L1190" s="83">
        <v>140.22795564100963</v>
      </c>
      <c r="M1190" s="83">
        <v>142.94878247603864</v>
      </c>
      <c r="N1190" s="83">
        <v>60396709.27394703</v>
      </c>
      <c r="O1190" s="83" t="s">
        <v>1041</v>
      </c>
      <c r="P1190" s="84">
        <f t="shared" si="32"/>
        <v>-1.6237999700970618E-2</v>
      </c>
    </row>
    <row r="1191" spans="2:16" ht="15" customHeight="1">
      <c r="B1191" s="83">
        <v>388.70803088198568</v>
      </c>
      <c r="C1191" s="83">
        <v>389.72918014459799</v>
      </c>
      <c r="D1191" s="83">
        <v>385.98496618168622</v>
      </c>
      <c r="E1191" s="83">
        <v>388.85931225422451</v>
      </c>
      <c r="F1191" s="83">
        <v>3544652.1410007086</v>
      </c>
      <c r="G1191" s="83" t="s">
        <v>1040</v>
      </c>
      <c r="H1191" s="84">
        <f t="shared" si="31"/>
        <v>-3.8903883093821534E-4</v>
      </c>
      <c r="J1191" s="83">
        <v>143.52038475230523</v>
      </c>
      <c r="K1191" s="83">
        <v>144.34200089375628</v>
      </c>
      <c r="L1191" s="83">
        <v>142.56890057368645</v>
      </c>
      <c r="M1191" s="83">
        <v>144.26346771145182</v>
      </c>
      <c r="N1191" s="83">
        <v>20419500.559434839</v>
      </c>
      <c r="O1191" s="83" t="s">
        <v>1040</v>
      </c>
      <c r="P1191" s="84">
        <f t="shared" si="32"/>
        <v>-5.1508740981665024E-3</v>
      </c>
    </row>
    <row r="1192" spans="2:16" ht="15" customHeight="1">
      <c r="B1192" s="83">
        <v>389.37934197129562</v>
      </c>
      <c r="C1192" s="83">
        <v>389.79328562608418</v>
      </c>
      <c r="D1192" s="83">
        <v>385.48384663614496</v>
      </c>
      <c r="E1192" s="83">
        <v>386.51445098452223</v>
      </c>
      <c r="F1192" s="83">
        <v>4115653.8361969325</v>
      </c>
      <c r="G1192" s="83" t="s">
        <v>1039</v>
      </c>
      <c r="H1192" s="84">
        <f t="shared" si="31"/>
        <v>7.412118691748848E-3</v>
      </c>
      <c r="J1192" s="83">
        <v>144.34796543924773</v>
      </c>
      <c r="K1192" s="83">
        <v>144.72124657792273</v>
      </c>
      <c r="L1192" s="83">
        <v>141.4153972392713</v>
      </c>
      <c r="M1192" s="83">
        <v>142.90951588488642</v>
      </c>
      <c r="N1192" s="83">
        <v>20776188.257271975</v>
      </c>
      <c r="O1192" s="83" t="s">
        <v>1039</v>
      </c>
      <c r="P1192" s="84">
        <f t="shared" si="32"/>
        <v>1.0065456771402026E-2</v>
      </c>
    </row>
    <row r="1193" spans="2:16" ht="15" customHeight="1">
      <c r="B1193" s="83">
        <v>386.1551577254549</v>
      </c>
      <c r="C1193" s="83">
        <v>389.71972505883303</v>
      </c>
      <c r="D1193" s="83">
        <v>385.28528983508147</v>
      </c>
      <c r="E1193" s="83">
        <v>389.56844368659415</v>
      </c>
      <c r="F1193" s="83">
        <v>3868465.1741258577</v>
      </c>
      <c r="G1193" s="83" t="s">
        <v>1038</v>
      </c>
      <c r="H1193" s="84">
        <f t="shared" si="31"/>
        <v>-8.7617105965729358E-3</v>
      </c>
      <c r="J1193" s="83">
        <v>142.55860179180448</v>
      </c>
      <c r="K1193" s="83">
        <v>143.87229293630242</v>
      </c>
      <c r="L1193" s="83">
        <v>142.06105928872375</v>
      </c>
      <c r="M1193" s="83">
        <v>143.30914043281541</v>
      </c>
      <c r="N1193" s="83">
        <v>19031599.33346073</v>
      </c>
      <c r="O1193" s="83" t="s">
        <v>1038</v>
      </c>
      <c r="P1193" s="84">
        <f t="shared" si="32"/>
        <v>-5.2372000749163483E-3</v>
      </c>
    </row>
    <row r="1194" spans="2:16" ht="15" customHeight="1">
      <c r="B1194" s="83">
        <v>388.16909099338477</v>
      </c>
      <c r="C1194" s="83">
        <v>390.22084460437424</v>
      </c>
      <c r="D1194" s="83">
        <v>386.06060686780563</v>
      </c>
      <c r="E1194" s="83">
        <v>390.0411979748406</v>
      </c>
      <c r="F1194" s="83">
        <v>5011419.3755657682</v>
      </c>
      <c r="G1194" s="83" t="s">
        <v>1037</v>
      </c>
      <c r="H1194" s="84">
        <f t="shared" si="31"/>
        <v>-4.7997672840103256E-3</v>
      </c>
      <c r="J1194" s="83">
        <v>142.61725315580404</v>
      </c>
      <c r="K1194" s="83">
        <v>143.33896316027281</v>
      </c>
      <c r="L1194" s="83">
        <v>141.44174064852533</v>
      </c>
      <c r="M1194" s="83">
        <v>142.354813154179</v>
      </c>
      <c r="N1194" s="83">
        <v>20295548.11392891</v>
      </c>
      <c r="O1194" s="83" t="s">
        <v>1037</v>
      </c>
      <c r="P1194" s="84">
        <f t="shared" si="32"/>
        <v>1.8435625449544357E-3</v>
      </c>
    </row>
    <row r="1195" spans="2:16" ht="15" customHeight="1">
      <c r="B1195" s="83">
        <v>387.26140275995152</v>
      </c>
      <c r="C1195" s="83">
        <v>392.48061010219226</v>
      </c>
      <c r="D1195" s="83">
        <v>387.10539384483025</v>
      </c>
      <c r="E1195" s="83">
        <v>392.09295158583018</v>
      </c>
      <c r="F1195" s="83">
        <v>4268082.9136089934</v>
      </c>
      <c r="G1195" s="83" t="s">
        <v>1036</v>
      </c>
      <c r="H1195" s="84">
        <f t="shared" si="31"/>
        <v>-1.2322457739516457E-2</v>
      </c>
      <c r="J1195" s="83">
        <v>141.0823767826638</v>
      </c>
      <c r="K1195" s="83">
        <v>145.15616135334295</v>
      </c>
      <c r="L1195" s="83">
        <v>140.90393746337708</v>
      </c>
      <c r="M1195" s="83">
        <v>144.58406203161871</v>
      </c>
      <c r="N1195" s="83">
        <v>33092164.40414897</v>
      </c>
      <c r="O1195" s="83" t="s">
        <v>1036</v>
      </c>
      <c r="P1195" s="84">
        <f t="shared" si="32"/>
        <v>-2.4219026632334772E-2</v>
      </c>
    </row>
    <row r="1196" spans="2:16" ht="15" customHeight="1">
      <c r="B1196" s="83">
        <v>390.2775751189638</v>
      </c>
      <c r="C1196" s="83">
        <v>393.39775342139029</v>
      </c>
      <c r="D1196" s="83">
        <v>390.08847340366526</v>
      </c>
      <c r="E1196" s="83">
        <v>391.7620235840576</v>
      </c>
      <c r="F1196" s="83">
        <v>4111891.8396498533</v>
      </c>
      <c r="G1196" s="83" t="s">
        <v>1035</v>
      </c>
      <c r="H1196" s="84">
        <f t="shared" si="31"/>
        <v>-3.7891586619683837E-3</v>
      </c>
      <c r="J1196" s="83">
        <v>144.05719384653821</v>
      </c>
      <c r="K1196" s="83">
        <v>144.80872657846439</v>
      </c>
      <c r="L1196" s="83">
        <v>143.58052725267763</v>
      </c>
      <c r="M1196" s="83">
        <v>144.02737111908084</v>
      </c>
      <c r="N1196" s="83">
        <v>14886525.742300054</v>
      </c>
      <c r="O1196" s="83" t="s">
        <v>1035</v>
      </c>
      <c r="P1196" s="84">
        <f t="shared" si="32"/>
        <v>2.0706291606686911E-4</v>
      </c>
    </row>
    <row r="1197" spans="2:16" ht="15" customHeight="1">
      <c r="B1197" s="83">
        <v>392.03622107124056</v>
      </c>
      <c r="C1197" s="83">
        <v>392.63189147443109</v>
      </c>
      <c r="D1197" s="83">
        <v>390.18595533790165</v>
      </c>
      <c r="E1197" s="83">
        <v>391.94167021359129</v>
      </c>
      <c r="F1197" s="83">
        <v>4243857.8557200842</v>
      </c>
      <c r="G1197" s="83" t="s">
        <v>1034</v>
      </c>
      <c r="H1197" s="84">
        <f t="shared" si="31"/>
        <v>2.4123706366241393E-4</v>
      </c>
      <c r="J1197" s="83">
        <v>144.02737111908084</v>
      </c>
      <c r="K1197" s="83">
        <v>144.69092680500771</v>
      </c>
      <c r="L1197" s="83">
        <v>143.34790997851002</v>
      </c>
      <c r="M1197" s="83">
        <v>144.53435748585642</v>
      </c>
      <c r="N1197" s="83">
        <v>15583745.673968282</v>
      </c>
      <c r="O1197" s="83" t="s">
        <v>1034</v>
      </c>
      <c r="P1197" s="84">
        <f t="shared" si="32"/>
        <v>-3.50772214713857E-3</v>
      </c>
    </row>
    <row r="1198" spans="2:16" ht="15" customHeight="1">
      <c r="B1198" s="83">
        <v>392.41442450183769</v>
      </c>
      <c r="C1198" s="83">
        <v>393.60576530821879</v>
      </c>
      <c r="D1198" s="83">
        <v>391.83766427017707</v>
      </c>
      <c r="E1198" s="83">
        <v>393.58685513668888</v>
      </c>
      <c r="F1198" s="83">
        <v>3746651.3663365976</v>
      </c>
      <c r="G1198" s="83" t="s">
        <v>1033</v>
      </c>
      <c r="H1198" s="84">
        <f t="shared" si="31"/>
        <v>-2.9788358517309765E-3</v>
      </c>
      <c r="J1198" s="83">
        <v>144.65911589571982</v>
      </c>
      <c r="K1198" s="83">
        <v>144.96231362486992</v>
      </c>
      <c r="L1198" s="83">
        <v>143.686894980609</v>
      </c>
      <c r="M1198" s="83">
        <v>143.89416293643782</v>
      </c>
      <c r="N1198" s="83">
        <v>15262789.114455853</v>
      </c>
      <c r="O1198" s="83" t="s">
        <v>1033</v>
      </c>
      <c r="P1198" s="84">
        <f t="shared" si="32"/>
        <v>5.3160805391383459E-3</v>
      </c>
    </row>
    <row r="1199" spans="2:16" ht="15" customHeight="1">
      <c r="B1199" s="83">
        <v>393.87050770963674</v>
      </c>
      <c r="C1199" s="83">
        <v>394.33314505611474</v>
      </c>
      <c r="D1199" s="83">
        <v>392.53734061678182</v>
      </c>
      <c r="E1199" s="83">
        <v>392.9344542189088</v>
      </c>
      <c r="F1199" s="83">
        <v>3959772.6483745067</v>
      </c>
      <c r="G1199" s="83" t="s">
        <v>1032</v>
      </c>
      <c r="H1199" s="84">
        <f t="shared" si="31"/>
        <v>2.3822128110111418E-3</v>
      </c>
      <c r="J1199" s="83">
        <v>143.91951225477661</v>
      </c>
      <c r="K1199" s="83">
        <v>144.51795498575484</v>
      </c>
      <c r="L1199" s="83">
        <v>142.65701679241386</v>
      </c>
      <c r="M1199" s="83">
        <v>143.29422906908673</v>
      </c>
      <c r="N1199" s="83">
        <v>19224076.698524069</v>
      </c>
      <c r="O1199" s="83" t="s">
        <v>1032</v>
      </c>
      <c r="P1199" s="84">
        <f t="shared" si="32"/>
        <v>4.3636313182466857E-3</v>
      </c>
    </row>
    <row r="1200" spans="2:16" ht="15" customHeight="1">
      <c r="B1200" s="83">
        <v>394.02178908187562</v>
      </c>
      <c r="C1200" s="83">
        <v>394.69310017118556</v>
      </c>
      <c r="D1200" s="83">
        <v>392.85408598990693</v>
      </c>
      <c r="E1200" s="83">
        <v>394.08797468223014</v>
      </c>
      <c r="F1200" s="83">
        <v>3000420.1659627985</v>
      </c>
      <c r="G1200" s="83" t="s">
        <v>1031</v>
      </c>
      <c r="H1200" s="84">
        <f t="shared" ref="H1200:H1263" si="33">B1200/E1200-1</f>
        <v>-1.6794625719773748E-4</v>
      </c>
      <c r="J1200" s="83">
        <v>143.3667977058997</v>
      </c>
      <c r="K1200" s="83">
        <v>145.46035317340829</v>
      </c>
      <c r="L1200" s="83">
        <v>143.2549624779345</v>
      </c>
      <c r="M1200" s="83">
        <v>145.08707203473332</v>
      </c>
      <c r="N1200" s="83">
        <v>21985715.456001226</v>
      </c>
      <c r="O1200" s="83" t="s">
        <v>1031</v>
      </c>
      <c r="P1200" s="84">
        <f t="shared" ref="P1200:P1263" si="34">J1200/M1200-1</f>
        <v>-1.1856840893596621E-2</v>
      </c>
    </row>
    <row r="1201" spans="2:16" ht="15" customHeight="1">
      <c r="B1201" s="83">
        <v>392.84935844702449</v>
      </c>
      <c r="C1201" s="83">
        <v>393.88941788116659</v>
      </c>
      <c r="D1201" s="83">
        <v>392.53734061678182</v>
      </c>
      <c r="E1201" s="83">
        <v>393.37884324986049</v>
      </c>
      <c r="F1201" s="83">
        <v>3444040.6792275566</v>
      </c>
      <c r="G1201" s="83" t="s">
        <v>1030</v>
      </c>
      <c r="H1201" s="84">
        <f t="shared" si="33"/>
        <v>-1.345992068261026E-3</v>
      </c>
      <c r="J1201" s="83">
        <v>144.98020726134436</v>
      </c>
      <c r="K1201" s="83">
        <v>145.95292025145827</v>
      </c>
      <c r="L1201" s="83">
        <v>144.75405157812583</v>
      </c>
      <c r="M1201" s="83">
        <v>144.78934180561708</v>
      </c>
      <c r="N1201" s="83">
        <v>15918745.214646615</v>
      </c>
      <c r="O1201" s="83" t="s">
        <v>1030</v>
      </c>
      <c r="P1201" s="84">
        <f t="shared" si="34"/>
        <v>1.3182286302779733E-3</v>
      </c>
    </row>
    <row r="1202" spans="2:16" ht="15" customHeight="1">
      <c r="B1202" s="83">
        <v>392.4333346733676</v>
      </c>
      <c r="C1202" s="83">
        <v>393.35047799256569</v>
      </c>
      <c r="D1202" s="83">
        <v>391.9889456424159</v>
      </c>
      <c r="E1202" s="83">
        <v>393.01009490502827</v>
      </c>
      <c r="F1202" s="83">
        <v>6412333.161999288</v>
      </c>
      <c r="G1202" s="83" t="s">
        <v>1029</v>
      </c>
      <c r="H1202" s="84">
        <f t="shared" si="33"/>
        <v>-1.4675455901458356E-3</v>
      </c>
      <c r="J1202" s="83">
        <v>144.60245271355078</v>
      </c>
      <c r="K1202" s="83">
        <v>145.24861180846085</v>
      </c>
      <c r="L1202" s="83">
        <v>144.14318271070701</v>
      </c>
      <c r="M1202" s="83">
        <v>145.02245612524234</v>
      </c>
      <c r="N1202" s="83">
        <v>26915465.768412061</v>
      </c>
      <c r="O1202" s="83" t="s">
        <v>1029</v>
      </c>
      <c r="P1202" s="84">
        <f t="shared" si="34"/>
        <v>-2.8961267303930782E-3</v>
      </c>
    </row>
    <row r="1203" spans="2:16" ht="15" customHeight="1">
      <c r="B1203" s="83">
        <v>393.10464576267754</v>
      </c>
      <c r="C1203" s="83">
        <v>393.86105262387184</v>
      </c>
      <c r="D1203" s="83">
        <v>391.80929901288226</v>
      </c>
      <c r="E1203" s="83">
        <v>392.06458632853537</v>
      </c>
      <c r="F1203" s="83">
        <v>2973833.4161172886</v>
      </c>
      <c r="G1203" s="83" t="s">
        <v>1028</v>
      </c>
      <c r="H1203" s="84">
        <f t="shared" si="33"/>
        <v>2.6527757680991915E-3</v>
      </c>
      <c r="J1203" s="83">
        <v>144.60990839541512</v>
      </c>
      <c r="K1203" s="83">
        <v>145.62387615851173</v>
      </c>
      <c r="L1203" s="83">
        <v>143.74554634460853</v>
      </c>
      <c r="M1203" s="83">
        <v>143.84942884525177</v>
      </c>
      <c r="N1203" s="83">
        <v>17016451.655037615</v>
      </c>
      <c r="O1203" s="83" t="s">
        <v>1028</v>
      </c>
      <c r="P1203" s="84">
        <f t="shared" si="34"/>
        <v>5.2866358682692738E-3</v>
      </c>
    </row>
    <row r="1204" spans="2:16" ht="15" customHeight="1">
      <c r="B1204" s="83">
        <v>391.30817946734106</v>
      </c>
      <c r="C1204" s="83">
        <v>391.7525684982927</v>
      </c>
      <c r="D1204" s="83">
        <v>388.62293511010131</v>
      </c>
      <c r="E1204" s="83">
        <v>388.68912071045577</v>
      </c>
      <c r="F1204" s="83">
        <v>4105938.4298765869</v>
      </c>
      <c r="G1204" s="83" t="s">
        <v>1027</v>
      </c>
      <c r="H1204" s="84">
        <f t="shared" si="33"/>
        <v>6.7381838526843207E-3</v>
      </c>
      <c r="J1204" s="83">
        <v>143.69633884430382</v>
      </c>
      <c r="K1204" s="83">
        <v>144.15411771077473</v>
      </c>
      <c r="L1204" s="83">
        <v>141.18079178327318</v>
      </c>
      <c r="M1204" s="83">
        <v>141.27274519293346</v>
      </c>
      <c r="N1204" s="83">
        <v>24714278.767866999</v>
      </c>
      <c r="O1204" s="83" t="s">
        <v>1027</v>
      </c>
      <c r="P1204" s="84">
        <f t="shared" si="34"/>
        <v>1.7155422640513729E-2</v>
      </c>
    </row>
    <row r="1205" spans="2:16" ht="15" customHeight="1">
      <c r="B1205" s="83">
        <v>387.866528248907</v>
      </c>
      <c r="C1205" s="83">
        <v>390.17356917554963</v>
      </c>
      <c r="D1205" s="83">
        <v>387.84761807737715</v>
      </c>
      <c r="E1205" s="83">
        <v>389.93719203142643</v>
      </c>
      <c r="F1205" s="83">
        <v>4978866.5243646009</v>
      </c>
      <c r="G1205" s="83" t="s">
        <v>1026</v>
      </c>
      <c r="H1205" s="84">
        <f t="shared" si="33"/>
        <v>-5.3102495089838442E-3</v>
      </c>
      <c r="J1205" s="83">
        <v>141.28318314754355</v>
      </c>
      <c r="K1205" s="83">
        <v>142.28900433558971</v>
      </c>
      <c r="L1205" s="83">
        <v>141.25186928371329</v>
      </c>
      <c r="M1205" s="83">
        <v>141.77575519604807</v>
      </c>
      <c r="N1205" s="83">
        <v>15010699.495532092</v>
      </c>
      <c r="O1205" s="83" t="s">
        <v>1026</v>
      </c>
      <c r="P1205" s="84">
        <f t="shared" si="34"/>
        <v>-3.474303824538838E-3</v>
      </c>
    </row>
    <row r="1206" spans="2:16" ht="15" customHeight="1">
      <c r="B1206" s="83">
        <v>390.14520391825482</v>
      </c>
      <c r="C1206" s="83">
        <v>390.69359889262068</v>
      </c>
      <c r="D1206" s="83">
        <v>389.23751568482169</v>
      </c>
      <c r="E1206" s="83">
        <v>389.60626402965391</v>
      </c>
      <c r="F1206" s="83">
        <v>3449373.2590955277</v>
      </c>
      <c r="G1206" s="83" t="s">
        <v>1025</v>
      </c>
      <c r="H1206" s="84">
        <f t="shared" si="33"/>
        <v>1.3832936950928243E-3</v>
      </c>
      <c r="J1206" s="83">
        <v>142.10529633445219</v>
      </c>
      <c r="K1206" s="83">
        <v>142.46615133668661</v>
      </c>
      <c r="L1206" s="83">
        <v>141.59781292221899</v>
      </c>
      <c r="M1206" s="83">
        <v>142.0386922431307</v>
      </c>
      <c r="N1206" s="83">
        <v>12919401.840442862</v>
      </c>
      <c r="O1206" s="83" t="s">
        <v>1025</v>
      </c>
      <c r="P1206" s="84">
        <f t="shared" si="34"/>
        <v>4.6891512636215715E-4</v>
      </c>
    </row>
    <row r="1207" spans="2:16" ht="15" customHeight="1">
      <c r="B1207" s="83">
        <v>389.42661740012028</v>
      </c>
      <c r="C1207" s="83">
        <v>389.88991660260177</v>
      </c>
      <c r="D1207" s="83">
        <v>388.93495294034398</v>
      </c>
      <c r="E1207" s="83">
        <v>389.45498265741503</v>
      </c>
      <c r="F1207" s="83">
        <v>3179756.4556757431</v>
      </c>
      <c r="G1207" s="83" t="s">
        <v>1024</v>
      </c>
      <c r="H1207" s="84">
        <f t="shared" si="33"/>
        <v>-7.2833211944511866E-5</v>
      </c>
      <c r="J1207" s="83">
        <v>141.55705519469387</v>
      </c>
      <c r="K1207" s="83">
        <v>142.16245656207886</v>
      </c>
      <c r="L1207" s="83">
        <v>140.51823018826155</v>
      </c>
      <c r="M1207" s="83">
        <v>140.70710746215832</v>
      </c>
      <c r="N1207" s="83">
        <v>15216173.659783358</v>
      </c>
      <c r="O1207" s="83" t="s">
        <v>1024</v>
      </c>
      <c r="P1207" s="84">
        <f t="shared" si="34"/>
        <v>6.0405458392649436E-3</v>
      </c>
    </row>
    <row r="1208" spans="2:16" ht="15" customHeight="1">
      <c r="B1208" s="83">
        <v>388.8120368253999</v>
      </c>
      <c r="C1208" s="83">
        <v>389.62517420118371</v>
      </c>
      <c r="D1208" s="83">
        <v>386.93047475817906</v>
      </c>
      <c r="E1208" s="83">
        <v>386.94938492970891</v>
      </c>
      <c r="F1208" s="83">
        <v>3447243.188517564</v>
      </c>
      <c r="G1208" s="83" t="s">
        <v>1023</v>
      </c>
      <c r="H1208" s="84">
        <f t="shared" si="33"/>
        <v>4.8136835675016698E-3</v>
      </c>
      <c r="J1208" s="83">
        <v>140.26573109578899</v>
      </c>
      <c r="K1208" s="83">
        <v>141.33685908651228</v>
      </c>
      <c r="L1208" s="83">
        <v>137.92805672222335</v>
      </c>
      <c r="M1208" s="83">
        <v>138.17714608285661</v>
      </c>
      <c r="N1208" s="83">
        <v>21215041.478148591</v>
      </c>
      <c r="O1208" s="83" t="s">
        <v>1023</v>
      </c>
      <c r="P1208" s="84">
        <f t="shared" si="34"/>
        <v>1.5115271028104615E-2</v>
      </c>
    </row>
    <row r="1209" spans="2:16" ht="15" customHeight="1">
      <c r="B1209" s="83">
        <v>385.39875086426059</v>
      </c>
      <c r="C1209" s="83">
        <v>385.6918585229734</v>
      </c>
      <c r="D1209" s="83">
        <v>382.23129713300943</v>
      </c>
      <c r="E1209" s="83">
        <v>382.62841073513647</v>
      </c>
      <c r="F1209" s="83">
        <v>3451656.6862940504</v>
      </c>
      <c r="G1209" s="83" t="s">
        <v>1022</v>
      </c>
      <c r="H1209" s="84">
        <f t="shared" si="33"/>
        <v>7.2402886231095476E-3</v>
      </c>
      <c r="J1209" s="83">
        <v>137.61896403394584</v>
      </c>
      <c r="K1209" s="83">
        <v>137.79541517140206</v>
      </c>
      <c r="L1209" s="83">
        <v>135.66060493091072</v>
      </c>
      <c r="M1209" s="83">
        <v>136.2729649347024</v>
      </c>
      <c r="N1209" s="83">
        <v>15659271.96522445</v>
      </c>
      <c r="O1209" s="83" t="s">
        <v>1022</v>
      </c>
      <c r="P1209" s="84">
        <f t="shared" si="34"/>
        <v>9.8772276649914392E-3</v>
      </c>
    </row>
    <row r="1210" spans="2:16" ht="15" customHeight="1">
      <c r="B1210" s="83">
        <v>382.37312341948342</v>
      </c>
      <c r="C1210" s="83">
        <v>383.45100319668529</v>
      </c>
      <c r="D1210" s="83">
        <v>379.08369908186467</v>
      </c>
      <c r="E1210" s="83">
        <v>379.23403494552701</v>
      </c>
      <c r="F1210" s="83">
        <v>5823021.7439402482</v>
      </c>
      <c r="G1210" s="83" t="s">
        <v>1021</v>
      </c>
      <c r="H1210" s="84">
        <f t="shared" si="33"/>
        <v>8.2774439651949194E-3</v>
      </c>
      <c r="J1210" s="83">
        <v>136.10446652456818</v>
      </c>
      <c r="K1210" s="83">
        <v>136.63978448242827</v>
      </c>
      <c r="L1210" s="83">
        <v>134.55616992407212</v>
      </c>
      <c r="M1210" s="83">
        <v>134.66701106112208</v>
      </c>
      <c r="N1210" s="83">
        <v>18404674.783158794</v>
      </c>
      <c r="O1210" s="83" t="s">
        <v>1021</v>
      </c>
      <c r="P1210" s="84">
        <f t="shared" si="34"/>
        <v>1.0674146935611972E-2</v>
      </c>
    </row>
    <row r="1211" spans="2:16" ht="15" customHeight="1">
      <c r="B1211" s="83">
        <v>381.83418353088246</v>
      </c>
      <c r="C1211" s="83">
        <v>386.47663064146246</v>
      </c>
      <c r="D1211" s="83">
        <v>381.5505309579346</v>
      </c>
      <c r="E1211" s="83">
        <v>385.03000251942842</v>
      </c>
      <c r="F1211" s="83">
        <v>5159421.2059870865</v>
      </c>
      <c r="G1211" s="83" t="s">
        <v>1020</v>
      </c>
      <c r="H1211" s="84">
        <f t="shared" si="33"/>
        <v>-8.3001817199549466E-3</v>
      </c>
      <c r="J1211" s="83">
        <v>135.7629962951811</v>
      </c>
      <c r="K1211" s="83">
        <v>137.47680903306562</v>
      </c>
      <c r="L1211" s="83">
        <v>135.61487674880939</v>
      </c>
      <c r="M1211" s="83">
        <v>136.30527288944791</v>
      </c>
      <c r="N1211" s="83">
        <v>15023233.560383609</v>
      </c>
      <c r="O1211" s="83" t="s">
        <v>1020</v>
      </c>
      <c r="P1211" s="84">
        <f t="shared" si="34"/>
        <v>-3.9783977741391086E-3</v>
      </c>
    </row>
    <row r="1212" spans="2:16" ht="15" customHeight="1">
      <c r="B1212" s="83">
        <v>385.98496618168622</v>
      </c>
      <c r="C1212" s="83">
        <v>386.76028321441038</v>
      </c>
      <c r="D1212" s="83">
        <v>383.22408113832699</v>
      </c>
      <c r="E1212" s="83">
        <v>386.1551577254549</v>
      </c>
      <c r="F1212" s="83">
        <v>5485144.3222620878</v>
      </c>
      <c r="G1212" s="83" t="s">
        <v>1019</v>
      </c>
      <c r="H1212" s="84">
        <f t="shared" si="33"/>
        <v>-4.4073357655283196E-4</v>
      </c>
      <c r="J1212" s="83">
        <v>136.48917970876849</v>
      </c>
      <c r="K1212" s="83">
        <v>137.89880062658767</v>
      </c>
      <c r="L1212" s="83">
        <v>135.97921106924716</v>
      </c>
      <c r="M1212" s="83">
        <v>137.37441766879527</v>
      </c>
      <c r="N1212" s="83">
        <v>21400477.233744781</v>
      </c>
      <c r="O1212" s="83" t="s">
        <v>1019</v>
      </c>
      <c r="P1212" s="84">
        <f t="shared" si="34"/>
        <v>-6.4439797092429307E-3</v>
      </c>
    </row>
    <row r="1213" spans="2:16" ht="15" customHeight="1">
      <c r="B1213" s="83">
        <v>388.5472944239819</v>
      </c>
      <c r="C1213" s="83">
        <v>388.61348002433635</v>
      </c>
      <c r="D1213" s="83">
        <v>384.96381691907385</v>
      </c>
      <c r="E1213" s="83">
        <v>386.43881029840276</v>
      </c>
      <c r="F1213" s="83">
        <v>3580250.971975727</v>
      </c>
      <c r="G1213" s="83" t="s">
        <v>1018</v>
      </c>
      <c r="H1213" s="84">
        <f t="shared" si="33"/>
        <v>5.4561914315773841E-3</v>
      </c>
      <c r="J1213" s="83">
        <v>138.09513358234881</v>
      </c>
      <c r="K1213" s="83">
        <v>138.16919335553465</v>
      </c>
      <c r="L1213" s="83">
        <v>135.36113504269278</v>
      </c>
      <c r="M1213" s="83">
        <v>137.18454630398324</v>
      </c>
      <c r="N1213" s="83">
        <v>18158137.976271983</v>
      </c>
      <c r="O1213" s="83" t="s">
        <v>1018</v>
      </c>
      <c r="P1213" s="84">
        <f t="shared" si="34"/>
        <v>6.6376811594202056E-3</v>
      </c>
    </row>
    <row r="1214" spans="2:16" ht="15" customHeight="1">
      <c r="B1214" s="83">
        <v>387.62069601901885</v>
      </c>
      <c r="C1214" s="83">
        <v>387.62069601901885</v>
      </c>
      <c r="D1214" s="83">
        <v>386.8831993293544</v>
      </c>
      <c r="E1214" s="83">
        <v>387.31813327454114</v>
      </c>
      <c r="F1214" s="83">
        <v>2383674.8349336465</v>
      </c>
      <c r="G1214" s="83" t="s">
        <v>1017</v>
      </c>
      <c r="H1214" s="84">
        <f t="shared" si="33"/>
        <v>7.8117371350461262E-4</v>
      </c>
      <c r="J1214" s="83">
        <v>137.5881472155732</v>
      </c>
      <c r="K1214" s="83">
        <v>137.85456358085921</v>
      </c>
      <c r="L1214" s="83">
        <v>137.18951675855945</v>
      </c>
      <c r="M1214" s="83">
        <v>137.53993380618377</v>
      </c>
      <c r="N1214" s="83">
        <v>12655361.604309149</v>
      </c>
      <c r="O1214" s="83" t="s">
        <v>1017</v>
      </c>
      <c r="P1214" s="84">
        <f t="shared" si="34"/>
        <v>3.5054117051824818E-4</v>
      </c>
    </row>
    <row r="1215" spans="2:16" ht="15" customHeight="1">
      <c r="B1215" s="83">
        <v>386.85483407205959</v>
      </c>
      <c r="C1215" s="83">
        <v>387.02502561582833</v>
      </c>
      <c r="D1215" s="83">
        <v>384.79362537530517</v>
      </c>
      <c r="E1215" s="83">
        <v>385.59730766532408</v>
      </c>
      <c r="F1215" s="83">
        <v>2454185.0361708351</v>
      </c>
      <c r="G1215" s="83" t="s">
        <v>1016</v>
      </c>
      <c r="H1215" s="84">
        <f t="shared" si="33"/>
        <v>3.2612427051148529E-3</v>
      </c>
      <c r="J1215" s="83">
        <v>137.57174471547165</v>
      </c>
      <c r="K1215" s="83">
        <v>137.60007630655616</v>
      </c>
      <c r="L1215" s="83">
        <v>135.97076129646754</v>
      </c>
      <c r="M1215" s="83">
        <v>136.89924221130755</v>
      </c>
      <c r="N1215" s="83">
        <v>14736479.103997309</v>
      </c>
      <c r="O1215" s="83" t="s">
        <v>1016</v>
      </c>
      <c r="P1215" s="84">
        <f t="shared" si="34"/>
        <v>4.912390260904953E-3</v>
      </c>
    </row>
    <row r="1216" spans="2:16" ht="15" customHeight="1">
      <c r="B1216" s="83">
        <v>385.72967886603311</v>
      </c>
      <c r="C1216" s="83">
        <v>385.83368480944733</v>
      </c>
      <c r="D1216" s="83">
        <v>384.73689486071561</v>
      </c>
      <c r="E1216" s="83">
        <v>385.76749920909282</v>
      </c>
      <c r="F1216" s="83">
        <v>3759278.4331838228</v>
      </c>
      <c r="G1216" s="83" t="s">
        <v>1015</v>
      </c>
      <c r="H1216" s="84">
        <f t="shared" si="33"/>
        <v>-9.8039215686296366E-5</v>
      </c>
      <c r="J1216" s="83">
        <v>136.87588107479925</v>
      </c>
      <c r="K1216" s="83">
        <v>138.02728687738323</v>
      </c>
      <c r="L1216" s="83">
        <v>136.53838720907316</v>
      </c>
      <c r="M1216" s="83">
        <v>137.4658740329979</v>
      </c>
      <c r="N1216" s="83">
        <v>15300069.406863332</v>
      </c>
      <c r="O1216" s="83" t="s">
        <v>1015</v>
      </c>
      <c r="P1216" s="84">
        <f t="shared" si="34"/>
        <v>-4.2919230852671575E-3</v>
      </c>
    </row>
    <row r="1217" spans="2:16" ht="15" customHeight="1">
      <c r="B1217" s="83">
        <v>384.80308046107012</v>
      </c>
      <c r="C1217" s="83">
        <v>385.45548137885021</v>
      </c>
      <c r="D1217" s="83">
        <v>384.09394902870048</v>
      </c>
      <c r="E1217" s="83">
        <v>384.73689486071561</v>
      </c>
      <c r="F1217" s="83">
        <v>2539088.5494713355</v>
      </c>
      <c r="G1217" s="83" t="s">
        <v>1014</v>
      </c>
      <c r="H1217" s="84">
        <f t="shared" si="33"/>
        <v>1.7202821262696233E-4</v>
      </c>
      <c r="J1217" s="83">
        <v>137.28047607730448</v>
      </c>
      <c r="K1217" s="83">
        <v>137.73278744374156</v>
      </c>
      <c r="L1217" s="83">
        <v>136.41561698104027</v>
      </c>
      <c r="M1217" s="83">
        <v>137.26357653174531</v>
      </c>
      <c r="N1217" s="83">
        <v>16134419.653183144</v>
      </c>
      <c r="O1217" s="83" t="s">
        <v>1014</v>
      </c>
      <c r="P1217" s="84">
        <f t="shared" si="34"/>
        <v>1.231174794229517E-4</v>
      </c>
    </row>
    <row r="1218" spans="2:16" ht="15" customHeight="1">
      <c r="B1218" s="83">
        <v>384.32087108705878</v>
      </c>
      <c r="C1218" s="83">
        <v>384.86850965456341</v>
      </c>
      <c r="D1218" s="83">
        <v>383.58337439739427</v>
      </c>
      <c r="E1218" s="83">
        <v>384.58561348847672</v>
      </c>
      <c r="F1218" s="83">
        <v>2098747.7526227967</v>
      </c>
      <c r="G1218" s="83" t="s">
        <v>1013</v>
      </c>
      <c r="H1218" s="84">
        <f t="shared" si="33"/>
        <v>-6.8838352796540825E-4</v>
      </c>
      <c r="J1218" s="83">
        <v>137.18653448581372</v>
      </c>
      <c r="K1218" s="83">
        <v>137.50414653323489</v>
      </c>
      <c r="L1218" s="83">
        <v>135.62258095340255</v>
      </c>
      <c r="M1218" s="83">
        <v>136.13975675205941</v>
      </c>
      <c r="N1218" s="83">
        <v>12453146.699296962</v>
      </c>
      <c r="O1218" s="83" t="s">
        <v>1013</v>
      </c>
      <c r="P1218" s="84">
        <f t="shared" si="34"/>
        <v>7.6889937129880348E-3</v>
      </c>
    </row>
    <row r="1219" spans="2:16" ht="15" customHeight="1">
      <c r="B1219" s="83">
        <v>384.68961943189095</v>
      </c>
      <c r="C1219" s="83">
        <v>384.99218217636866</v>
      </c>
      <c r="D1219" s="83">
        <v>384.03721851411086</v>
      </c>
      <c r="E1219" s="83">
        <v>384.29250582976391</v>
      </c>
      <c r="F1219" s="83">
        <v>2630249.0128906216</v>
      </c>
      <c r="G1219" s="83" t="s">
        <v>1012</v>
      </c>
      <c r="H1219" s="84">
        <f t="shared" si="33"/>
        <v>1.0333628579863863E-3</v>
      </c>
      <c r="J1219" s="83">
        <v>136.22624266168583</v>
      </c>
      <c r="K1219" s="83">
        <v>136.27002739604785</v>
      </c>
      <c r="L1219" s="83">
        <v>135.24258970104967</v>
      </c>
      <c r="M1219" s="83">
        <v>135.48962129348837</v>
      </c>
      <c r="N1219" s="83">
        <v>13645653.321999915</v>
      </c>
      <c r="O1219" s="83" t="s">
        <v>1012</v>
      </c>
      <c r="P1219" s="84">
        <f t="shared" si="34"/>
        <v>5.4367364907002003E-3</v>
      </c>
    </row>
    <row r="1220" spans="2:16" ht="15" customHeight="1">
      <c r="B1220" s="83">
        <v>384.02776342834596</v>
      </c>
      <c r="C1220" s="83">
        <v>384.05612868564072</v>
      </c>
      <c r="D1220" s="83">
        <v>382.34475816218861</v>
      </c>
      <c r="E1220" s="83">
        <v>382.64732090666632</v>
      </c>
      <c r="F1220" s="83">
        <v>3228766.0587106333</v>
      </c>
      <c r="G1220" s="83" t="s">
        <v>1011</v>
      </c>
      <c r="H1220" s="84">
        <f t="shared" si="33"/>
        <v>3.6076105757352206E-3</v>
      </c>
      <c r="J1220" s="83">
        <v>136.13080993382221</v>
      </c>
      <c r="K1220" s="83">
        <v>136.14075084297465</v>
      </c>
      <c r="L1220" s="83">
        <v>134.79872810739221</v>
      </c>
      <c r="M1220" s="83">
        <v>135.22469606457526</v>
      </c>
      <c r="N1220" s="83">
        <v>11942348.348550327</v>
      </c>
      <c r="O1220" s="83" t="s">
        <v>1011</v>
      </c>
      <c r="P1220" s="84">
        <f t="shared" si="34"/>
        <v>6.7008016702381212E-3</v>
      </c>
    </row>
    <row r="1221" spans="2:16" ht="15" customHeight="1">
      <c r="B1221" s="83">
        <v>381.64508181558386</v>
      </c>
      <c r="C1221" s="83">
        <v>382.79860227890521</v>
      </c>
      <c r="D1221" s="83">
        <v>381.36142924263601</v>
      </c>
      <c r="E1221" s="83">
        <v>382.2785725618341</v>
      </c>
      <c r="F1221" s="83">
        <v>4103840.0882546003</v>
      </c>
      <c r="G1221" s="83" t="s">
        <v>1010</v>
      </c>
      <c r="H1221" s="84">
        <f t="shared" si="33"/>
        <v>-1.6571442704855777E-3</v>
      </c>
      <c r="J1221" s="83">
        <v>135.22469606457526</v>
      </c>
      <c r="K1221" s="83">
        <v>135.73118538589321</v>
      </c>
      <c r="L1221" s="83">
        <v>134.61482128807168</v>
      </c>
      <c r="M1221" s="83">
        <v>135.44439015684466</v>
      </c>
      <c r="N1221" s="83">
        <v>16625380.784116624</v>
      </c>
      <c r="O1221" s="83" t="s">
        <v>1010</v>
      </c>
      <c r="P1221" s="84">
        <f t="shared" si="34"/>
        <v>-1.6220243010064417E-3</v>
      </c>
    </row>
    <row r="1222" spans="2:16" ht="15" customHeight="1">
      <c r="B1222" s="83">
        <v>383.47936845398004</v>
      </c>
      <c r="C1222" s="83">
        <v>383.55500914009951</v>
      </c>
      <c r="D1222" s="83">
        <v>379.07329848752329</v>
      </c>
      <c r="E1222" s="83">
        <v>381.11559701274786</v>
      </c>
      <c r="F1222" s="83">
        <v>4367626.1671975655</v>
      </c>
      <c r="G1222" s="83" t="s">
        <v>1009</v>
      </c>
      <c r="H1222" s="84">
        <f t="shared" si="33"/>
        <v>6.2022427309715855E-3</v>
      </c>
      <c r="J1222" s="83">
        <v>135.47470992975965</v>
      </c>
      <c r="K1222" s="83">
        <v>135.52988197555584</v>
      </c>
      <c r="L1222" s="83">
        <v>133.39059832594589</v>
      </c>
      <c r="M1222" s="83">
        <v>135.19636447349072</v>
      </c>
      <c r="N1222" s="83">
        <v>19177320.411662232</v>
      </c>
      <c r="O1222" s="83" t="s">
        <v>1009</v>
      </c>
      <c r="P1222" s="84">
        <f t="shared" si="34"/>
        <v>2.0588235294116686E-3</v>
      </c>
    </row>
    <row r="1223" spans="2:16" ht="15" customHeight="1">
      <c r="B1223" s="83">
        <v>380.40646558037821</v>
      </c>
      <c r="C1223" s="83">
        <v>383.27135656715166</v>
      </c>
      <c r="D1223" s="83">
        <v>380.03771723554598</v>
      </c>
      <c r="E1223" s="83">
        <v>382.72296159278574</v>
      </c>
      <c r="F1223" s="83">
        <v>6149849.0278832708</v>
      </c>
      <c r="G1223" s="83" t="s">
        <v>1008</v>
      </c>
      <c r="H1223" s="84">
        <f t="shared" si="33"/>
        <v>-6.0526705864913932E-3</v>
      </c>
      <c r="J1223" s="83">
        <v>135.18592651888062</v>
      </c>
      <c r="K1223" s="83">
        <v>135.21674333725326</v>
      </c>
      <c r="L1223" s="83">
        <v>133.87372651075557</v>
      </c>
      <c r="M1223" s="83">
        <v>134.68391060668128</v>
      </c>
      <c r="N1223" s="83">
        <v>20259756.618951626</v>
      </c>
      <c r="O1223" s="83" t="s">
        <v>1008</v>
      </c>
      <c r="P1223" s="84">
        <f t="shared" si="34"/>
        <v>3.7273636467638482E-3</v>
      </c>
    </row>
    <row r="1224" spans="2:16" ht="15" customHeight="1">
      <c r="B1224" s="83">
        <v>381.18178261310237</v>
      </c>
      <c r="C1224" s="83">
        <v>382.48658444866254</v>
      </c>
      <c r="D1224" s="83">
        <v>380.53855312851425</v>
      </c>
      <c r="E1224" s="83">
        <v>380.65229781026636</v>
      </c>
      <c r="F1224" s="83">
        <v>5504423.8935459526</v>
      </c>
      <c r="G1224" s="83" t="s">
        <v>1007</v>
      </c>
      <c r="H1224" s="84">
        <f t="shared" si="33"/>
        <v>1.3909933182643108E-3</v>
      </c>
      <c r="J1224" s="83">
        <v>134.42196765051389</v>
      </c>
      <c r="K1224" s="83">
        <v>134.96908049708338</v>
      </c>
      <c r="L1224" s="83">
        <v>134.01757146619173</v>
      </c>
      <c r="M1224" s="83">
        <v>134.71025401593528</v>
      </c>
      <c r="N1224" s="83">
        <v>24096890.568671994</v>
      </c>
      <c r="O1224" s="83" t="s">
        <v>1007</v>
      </c>
      <c r="P1224" s="84">
        <f t="shared" si="34"/>
        <v>-2.1400476714065197E-3</v>
      </c>
    </row>
    <row r="1225" spans="2:16" ht="15" customHeight="1">
      <c r="B1225" s="83">
        <v>383.05388959455826</v>
      </c>
      <c r="C1225" s="83">
        <v>383.99939817105115</v>
      </c>
      <c r="D1225" s="83">
        <v>382.31639290489386</v>
      </c>
      <c r="E1225" s="83">
        <v>382.32584799065876</v>
      </c>
      <c r="F1225" s="83">
        <v>2405264.2742126822</v>
      </c>
      <c r="G1225" s="83" t="s">
        <v>1006</v>
      </c>
      <c r="H1225" s="84">
        <f t="shared" si="33"/>
        <v>1.9042437431990855E-3</v>
      </c>
      <c r="J1225" s="83">
        <v>135.73367061318132</v>
      </c>
      <c r="K1225" s="83">
        <v>136.34106016239679</v>
      </c>
      <c r="L1225" s="83">
        <v>135.3335490197947</v>
      </c>
      <c r="M1225" s="83">
        <v>135.57471547583344</v>
      </c>
      <c r="N1225" s="83">
        <v>19397964.214594144</v>
      </c>
      <c r="O1225" s="83" t="s">
        <v>1006</v>
      </c>
      <c r="P1225" s="84">
        <f t="shared" si="34"/>
        <v>1.1724541467041938E-3</v>
      </c>
    </row>
    <row r="1226" spans="2:16" ht="15" customHeight="1">
      <c r="B1226" s="83">
        <v>381.40870467146067</v>
      </c>
      <c r="C1226" s="83">
        <v>382.70405142125588</v>
      </c>
      <c r="D1226" s="83">
        <v>380.13226809319531</v>
      </c>
      <c r="E1226" s="83">
        <v>382.14620136112512</v>
      </c>
      <c r="F1226" s="83">
        <v>3980640.7827209844</v>
      </c>
      <c r="G1226" s="83" t="s">
        <v>1005</v>
      </c>
      <c r="H1226" s="84">
        <f t="shared" si="33"/>
        <v>-1.9298809906722614E-3</v>
      </c>
      <c r="J1226" s="83">
        <v>135.57561015765717</v>
      </c>
      <c r="K1226" s="83">
        <v>138.85064267793595</v>
      </c>
      <c r="L1226" s="83">
        <v>135.5442962938269</v>
      </c>
      <c r="M1226" s="83">
        <v>137.74322539835163</v>
      </c>
      <c r="N1226" s="83">
        <v>55013418.95519954</v>
      </c>
      <c r="O1226" s="83" t="s">
        <v>1005</v>
      </c>
      <c r="P1226" s="84">
        <f t="shared" si="34"/>
        <v>-1.573663775060985E-2</v>
      </c>
    </row>
    <row r="1227" spans="2:16" ht="15" customHeight="1">
      <c r="B1227" s="83">
        <v>381.61671655828911</v>
      </c>
      <c r="C1227" s="83">
        <v>382.41094376254313</v>
      </c>
      <c r="D1227" s="83">
        <v>378.95983745834411</v>
      </c>
      <c r="E1227" s="83">
        <v>382.41094376254313</v>
      </c>
      <c r="F1227" s="83">
        <v>3835052.4682176975</v>
      </c>
      <c r="G1227" s="83" t="s">
        <v>1004</v>
      </c>
      <c r="H1227" s="84">
        <f t="shared" si="33"/>
        <v>-2.076894548151853E-3</v>
      </c>
      <c r="J1227" s="83">
        <v>135.98815788748436</v>
      </c>
      <c r="K1227" s="83">
        <v>139.18366313454345</v>
      </c>
      <c r="L1227" s="83">
        <v>134.30168264976908</v>
      </c>
      <c r="M1227" s="83">
        <v>139.18366313454345</v>
      </c>
      <c r="N1227" s="83">
        <v>42413686.065680832</v>
      </c>
      <c r="O1227" s="83" t="s">
        <v>1004</v>
      </c>
      <c r="P1227" s="84">
        <f t="shared" si="34"/>
        <v>-2.2958910371328023E-2</v>
      </c>
    </row>
    <row r="1228" spans="2:16" ht="15" customHeight="1">
      <c r="B1228" s="83">
        <v>383.31863199597632</v>
      </c>
      <c r="C1228" s="83">
        <v>383.32808708174122</v>
      </c>
      <c r="D1228" s="83">
        <v>381.8152733593526</v>
      </c>
      <c r="E1228" s="83">
        <v>381.90982421700193</v>
      </c>
      <c r="F1228" s="83">
        <v>2511168.1258429</v>
      </c>
      <c r="G1228" s="83" t="s">
        <v>1003</v>
      </c>
      <c r="H1228" s="84">
        <f t="shared" si="33"/>
        <v>3.6888492770845716E-3</v>
      </c>
      <c r="J1228" s="83">
        <v>138.81932881410569</v>
      </c>
      <c r="K1228" s="83">
        <v>138.88742404180007</v>
      </c>
      <c r="L1228" s="83">
        <v>136.83761354501686</v>
      </c>
      <c r="M1228" s="83">
        <v>137.4330690327948</v>
      </c>
      <c r="N1228" s="83">
        <v>23189488.65385161</v>
      </c>
      <c r="O1228" s="83" t="s">
        <v>1003</v>
      </c>
      <c r="P1228" s="84">
        <f t="shared" si="34"/>
        <v>1.0086799276672442E-2</v>
      </c>
    </row>
    <row r="1229" spans="2:16" ht="15" customHeight="1">
      <c r="B1229" s="83">
        <v>382.34475816218861</v>
      </c>
      <c r="C1229" s="83">
        <v>382.69459633549098</v>
      </c>
      <c r="D1229" s="83">
        <v>379.69733414800857</v>
      </c>
      <c r="E1229" s="83">
        <v>380.25518420813938</v>
      </c>
      <c r="F1229" s="83">
        <v>3333601.7021562718</v>
      </c>
      <c r="G1229" s="83" t="s">
        <v>1002</v>
      </c>
      <c r="H1229" s="84">
        <f t="shared" si="33"/>
        <v>5.495188601835066E-3</v>
      </c>
      <c r="J1229" s="83">
        <v>137.00163357557793</v>
      </c>
      <c r="K1229" s="83">
        <v>137.98826880895984</v>
      </c>
      <c r="L1229" s="83">
        <v>133.90454332912822</v>
      </c>
      <c r="M1229" s="83">
        <v>134.46073719620847</v>
      </c>
      <c r="N1229" s="83">
        <v>26534534.815123755</v>
      </c>
      <c r="O1229" s="83" t="s">
        <v>1002</v>
      </c>
      <c r="P1229" s="84">
        <f t="shared" si="34"/>
        <v>1.8896939228153498E-2</v>
      </c>
    </row>
    <row r="1230" spans="2:16" ht="15" customHeight="1">
      <c r="B1230" s="83">
        <v>378.56272385621713</v>
      </c>
      <c r="C1230" s="83">
        <v>378.73291539998581</v>
      </c>
      <c r="D1230" s="83">
        <v>376.9742694477091</v>
      </c>
      <c r="E1230" s="83">
        <v>377.92923310996684</v>
      </c>
      <c r="F1230" s="83">
        <v>2724194.2210128764</v>
      </c>
      <c r="G1230" s="83" t="s">
        <v>1001</v>
      </c>
      <c r="H1230" s="84">
        <f t="shared" si="33"/>
        <v>1.6762152560607646E-3</v>
      </c>
      <c r="J1230" s="83">
        <v>132.54065059341036</v>
      </c>
      <c r="K1230" s="83">
        <v>132.71561059449368</v>
      </c>
      <c r="L1230" s="83">
        <v>131.61763717860421</v>
      </c>
      <c r="M1230" s="83">
        <v>131.86615990741578</v>
      </c>
      <c r="N1230" s="83">
        <v>13689029.636317523</v>
      </c>
      <c r="O1230" s="83" t="s">
        <v>1001</v>
      </c>
      <c r="P1230" s="84">
        <f t="shared" si="34"/>
        <v>5.1149641914813859E-3</v>
      </c>
    </row>
    <row r="1231" spans="2:16" ht="15" customHeight="1">
      <c r="B1231" s="83">
        <v>377.75904156619816</v>
      </c>
      <c r="C1231" s="83">
        <v>377.84413733808253</v>
      </c>
      <c r="D1231" s="83">
        <v>375.62219218332427</v>
      </c>
      <c r="E1231" s="83">
        <v>375.82074898438782</v>
      </c>
      <c r="F1231" s="83">
        <v>3169300.7070492529</v>
      </c>
      <c r="G1231" s="83" t="s">
        <v>1000</v>
      </c>
      <c r="H1231" s="84">
        <f t="shared" si="33"/>
        <v>5.1574922008652546E-3</v>
      </c>
      <c r="J1231" s="83">
        <v>131.81695240711107</v>
      </c>
      <c r="K1231" s="83">
        <v>131.83360342994143</v>
      </c>
      <c r="L1231" s="83">
        <v>129.82976466753382</v>
      </c>
      <c r="M1231" s="83">
        <v>130.01416853231197</v>
      </c>
      <c r="N1231" s="83">
        <v>14829267.397890076</v>
      </c>
      <c r="O1231" s="83" t="s">
        <v>1000</v>
      </c>
      <c r="P1231" s="84">
        <f t="shared" si="34"/>
        <v>1.3866057024016332E-2</v>
      </c>
    </row>
    <row r="1232" spans="2:16" ht="15" customHeight="1">
      <c r="B1232" s="83">
        <v>374.61049800647692</v>
      </c>
      <c r="C1232" s="83">
        <v>375.83965915591762</v>
      </c>
      <c r="D1232" s="83">
        <v>368.75779991798601</v>
      </c>
      <c r="E1232" s="83">
        <v>370.02005386760402</v>
      </c>
      <c r="F1232" s="83">
        <v>4276086.0139384139</v>
      </c>
      <c r="G1232" s="83" t="s">
        <v>999</v>
      </c>
      <c r="H1232" s="84">
        <f t="shared" si="33"/>
        <v>1.2405933383587309E-2</v>
      </c>
      <c r="J1232" s="83">
        <v>130.32681012515695</v>
      </c>
      <c r="K1232" s="83">
        <v>131.22134780569584</v>
      </c>
      <c r="L1232" s="83">
        <v>128.42498994292643</v>
      </c>
      <c r="M1232" s="83">
        <v>129.23579534567418</v>
      </c>
      <c r="N1232" s="83">
        <v>19196554.064949632</v>
      </c>
      <c r="O1232" s="83" t="s">
        <v>999</v>
      </c>
      <c r="P1232" s="84">
        <f t="shared" si="34"/>
        <v>8.442047936986663E-3</v>
      </c>
    </row>
    <row r="1233" spans="2:16" ht="15" customHeight="1">
      <c r="B1233" s="83">
        <v>369.39129066423624</v>
      </c>
      <c r="C1233" s="83">
        <v>370.88519421509494</v>
      </c>
      <c r="D1233" s="83">
        <v>366.79114207888085</v>
      </c>
      <c r="E1233" s="83">
        <v>370.43135009837835</v>
      </c>
      <c r="F1233" s="83">
        <v>13047164.570159737</v>
      </c>
      <c r="G1233" s="83" t="s">
        <v>998</v>
      </c>
      <c r="H1233" s="84">
        <f t="shared" si="33"/>
        <v>-2.8076981979681115E-3</v>
      </c>
      <c r="J1233" s="83">
        <v>128.49022715923948</v>
      </c>
      <c r="K1233" s="83">
        <v>130.47145035332528</v>
      </c>
      <c r="L1233" s="83">
        <v>127.77746397300791</v>
      </c>
      <c r="M1233" s="83">
        <v>130.38049103458025</v>
      </c>
      <c r="N1233" s="83">
        <v>25862141.586548258</v>
      </c>
      <c r="O1233" s="83" t="s">
        <v>998</v>
      </c>
      <c r="P1233" s="84">
        <f t="shared" si="34"/>
        <v>-1.4498057649126483E-2</v>
      </c>
    </row>
    <row r="1234" spans="2:16" ht="15" customHeight="1">
      <c r="B1234" s="83">
        <v>374.998156522839</v>
      </c>
      <c r="C1234" s="83">
        <v>379.03547814446353</v>
      </c>
      <c r="D1234" s="83">
        <v>374.5537674918873</v>
      </c>
      <c r="E1234" s="83">
        <v>378.99765780140382</v>
      </c>
      <c r="F1234" s="83">
        <v>4776849.3192869909</v>
      </c>
      <c r="G1234" s="83" t="s">
        <v>997</v>
      </c>
      <c r="H1234" s="84">
        <f t="shared" si="33"/>
        <v>-1.0552839038020068E-2</v>
      </c>
      <c r="J1234" s="83">
        <v>131.06641376610014</v>
      </c>
      <c r="K1234" s="83">
        <v>131.40191944999575</v>
      </c>
      <c r="L1234" s="83">
        <v>130.04846466888799</v>
      </c>
      <c r="M1234" s="83">
        <v>130.86312217393231</v>
      </c>
      <c r="N1234" s="83">
        <v>14949517.968704706</v>
      </c>
      <c r="O1234" s="83" t="s">
        <v>997</v>
      </c>
      <c r="P1234" s="84">
        <f t="shared" si="34"/>
        <v>1.5534673847810154E-3</v>
      </c>
    </row>
    <row r="1235" spans="2:16" ht="15" customHeight="1">
      <c r="B1235" s="83">
        <v>377.93868819573186</v>
      </c>
      <c r="C1235" s="83">
        <v>378.56272385621713</v>
      </c>
      <c r="D1235" s="83">
        <v>376.12803927174798</v>
      </c>
      <c r="E1235" s="83">
        <v>377.95759836726171</v>
      </c>
      <c r="F1235" s="83">
        <v>4742310.2354416251</v>
      </c>
      <c r="G1235" s="83" t="s">
        <v>996</v>
      </c>
      <c r="H1235" s="84">
        <f t="shared" si="33"/>
        <v>-5.0032521138776431E-5</v>
      </c>
      <c r="J1235" s="83">
        <v>130.49083512617256</v>
      </c>
      <c r="K1235" s="83">
        <v>131.81148490707722</v>
      </c>
      <c r="L1235" s="83">
        <v>129.82628534933045</v>
      </c>
      <c r="M1235" s="83">
        <v>131.71704627012883</v>
      </c>
      <c r="N1235" s="83">
        <v>16684912.56244028</v>
      </c>
      <c r="O1235" s="83" t="s">
        <v>996</v>
      </c>
      <c r="P1235" s="84">
        <f t="shared" si="34"/>
        <v>-9.3094339622643574E-3</v>
      </c>
    </row>
    <row r="1236" spans="2:16" ht="15" customHeight="1">
      <c r="B1236" s="83">
        <v>379.1583942594076</v>
      </c>
      <c r="C1236" s="83">
        <v>380.63338763873651</v>
      </c>
      <c r="D1236" s="83">
        <v>378.03323905338112</v>
      </c>
      <c r="E1236" s="83">
        <v>380.15117826472516</v>
      </c>
      <c r="F1236" s="83">
        <v>3524252.5375708337</v>
      </c>
      <c r="G1236" s="83" t="s">
        <v>995</v>
      </c>
      <c r="H1236" s="84">
        <f t="shared" si="33"/>
        <v>-2.6115505148486262E-3</v>
      </c>
      <c r="J1236" s="83">
        <v>131.30201331301353</v>
      </c>
      <c r="K1236" s="83">
        <v>132.2101103936364</v>
      </c>
      <c r="L1236" s="83">
        <v>131.11860353915057</v>
      </c>
      <c r="M1236" s="83">
        <v>131.12208285735394</v>
      </c>
      <c r="N1236" s="83">
        <v>18025051.557342958</v>
      </c>
      <c r="O1236" s="83" t="s">
        <v>995</v>
      </c>
      <c r="P1236" s="84">
        <f t="shared" si="34"/>
        <v>1.372236100423585E-3</v>
      </c>
    </row>
    <row r="1237" spans="2:16" ht="15" customHeight="1">
      <c r="B1237" s="83">
        <v>378.63836454233655</v>
      </c>
      <c r="C1237" s="83">
        <v>380.56720203838199</v>
      </c>
      <c r="D1237" s="83">
        <v>378.37362214091854</v>
      </c>
      <c r="E1237" s="83">
        <v>379.22457985976212</v>
      </c>
      <c r="F1237" s="83">
        <v>4561663.5398468049</v>
      </c>
      <c r="G1237" s="83" t="s">
        <v>994</v>
      </c>
      <c r="H1237" s="84">
        <f t="shared" si="33"/>
        <v>-1.5458262690735136E-3</v>
      </c>
      <c r="J1237" s="83">
        <v>130.22044239722558</v>
      </c>
      <c r="K1237" s="83">
        <v>131.26174766049147</v>
      </c>
      <c r="L1237" s="83">
        <v>129.86505489502505</v>
      </c>
      <c r="M1237" s="83">
        <v>130.10811012380276</v>
      </c>
      <c r="N1237" s="83">
        <v>16716740.637231771</v>
      </c>
      <c r="O1237" s="83" t="s">
        <v>994</v>
      </c>
      <c r="P1237" s="84">
        <f t="shared" si="34"/>
        <v>8.6337641301481582E-4</v>
      </c>
    </row>
    <row r="1238" spans="2:16" ht="15" customHeight="1">
      <c r="B1238" s="83">
        <v>379.92425620636686</v>
      </c>
      <c r="C1238" s="83">
        <v>380.12281300743035</v>
      </c>
      <c r="D1238" s="83">
        <v>378.08051448220573</v>
      </c>
      <c r="E1238" s="83">
        <v>378.48708317009772</v>
      </c>
      <c r="F1238" s="83">
        <v>3097976.1292753057</v>
      </c>
      <c r="G1238" s="83" t="s">
        <v>993</v>
      </c>
      <c r="H1238" s="84">
        <f t="shared" si="33"/>
        <v>3.7971521358979299E-3</v>
      </c>
      <c r="J1238" s="83">
        <v>129.79248625821208</v>
      </c>
      <c r="K1238" s="83">
        <v>129.9972689867528</v>
      </c>
      <c r="L1238" s="83">
        <v>128.8341826159147</v>
      </c>
      <c r="M1238" s="83">
        <v>129.06630284462469</v>
      </c>
      <c r="N1238" s="83">
        <v>17051679.821257528</v>
      </c>
      <c r="O1238" s="83" t="s">
        <v>993</v>
      </c>
      <c r="P1238" s="84">
        <f t="shared" si="34"/>
        <v>5.6264369365379707E-3</v>
      </c>
    </row>
    <row r="1239" spans="2:16" ht="15" customHeight="1">
      <c r="B1239" s="83">
        <v>378.55326877045218</v>
      </c>
      <c r="C1239" s="83">
        <v>378.81801117187018</v>
      </c>
      <c r="D1239" s="83">
        <v>375.7640184697982</v>
      </c>
      <c r="E1239" s="83">
        <v>375.96257527086169</v>
      </c>
      <c r="F1239" s="83">
        <v>3524207.0594005994</v>
      </c>
      <c r="G1239" s="83" t="s">
        <v>992</v>
      </c>
      <c r="H1239" s="84">
        <f t="shared" si="33"/>
        <v>6.8908281568291763E-3</v>
      </c>
      <c r="J1239" s="83">
        <v>128.80883329757589</v>
      </c>
      <c r="K1239" s="83">
        <v>129.08220829926861</v>
      </c>
      <c r="L1239" s="83">
        <v>128.18156193005552</v>
      </c>
      <c r="M1239" s="83">
        <v>128.18255602097076</v>
      </c>
      <c r="N1239" s="83">
        <v>15199132.964872869</v>
      </c>
      <c r="O1239" s="83" t="s">
        <v>992</v>
      </c>
      <c r="P1239" s="84">
        <f t="shared" si="34"/>
        <v>4.8858229703476752E-3</v>
      </c>
    </row>
    <row r="1240" spans="2:16" ht="15" customHeight="1">
      <c r="B1240" s="83">
        <v>374.60104292071196</v>
      </c>
      <c r="C1240" s="83">
        <v>375.25344383849205</v>
      </c>
      <c r="D1240" s="83">
        <v>371.60378073322954</v>
      </c>
      <c r="E1240" s="83">
        <v>372.71948085349112</v>
      </c>
      <c r="F1240" s="83">
        <v>6152355.6154055027</v>
      </c>
      <c r="G1240" s="83" t="s">
        <v>991</v>
      </c>
      <c r="H1240" s="84">
        <f t="shared" si="33"/>
        <v>5.048198883815358E-3</v>
      </c>
      <c r="J1240" s="83">
        <v>128.41368215876551</v>
      </c>
      <c r="K1240" s="83">
        <v>129.26412693675869</v>
      </c>
      <c r="L1240" s="83">
        <v>127.28340078813054</v>
      </c>
      <c r="M1240" s="83">
        <v>127.49215988033224</v>
      </c>
      <c r="N1240" s="83">
        <v>19897073.49362532</v>
      </c>
      <c r="O1240" s="83" t="s">
        <v>991</v>
      </c>
      <c r="P1240" s="84">
        <f t="shared" si="34"/>
        <v>7.2280701754385834E-3</v>
      </c>
    </row>
    <row r="1241" spans="2:16" ht="15" customHeight="1">
      <c r="B1241" s="83">
        <v>377.60776019395934</v>
      </c>
      <c r="C1241" s="83">
        <v>377.8819576811423</v>
      </c>
      <c r="D1241" s="83">
        <v>375.06434212319351</v>
      </c>
      <c r="E1241" s="83">
        <v>376.9459041904143</v>
      </c>
      <c r="F1241" s="83">
        <v>5021456.3019733541</v>
      </c>
      <c r="G1241" s="83" t="s">
        <v>990</v>
      </c>
      <c r="H1241" s="84">
        <f t="shared" si="33"/>
        <v>1.7558381618882901E-3</v>
      </c>
      <c r="J1241" s="83">
        <v>129.30886102794477</v>
      </c>
      <c r="K1241" s="83">
        <v>129.867952670043</v>
      </c>
      <c r="L1241" s="83">
        <v>128.99323716235406</v>
      </c>
      <c r="M1241" s="83">
        <v>129.57080398411216</v>
      </c>
      <c r="N1241" s="83">
        <v>16782891.528454542</v>
      </c>
      <c r="O1241" s="83" t="s">
        <v>990</v>
      </c>
      <c r="P1241" s="84">
        <f t="shared" si="34"/>
        <v>-2.0216202115987958E-3</v>
      </c>
    </row>
    <row r="1242" spans="2:16" ht="15" customHeight="1">
      <c r="B1242" s="83">
        <v>376.31241344416406</v>
      </c>
      <c r="C1242" s="83">
        <v>377.24846693489201</v>
      </c>
      <c r="D1242" s="83">
        <v>373.75954028763334</v>
      </c>
      <c r="E1242" s="83">
        <v>377.04045504806356</v>
      </c>
      <c r="F1242" s="83">
        <v>4580969.5519273179</v>
      </c>
      <c r="G1242" s="83" t="s">
        <v>989</v>
      </c>
      <c r="H1242" s="84">
        <f t="shared" si="33"/>
        <v>-1.9309376332221628E-3</v>
      </c>
      <c r="J1242" s="83">
        <v>129.00417216242181</v>
      </c>
      <c r="K1242" s="83">
        <v>129.11700148130225</v>
      </c>
      <c r="L1242" s="83">
        <v>127.65022033585639</v>
      </c>
      <c r="M1242" s="83">
        <v>128.6845719331701</v>
      </c>
      <c r="N1242" s="83">
        <v>21477250.895820845</v>
      </c>
      <c r="O1242" s="83" t="s">
        <v>989</v>
      </c>
      <c r="P1242" s="84">
        <f t="shared" si="34"/>
        <v>2.4835939883895986E-3</v>
      </c>
    </row>
    <row r="1243" spans="2:16" ht="15" customHeight="1">
      <c r="B1243" s="83">
        <v>377.02154487653371</v>
      </c>
      <c r="C1243" s="83">
        <v>377.30519744948162</v>
      </c>
      <c r="D1243" s="83">
        <v>374.91778829383708</v>
      </c>
      <c r="E1243" s="83">
        <v>375.22507858119729</v>
      </c>
      <c r="F1243" s="83">
        <v>4614565.2281482834</v>
      </c>
      <c r="G1243" s="83" t="s">
        <v>988</v>
      </c>
      <c r="H1243" s="84">
        <f t="shared" si="33"/>
        <v>4.7877031624037336E-3</v>
      </c>
      <c r="J1243" s="83">
        <v>127.95838851958274</v>
      </c>
      <c r="K1243" s="83">
        <v>128.08662624764949</v>
      </c>
      <c r="L1243" s="83">
        <v>126.01991123485254</v>
      </c>
      <c r="M1243" s="83">
        <v>126.0899946443774</v>
      </c>
      <c r="N1243" s="83">
        <v>21290929.909320213</v>
      </c>
      <c r="O1243" s="83" t="s">
        <v>988</v>
      </c>
      <c r="P1243" s="84">
        <f t="shared" si="34"/>
        <v>1.4817939206635211E-2</v>
      </c>
    </row>
    <row r="1244" spans="2:16" ht="15" customHeight="1">
      <c r="B1244" s="83">
        <v>374.17556406129017</v>
      </c>
      <c r="C1244" s="83">
        <v>374.2795700047044</v>
      </c>
      <c r="D1244" s="83">
        <v>372.72534300666541</v>
      </c>
      <c r="E1244" s="83">
        <v>372.81403171114044</v>
      </c>
      <c r="F1244" s="83">
        <v>3611299.8706635549</v>
      </c>
      <c r="G1244" s="83" t="s">
        <v>987</v>
      </c>
      <c r="H1244" s="84">
        <f t="shared" si="33"/>
        <v>3.6520415926959426E-3</v>
      </c>
      <c r="J1244" s="83">
        <v>125.62177782329641</v>
      </c>
      <c r="K1244" s="83">
        <v>125.71522236932955</v>
      </c>
      <c r="L1244" s="83">
        <v>124.11200224576615</v>
      </c>
      <c r="M1244" s="83">
        <v>124.11200224576615</v>
      </c>
      <c r="N1244" s="83">
        <v>17226392.211579472</v>
      </c>
      <c r="O1244" s="83" t="s">
        <v>987</v>
      </c>
      <c r="P1244" s="84">
        <f t="shared" si="34"/>
        <v>1.2164621875494497E-2</v>
      </c>
    </row>
    <row r="1245" spans="2:16" ht="15" customHeight="1">
      <c r="B1245" s="83">
        <v>372.07653502147599</v>
      </c>
      <c r="C1245" s="83">
        <v>372.65424076171314</v>
      </c>
      <c r="D1245" s="83">
        <v>371.32012816028174</v>
      </c>
      <c r="E1245" s="83">
        <v>371.32012816028174</v>
      </c>
      <c r="F1245" s="83">
        <v>4014691.2406442952</v>
      </c>
      <c r="G1245" s="83" t="s">
        <v>986</v>
      </c>
      <c r="H1245" s="84">
        <f t="shared" si="33"/>
        <v>2.0370747606435202E-3</v>
      </c>
      <c r="J1245" s="83">
        <v>124.57549713499974</v>
      </c>
      <c r="K1245" s="83">
        <v>125.05663713797891</v>
      </c>
      <c r="L1245" s="83">
        <v>124.0202973588347</v>
      </c>
      <c r="M1245" s="83">
        <v>124.91106743480483</v>
      </c>
      <c r="N1245" s="83">
        <v>24152277.856852133</v>
      </c>
      <c r="O1245" s="83" t="s">
        <v>986</v>
      </c>
      <c r="P1245" s="84">
        <f t="shared" si="34"/>
        <v>-2.6864737184336684E-3</v>
      </c>
    </row>
    <row r="1246" spans="2:16" ht="15" customHeight="1">
      <c r="B1246" s="83">
        <v>371.73615193393857</v>
      </c>
      <c r="C1246" s="83">
        <v>372.47364862360303</v>
      </c>
      <c r="D1246" s="83">
        <v>371.26339764569212</v>
      </c>
      <c r="E1246" s="83">
        <v>371.91579856347221</v>
      </c>
      <c r="F1246" s="83">
        <v>3096350.5490973862</v>
      </c>
      <c r="G1246" s="83" t="s">
        <v>985</v>
      </c>
      <c r="H1246" s="84">
        <f t="shared" si="33"/>
        <v>-4.8303038006858312E-4</v>
      </c>
      <c r="J1246" s="83">
        <v>125.27384600296021</v>
      </c>
      <c r="K1246" s="83">
        <v>126.24954623627443</v>
      </c>
      <c r="L1246" s="83">
        <v>124.69578213574451</v>
      </c>
      <c r="M1246" s="83">
        <v>126.02339055305589</v>
      </c>
      <c r="N1246" s="83">
        <v>21074088.575500555</v>
      </c>
      <c r="O1246" s="83" t="s">
        <v>985</v>
      </c>
      <c r="P1246" s="84">
        <f t="shared" si="34"/>
        <v>-5.9476621507030814E-3</v>
      </c>
    </row>
    <row r="1247" spans="2:16" ht="15" customHeight="1">
      <c r="B1247" s="83">
        <v>371.57267350106287</v>
      </c>
      <c r="C1247" s="83">
        <v>371.69517412886552</v>
      </c>
      <c r="D1247" s="83">
        <v>370.16862784394027</v>
      </c>
      <c r="E1247" s="83">
        <v>371.29940286981082</v>
      </c>
      <c r="F1247" s="83">
        <v>2566528.561033356</v>
      </c>
      <c r="G1247" s="83" t="s">
        <v>984</v>
      </c>
      <c r="H1247" s="84">
        <f t="shared" si="33"/>
        <v>7.3598456970280779E-4</v>
      </c>
      <c r="J1247" s="83">
        <v>126.07011282607246</v>
      </c>
      <c r="K1247" s="83">
        <v>126.5845548747124</v>
      </c>
      <c r="L1247" s="83">
        <v>125.22939025723042</v>
      </c>
      <c r="M1247" s="83">
        <v>126.24954623627443</v>
      </c>
      <c r="N1247" s="83">
        <v>28277956.843651876</v>
      </c>
      <c r="O1247" s="83" t="s">
        <v>984</v>
      </c>
      <c r="P1247" s="84">
        <f t="shared" si="34"/>
        <v>-1.4212598425198397E-3</v>
      </c>
    </row>
    <row r="1248" spans="2:16" ht="15" customHeight="1">
      <c r="B1248" s="83">
        <v>370.79997723338471</v>
      </c>
      <c r="C1248" s="83">
        <v>371.19574849243941</v>
      </c>
      <c r="D1248" s="83">
        <v>369.89535721268828</v>
      </c>
      <c r="E1248" s="83">
        <v>370.23458972044938</v>
      </c>
      <c r="F1248" s="83">
        <v>3038340.1838530805</v>
      </c>
      <c r="G1248" s="83" t="s">
        <v>983</v>
      </c>
      <c r="H1248" s="84">
        <f t="shared" si="33"/>
        <v>1.5271061338764103E-3</v>
      </c>
      <c r="J1248" s="83">
        <v>126.24457578169819</v>
      </c>
      <c r="K1248" s="83">
        <v>126.75156214847378</v>
      </c>
      <c r="L1248" s="83">
        <v>125.69683168739751</v>
      </c>
      <c r="M1248" s="83">
        <v>126.20680032691882</v>
      </c>
      <c r="N1248" s="83">
        <v>33684987.445745736</v>
      </c>
      <c r="O1248" s="83" t="s">
        <v>983</v>
      </c>
      <c r="P1248" s="84">
        <f t="shared" si="34"/>
        <v>2.9931394094062647E-4</v>
      </c>
    </row>
    <row r="1249" spans="2:16" ht="15" customHeight="1">
      <c r="B1249" s="83">
        <v>369.43362407712442</v>
      </c>
      <c r="C1249" s="83">
        <v>369.87509749347475</v>
      </c>
      <c r="D1249" s="83">
        <v>369.07554531893209</v>
      </c>
      <c r="E1249" s="83">
        <v>369.28285407367503</v>
      </c>
      <c r="F1249" s="83">
        <v>3170731.5053582103</v>
      </c>
      <c r="G1249" s="83" t="s">
        <v>982</v>
      </c>
      <c r="H1249" s="84">
        <f t="shared" si="33"/>
        <v>4.0827783306540688E-4</v>
      </c>
      <c r="J1249" s="83">
        <v>126.52987987437386</v>
      </c>
      <c r="K1249" s="83">
        <v>126.78188192138879</v>
      </c>
      <c r="L1249" s="83">
        <v>126.20978259966456</v>
      </c>
      <c r="M1249" s="83">
        <v>126.3027301002401</v>
      </c>
      <c r="N1249" s="83">
        <v>19045783.146815978</v>
      </c>
      <c r="O1249" s="83" t="s">
        <v>982</v>
      </c>
      <c r="P1249" s="84">
        <f t="shared" si="34"/>
        <v>1.7984549815628359E-3</v>
      </c>
    </row>
    <row r="1250" spans="2:16" ht="15" customHeight="1">
      <c r="B1250" s="83">
        <v>367.33226715404834</v>
      </c>
      <c r="C1250" s="83">
        <v>368.57611968250592</v>
      </c>
      <c r="D1250" s="83">
        <v>367.21918965146125</v>
      </c>
      <c r="E1250" s="83">
        <v>367.83169279047451</v>
      </c>
      <c r="F1250" s="83">
        <v>2551335.0878782752</v>
      </c>
      <c r="G1250" s="83" t="s">
        <v>981</v>
      </c>
      <c r="H1250" s="84">
        <f t="shared" si="33"/>
        <v>-1.3577558601255424E-3</v>
      </c>
      <c r="J1250" s="83">
        <v>125.71422827841431</v>
      </c>
      <c r="K1250" s="83">
        <v>127.04084260481045</v>
      </c>
      <c r="L1250" s="83">
        <v>125.50596623167021</v>
      </c>
      <c r="M1250" s="83">
        <v>125.80220532441361</v>
      </c>
      <c r="N1250" s="83">
        <v>19810220.270569146</v>
      </c>
      <c r="O1250" s="83" t="s">
        <v>981</v>
      </c>
      <c r="P1250" s="84">
        <f t="shared" si="34"/>
        <v>-6.9932832872388051E-4</v>
      </c>
    </row>
    <row r="1251" spans="2:16" ht="15" customHeight="1">
      <c r="B1251" s="83">
        <v>367.72803841310304</v>
      </c>
      <c r="C1251" s="83">
        <v>368.52900405642799</v>
      </c>
      <c r="D1251" s="83">
        <v>365.11783272838517</v>
      </c>
      <c r="E1251" s="83">
        <v>365.84341336998546</v>
      </c>
      <c r="F1251" s="83">
        <v>2871066.5921371863</v>
      </c>
      <c r="G1251" s="83" t="s">
        <v>980</v>
      </c>
      <c r="H1251" s="84">
        <f t="shared" si="33"/>
        <v>5.1514527096641061E-3</v>
      </c>
      <c r="J1251" s="83">
        <v>126.24904919081679</v>
      </c>
      <c r="K1251" s="83">
        <v>126.51795078339092</v>
      </c>
      <c r="L1251" s="83">
        <v>125.2817987302822</v>
      </c>
      <c r="M1251" s="83">
        <v>125.70279623288899</v>
      </c>
      <c r="N1251" s="83">
        <v>21110946.371340007</v>
      </c>
      <c r="O1251" s="83" t="s">
        <v>980</v>
      </c>
      <c r="P1251" s="84">
        <f t="shared" si="34"/>
        <v>4.3455911427441318E-3</v>
      </c>
    </row>
    <row r="1252" spans="2:16" ht="15" customHeight="1">
      <c r="B1252" s="83">
        <v>365.78687461869191</v>
      </c>
      <c r="C1252" s="83">
        <v>365.97533712300367</v>
      </c>
      <c r="D1252" s="83">
        <v>361.51819889603058</v>
      </c>
      <c r="E1252" s="83">
        <v>362.31916453935554</v>
      </c>
      <c r="F1252" s="83">
        <v>4658517.105066523</v>
      </c>
      <c r="G1252" s="83" t="s">
        <v>979</v>
      </c>
      <c r="H1252" s="84">
        <f t="shared" si="33"/>
        <v>9.5708712613784552E-3</v>
      </c>
      <c r="J1252" s="83">
        <v>125.70776668746521</v>
      </c>
      <c r="K1252" s="83">
        <v>126.28607410695514</v>
      </c>
      <c r="L1252" s="83">
        <v>124.39482111115372</v>
      </c>
      <c r="M1252" s="83">
        <v>124.99699168306415</v>
      </c>
      <c r="N1252" s="83">
        <v>26412594.258037012</v>
      </c>
      <c r="O1252" s="83" t="s">
        <v>979</v>
      </c>
      <c r="P1252" s="84">
        <f t="shared" si="34"/>
        <v>5.6863368856368002E-3</v>
      </c>
    </row>
    <row r="1253" spans="2:16" ht="15" customHeight="1">
      <c r="B1253" s="83">
        <v>360.73607950313675</v>
      </c>
      <c r="C1253" s="83">
        <v>363.1483995583273</v>
      </c>
      <c r="D1253" s="83">
        <v>360.45338574666914</v>
      </c>
      <c r="E1253" s="83">
        <v>362.59243517060764</v>
      </c>
      <c r="F1253" s="83">
        <v>5530129.2095531942</v>
      </c>
      <c r="G1253" s="83" t="s">
        <v>978</v>
      </c>
      <c r="H1253" s="84">
        <f t="shared" si="33"/>
        <v>-5.1196756672472477E-3</v>
      </c>
      <c r="J1253" s="83">
        <v>124.82551100018415</v>
      </c>
      <c r="K1253" s="83">
        <v>125.64215668705897</v>
      </c>
      <c r="L1253" s="83">
        <v>123.86671031242915</v>
      </c>
      <c r="M1253" s="83">
        <v>124.96269554648815</v>
      </c>
      <c r="N1253" s="83">
        <v>53623063.225354031</v>
      </c>
      <c r="O1253" s="83" t="s">
        <v>978</v>
      </c>
      <c r="P1253" s="84">
        <f t="shared" si="34"/>
        <v>-1.0978039942565188E-3</v>
      </c>
    </row>
    <row r="1254" spans="2:16" ht="15" customHeight="1">
      <c r="B1254" s="83">
        <v>365.58898898916459</v>
      </c>
      <c r="C1254" s="83">
        <v>366.47476275942984</v>
      </c>
      <c r="D1254" s="83">
        <v>363.26147706091433</v>
      </c>
      <c r="E1254" s="83">
        <v>365.259179606619</v>
      </c>
      <c r="F1254" s="83">
        <v>4314208.8288024077</v>
      </c>
      <c r="G1254" s="83" t="s">
        <v>977</v>
      </c>
      <c r="H1254" s="84">
        <f t="shared" si="33"/>
        <v>9.0294618440744934E-4</v>
      </c>
      <c r="J1254" s="83">
        <v>125.62426305058453</v>
      </c>
      <c r="K1254" s="83">
        <v>126.44488510112031</v>
      </c>
      <c r="L1254" s="83">
        <v>124.77332122713374</v>
      </c>
      <c r="M1254" s="83">
        <v>124.7812739544557</v>
      </c>
      <c r="N1254" s="83">
        <v>25908917.992294289</v>
      </c>
      <c r="O1254" s="83" t="s">
        <v>977</v>
      </c>
      <c r="P1254" s="84">
        <f t="shared" si="34"/>
        <v>6.755734008906833E-3</v>
      </c>
    </row>
    <row r="1255" spans="2:16" ht="15" customHeight="1">
      <c r="B1255" s="83">
        <v>365.7209127421828</v>
      </c>
      <c r="C1255" s="83">
        <v>368.04842467043301</v>
      </c>
      <c r="D1255" s="83">
        <v>363.75147957212488</v>
      </c>
      <c r="E1255" s="83">
        <v>367.89633542945347</v>
      </c>
      <c r="F1255" s="83">
        <v>4451088.0456747822</v>
      </c>
      <c r="G1255" s="83" t="s">
        <v>976</v>
      </c>
      <c r="H1255" s="84">
        <f t="shared" si="33"/>
        <v>-5.9131404087818806E-3</v>
      </c>
      <c r="J1255" s="83">
        <v>124.95374872825091</v>
      </c>
      <c r="K1255" s="83">
        <v>125.77586191515957</v>
      </c>
      <c r="L1255" s="83">
        <v>123.41635730509515</v>
      </c>
      <c r="M1255" s="83">
        <v>125.50149282255161</v>
      </c>
      <c r="N1255" s="83">
        <v>26473192.337222833</v>
      </c>
      <c r="O1255" s="83" t="s">
        <v>976</v>
      </c>
      <c r="P1255" s="84">
        <f t="shared" si="34"/>
        <v>-4.3644428602547247E-3</v>
      </c>
    </row>
    <row r="1256" spans="2:16" ht="15" customHeight="1">
      <c r="B1256" s="83">
        <v>367.7374615383186</v>
      </c>
      <c r="C1256" s="83">
        <v>368.63265843379946</v>
      </c>
      <c r="D1256" s="83">
        <v>366.94582478895705</v>
      </c>
      <c r="E1256" s="83">
        <v>368.58554280772148</v>
      </c>
      <c r="F1256" s="83">
        <v>2552273.2055194774</v>
      </c>
      <c r="G1256" s="83" t="s">
        <v>975</v>
      </c>
      <c r="H1256" s="84">
        <f t="shared" si="33"/>
        <v>-2.3009075802120638E-3</v>
      </c>
      <c r="J1256" s="83">
        <v>125.28826032123129</v>
      </c>
      <c r="K1256" s="83">
        <v>126.11236168997043</v>
      </c>
      <c r="L1256" s="83">
        <v>124.9060323643191</v>
      </c>
      <c r="M1256" s="83">
        <v>125.77437077878672</v>
      </c>
      <c r="N1256" s="83">
        <v>22314458.023695897</v>
      </c>
      <c r="O1256" s="83" t="s">
        <v>975</v>
      </c>
      <c r="P1256" s="84">
        <f t="shared" si="34"/>
        <v>-3.8649404846589075E-3</v>
      </c>
    </row>
    <row r="1257" spans="2:16" ht="15" customHeight="1">
      <c r="B1257" s="83">
        <v>368.51015780599681</v>
      </c>
      <c r="C1257" s="83">
        <v>368.51015780599681</v>
      </c>
      <c r="D1257" s="83">
        <v>366.55957088637012</v>
      </c>
      <c r="E1257" s="83">
        <v>367.69976903745624</v>
      </c>
      <c r="F1257" s="83">
        <v>2390082.8530585137</v>
      </c>
      <c r="G1257" s="83" t="s">
        <v>974</v>
      </c>
      <c r="H1257" s="84">
        <f t="shared" si="33"/>
        <v>2.2039414674150937E-3</v>
      </c>
      <c r="J1257" s="83">
        <v>125.60537532319485</v>
      </c>
      <c r="K1257" s="83">
        <v>125.664523732652</v>
      </c>
      <c r="L1257" s="83">
        <v>124.30808667879849</v>
      </c>
      <c r="M1257" s="83">
        <v>124.92690827353927</v>
      </c>
      <c r="N1257" s="83">
        <v>22684484.541752227</v>
      </c>
      <c r="O1257" s="83" t="s">
        <v>974</v>
      </c>
      <c r="P1257" s="84">
        <f t="shared" si="34"/>
        <v>5.430912035139901E-3</v>
      </c>
    </row>
    <row r="1258" spans="2:16" ht="15" customHeight="1">
      <c r="B1258" s="83">
        <v>367.5866915348692</v>
      </c>
      <c r="C1258" s="83">
        <v>367.69034591224067</v>
      </c>
      <c r="D1258" s="83">
        <v>366.30514650554926</v>
      </c>
      <c r="E1258" s="83">
        <v>367.50188340792891</v>
      </c>
      <c r="F1258" s="83">
        <v>2378722.5031161276</v>
      </c>
      <c r="G1258" s="83" t="s">
        <v>973</v>
      </c>
      <c r="H1258" s="84">
        <f t="shared" si="33"/>
        <v>2.3076923076925659E-4</v>
      </c>
      <c r="J1258" s="83">
        <v>124.95374872825091</v>
      </c>
      <c r="K1258" s="83">
        <v>125.60289009590672</v>
      </c>
      <c r="L1258" s="83">
        <v>124.17636963252835</v>
      </c>
      <c r="M1258" s="83">
        <v>125.50000168617875</v>
      </c>
      <c r="N1258" s="83">
        <v>25396248.585317813</v>
      </c>
      <c r="O1258" s="83" t="s">
        <v>973</v>
      </c>
      <c r="P1258" s="84">
        <f t="shared" si="34"/>
        <v>-4.3526131521000044E-3</v>
      </c>
    </row>
    <row r="1259" spans="2:16" ht="15" customHeight="1">
      <c r="B1259" s="83">
        <v>366.94591902020926</v>
      </c>
      <c r="C1259" s="83">
        <v>367.84083322193356</v>
      </c>
      <c r="D1259" s="83">
        <v>365.22148710575664</v>
      </c>
      <c r="E1259" s="83">
        <v>366.42764713335191</v>
      </c>
      <c r="F1259" s="83">
        <v>2771707.8360366938</v>
      </c>
      <c r="G1259" s="83" t="s">
        <v>972</v>
      </c>
      <c r="H1259" s="84">
        <f t="shared" si="33"/>
        <v>1.4143907833152891E-3</v>
      </c>
      <c r="J1259" s="83">
        <v>125.33498259424786</v>
      </c>
      <c r="K1259" s="83">
        <v>125.41749214021331</v>
      </c>
      <c r="L1259" s="83">
        <v>123.96313713120803</v>
      </c>
      <c r="M1259" s="83">
        <v>123.96363417666566</v>
      </c>
      <c r="N1259" s="83">
        <v>31420325.365575422</v>
      </c>
      <c r="O1259" s="83" t="s">
        <v>972</v>
      </c>
      <c r="P1259" s="84">
        <f t="shared" si="34"/>
        <v>1.1062505763810071E-2</v>
      </c>
    </row>
    <row r="1260" spans="2:16" ht="15" customHeight="1">
      <c r="B1260" s="83">
        <v>365.259179606619</v>
      </c>
      <c r="C1260" s="83">
        <v>366.68207151417278</v>
      </c>
      <c r="D1260" s="83">
        <v>365.06129397709168</v>
      </c>
      <c r="E1260" s="83">
        <v>366.63495588809479</v>
      </c>
      <c r="F1260" s="83">
        <v>3149792.5922602918</v>
      </c>
      <c r="G1260" s="83" t="s">
        <v>971</v>
      </c>
      <c r="H1260" s="84">
        <f t="shared" si="33"/>
        <v>-3.7524416572426444E-3</v>
      </c>
      <c r="J1260" s="83">
        <v>123.83390531222602</v>
      </c>
      <c r="K1260" s="83">
        <v>124.50988713459347</v>
      </c>
      <c r="L1260" s="83">
        <v>123.63160781097341</v>
      </c>
      <c r="M1260" s="83">
        <v>124.23651213290076</v>
      </c>
      <c r="N1260" s="83">
        <v>20246377.560964052</v>
      </c>
      <c r="O1260" s="83" t="s">
        <v>971</v>
      </c>
      <c r="P1260" s="84">
        <f t="shared" si="34"/>
        <v>-3.2406481296258782E-3</v>
      </c>
    </row>
    <row r="1261" spans="2:16" ht="15" customHeight="1">
      <c r="B1261" s="83">
        <v>365.83399024476989</v>
      </c>
      <c r="C1261" s="83">
        <v>366.63495588809479</v>
      </c>
      <c r="D1261" s="83">
        <v>364.14725083117963</v>
      </c>
      <c r="E1261" s="83">
        <v>366.55957088637012</v>
      </c>
      <c r="F1261" s="83">
        <v>2532723.428159493</v>
      </c>
      <c r="G1261" s="83" t="s">
        <v>970</v>
      </c>
      <c r="H1261" s="84">
        <f t="shared" si="33"/>
        <v>-1.9794344473006431E-3</v>
      </c>
      <c r="J1261" s="83">
        <v>123.40893144595825</v>
      </c>
      <c r="K1261" s="83">
        <v>123.98774088136037</v>
      </c>
      <c r="L1261" s="83">
        <v>122.68274803237085</v>
      </c>
      <c r="M1261" s="83">
        <v>123.26230303595943</v>
      </c>
      <c r="N1261" s="83">
        <v>25214051.970076505</v>
      </c>
      <c r="O1261" s="83" t="s">
        <v>970</v>
      </c>
      <c r="P1261" s="84">
        <f t="shared" si="34"/>
        <v>1.1895640953263342E-3</v>
      </c>
    </row>
    <row r="1262" spans="2:16" ht="15" customHeight="1">
      <c r="B1262" s="83">
        <v>365.77745149347635</v>
      </c>
      <c r="C1262" s="83">
        <v>366.2674540046869</v>
      </c>
      <c r="D1262" s="83">
        <v>364.91052397364223</v>
      </c>
      <c r="E1262" s="83">
        <v>366.10726087602188</v>
      </c>
      <c r="F1262" s="83">
        <v>2653705.5836458849</v>
      </c>
      <c r="G1262" s="83" t="s">
        <v>969</v>
      </c>
      <c r="H1262" s="84">
        <f t="shared" si="33"/>
        <v>-9.0085452486343698E-4</v>
      </c>
      <c r="J1262" s="83">
        <v>122.57588325898189</v>
      </c>
      <c r="K1262" s="83">
        <v>122.67081894138791</v>
      </c>
      <c r="L1262" s="83">
        <v>121.33239978537324</v>
      </c>
      <c r="M1262" s="83">
        <v>121.84174711807253</v>
      </c>
      <c r="N1262" s="83">
        <v>23990823.81121261</v>
      </c>
      <c r="O1262" s="83" t="s">
        <v>969</v>
      </c>
      <c r="P1262" s="84">
        <f t="shared" si="34"/>
        <v>6.0253251309498879E-3</v>
      </c>
    </row>
    <row r="1263" spans="2:16" ht="15" customHeight="1">
      <c r="B1263" s="83">
        <v>366.0884146255907</v>
      </c>
      <c r="C1263" s="83">
        <v>366.37110838205837</v>
      </c>
      <c r="D1263" s="83">
        <v>364.44879083807842</v>
      </c>
      <c r="E1263" s="83">
        <v>364.49590646415635</v>
      </c>
      <c r="F1263" s="83">
        <v>2789035.4207036044</v>
      </c>
      <c r="G1263" s="83" t="s">
        <v>968</v>
      </c>
      <c r="H1263" s="84">
        <f t="shared" si="33"/>
        <v>4.3690700860887777E-3</v>
      </c>
      <c r="J1263" s="83">
        <v>121.86361711820796</v>
      </c>
      <c r="K1263" s="83">
        <v>121.96794695976304</v>
      </c>
      <c r="L1263" s="83">
        <v>120.17415960774693</v>
      </c>
      <c r="M1263" s="83">
        <v>120.41025620011791</v>
      </c>
      <c r="N1263" s="83">
        <v>26102924.392556205</v>
      </c>
      <c r="O1263" s="83" t="s">
        <v>968</v>
      </c>
      <c r="P1263" s="84">
        <f t="shared" si="34"/>
        <v>1.2070075788848111E-2</v>
      </c>
    </row>
    <row r="1264" spans="2:16" ht="15" customHeight="1">
      <c r="B1264" s="83">
        <v>362.79974392535053</v>
      </c>
      <c r="C1264" s="83">
        <v>363.83628769906522</v>
      </c>
      <c r="D1264" s="83">
        <v>360.62300200054972</v>
      </c>
      <c r="E1264" s="83">
        <v>362.00820140724119</v>
      </c>
      <c r="F1264" s="83">
        <v>3598546.0475369836</v>
      </c>
      <c r="G1264" s="83" t="s">
        <v>967</v>
      </c>
      <c r="H1264" s="84">
        <f t="shared" ref="H1264:H1327" si="35">B1264/E1264-1</f>
        <v>2.186532004060604E-3</v>
      </c>
      <c r="J1264" s="83">
        <v>119.5200477855149</v>
      </c>
      <c r="K1264" s="83">
        <v>119.77528062800437</v>
      </c>
      <c r="L1264" s="83">
        <v>118.43748277881173</v>
      </c>
      <c r="M1264" s="83">
        <v>119.04338119165432</v>
      </c>
      <c r="N1264" s="83">
        <v>18454871.399217434</v>
      </c>
      <c r="O1264" s="83" t="s">
        <v>967</v>
      </c>
      <c r="P1264" s="84">
        <f t="shared" ref="P1264:P1327" si="36">J1264/M1264-1</f>
        <v>4.0041419278336043E-3</v>
      </c>
    </row>
    <row r="1265" spans="2:16" ht="15" customHeight="1">
      <c r="B1265" s="83">
        <v>364.184943332042</v>
      </c>
      <c r="C1265" s="83">
        <v>364.90110084842667</v>
      </c>
      <c r="D1265" s="83">
        <v>363.23320768526759</v>
      </c>
      <c r="E1265" s="83">
        <v>364.1566739563952</v>
      </c>
      <c r="F1265" s="83">
        <v>3405654.6279267226</v>
      </c>
      <c r="G1265" s="83" t="s">
        <v>966</v>
      </c>
      <c r="H1265" s="84">
        <f t="shared" si="35"/>
        <v>7.7629706300985646E-5</v>
      </c>
      <c r="J1265" s="83">
        <v>120.34862256337266</v>
      </c>
      <c r="K1265" s="83">
        <v>121.37850075156777</v>
      </c>
      <c r="L1265" s="83">
        <v>119.49966892175235</v>
      </c>
      <c r="M1265" s="83">
        <v>121.04597734041789</v>
      </c>
      <c r="N1265" s="83">
        <v>17264115.11943917</v>
      </c>
      <c r="O1265" s="83" t="s">
        <v>966</v>
      </c>
      <c r="P1265" s="84">
        <f t="shared" si="36"/>
        <v>-5.7610735388922141E-3</v>
      </c>
    </row>
    <row r="1266" spans="2:16" ht="15" customHeight="1">
      <c r="B1266" s="83">
        <v>363.57244019302874</v>
      </c>
      <c r="C1266" s="83">
        <v>366.20149212817779</v>
      </c>
      <c r="D1266" s="83">
        <v>363.1483995583273</v>
      </c>
      <c r="E1266" s="83">
        <v>366.0884146255907</v>
      </c>
      <c r="F1266" s="83">
        <v>4657734.9866258381</v>
      </c>
      <c r="G1266" s="83" t="s">
        <v>965</v>
      </c>
      <c r="H1266" s="84">
        <f t="shared" si="35"/>
        <v>-6.87258687258685E-3</v>
      </c>
      <c r="J1266" s="83">
        <v>120.77260233872518</v>
      </c>
      <c r="K1266" s="83">
        <v>121.17823616623683</v>
      </c>
      <c r="L1266" s="83">
        <v>119.53346801287073</v>
      </c>
      <c r="M1266" s="83">
        <v>120.38440983632151</v>
      </c>
      <c r="N1266" s="83">
        <v>19279705.413314506</v>
      </c>
      <c r="O1266" s="83" t="s">
        <v>965</v>
      </c>
      <c r="P1266" s="84">
        <f t="shared" si="36"/>
        <v>3.2246077621800318E-3</v>
      </c>
    </row>
    <row r="1267" spans="2:16" ht="15" customHeight="1">
      <c r="B1267" s="83">
        <v>363.85513394949641</v>
      </c>
      <c r="C1267" s="83">
        <v>364.92937022407341</v>
      </c>
      <c r="D1267" s="83">
        <v>363.67609457040021</v>
      </c>
      <c r="E1267" s="83">
        <v>364.70321521889929</v>
      </c>
      <c r="F1267" s="83">
        <v>3577493.584000594</v>
      </c>
      <c r="G1267" s="83" t="s">
        <v>964</v>
      </c>
      <c r="H1267" s="84">
        <f t="shared" si="35"/>
        <v>-2.325401131695104E-3</v>
      </c>
      <c r="J1267" s="83">
        <v>119.86549437856297</v>
      </c>
      <c r="K1267" s="83">
        <v>120.68959574730211</v>
      </c>
      <c r="L1267" s="83">
        <v>119.67313778646282</v>
      </c>
      <c r="M1267" s="83">
        <v>120.38242165449103</v>
      </c>
      <c r="N1267" s="83">
        <v>24250940.864928916</v>
      </c>
      <c r="O1267" s="83" t="s">
        <v>964</v>
      </c>
      <c r="P1267" s="84">
        <f t="shared" si="36"/>
        <v>-4.2940428413351661E-3</v>
      </c>
    </row>
    <row r="1268" spans="2:16" ht="15" customHeight="1">
      <c r="B1268" s="83">
        <v>363.1483995583273</v>
      </c>
      <c r="C1268" s="83">
        <v>364.46763708850955</v>
      </c>
      <c r="D1268" s="83">
        <v>363.09186080703375</v>
      </c>
      <c r="E1268" s="83">
        <v>363.99798852776473</v>
      </c>
      <c r="F1268" s="83">
        <v>3200492.3324282034</v>
      </c>
      <c r="G1268" s="83" t="s">
        <v>963</v>
      </c>
      <c r="H1268" s="84">
        <f t="shared" si="35"/>
        <v>-2.3340485283276369E-3</v>
      </c>
      <c r="J1268" s="83">
        <v>119.41566823941405</v>
      </c>
      <c r="K1268" s="83">
        <v>121.27909166004315</v>
      </c>
      <c r="L1268" s="83">
        <v>119.39031892107526</v>
      </c>
      <c r="M1268" s="83">
        <v>121.12699575001047</v>
      </c>
      <c r="N1268" s="83">
        <v>39193859.839618698</v>
      </c>
      <c r="O1268" s="83" t="s">
        <v>963</v>
      </c>
      <c r="P1268" s="84">
        <f t="shared" si="36"/>
        <v>-1.4128374108513087E-2</v>
      </c>
    </row>
    <row r="1269" spans="2:16" ht="15" customHeight="1">
      <c r="B1269" s="83">
        <v>362.98820642966228</v>
      </c>
      <c r="C1269" s="83">
        <v>363.49705519130407</v>
      </c>
      <c r="D1269" s="83">
        <v>361.91397015508528</v>
      </c>
      <c r="E1269" s="83">
        <v>362.8751289270752</v>
      </c>
      <c r="F1269" s="83">
        <v>2804488.8925262131</v>
      </c>
      <c r="G1269" s="83" t="s">
        <v>962</v>
      </c>
      <c r="H1269" s="84">
        <f t="shared" si="35"/>
        <v>3.1161546651437E-4</v>
      </c>
      <c r="J1269" s="83">
        <v>120.95750324896099</v>
      </c>
      <c r="K1269" s="83">
        <v>121.42542184276739</v>
      </c>
      <c r="L1269" s="83">
        <v>119.91296221976597</v>
      </c>
      <c r="M1269" s="83">
        <v>119.92886767440991</v>
      </c>
      <c r="N1269" s="83">
        <v>21986298.903642789</v>
      </c>
      <c r="O1269" s="83" t="s">
        <v>962</v>
      </c>
      <c r="P1269" s="84">
        <f t="shared" si="36"/>
        <v>8.5770473322877017E-3</v>
      </c>
    </row>
    <row r="1270" spans="2:16" ht="15" customHeight="1">
      <c r="B1270" s="83">
        <v>362.32858766457116</v>
      </c>
      <c r="C1270" s="83">
        <v>364.44879083807842</v>
      </c>
      <c r="D1270" s="83">
        <v>361.79146952728263</v>
      </c>
      <c r="E1270" s="83">
        <v>364.10955833031721</v>
      </c>
      <c r="F1270" s="83">
        <v>4278630.3988941004</v>
      </c>
      <c r="G1270" s="83" t="s">
        <v>961</v>
      </c>
      <c r="H1270" s="84">
        <f t="shared" si="35"/>
        <v>-4.8913043478259199E-3</v>
      </c>
      <c r="J1270" s="83">
        <v>119.74173005961482</v>
      </c>
      <c r="K1270" s="83">
        <v>120.92569233967309</v>
      </c>
      <c r="L1270" s="83">
        <v>119.43952642137994</v>
      </c>
      <c r="M1270" s="83">
        <v>120.28500074479689</v>
      </c>
      <c r="N1270" s="83">
        <v>18950540.349051807</v>
      </c>
      <c r="O1270" s="83" t="s">
        <v>961</v>
      </c>
      <c r="P1270" s="84">
        <f t="shared" si="36"/>
        <v>-4.5165289256197116E-3</v>
      </c>
    </row>
    <row r="1271" spans="2:16" ht="15" customHeight="1">
      <c r="B1271" s="83">
        <v>363.09186080703375</v>
      </c>
      <c r="C1271" s="83">
        <v>364.10955833031721</v>
      </c>
      <c r="D1271" s="83">
        <v>361.32031326650321</v>
      </c>
      <c r="E1271" s="83">
        <v>361.55589139689295</v>
      </c>
      <c r="F1271" s="83">
        <v>3143811.5616881028</v>
      </c>
      <c r="G1271" s="83" t="s">
        <v>960</v>
      </c>
      <c r="H1271" s="84">
        <f t="shared" si="35"/>
        <v>4.2482212202559211E-3</v>
      </c>
      <c r="J1271" s="83">
        <v>119.62243914978527</v>
      </c>
      <c r="K1271" s="83">
        <v>120.20944983523817</v>
      </c>
      <c r="L1271" s="83">
        <v>117.30819549909198</v>
      </c>
      <c r="M1271" s="83">
        <v>117.65065981939431</v>
      </c>
      <c r="N1271" s="83">
        <v>21370057.480846718</v>
      </c>
      <c r="O1271" s="83" t="s">
        <v>960</v>
      </c>
      <c r="P1271" s="84">
        <f t="shared" si="36"/>
        <v>1.6759611322349155E-2</v>
      </c>
    </row>
    <row r="1272" spans="2:16" ht="15" customHeight="1">
      <c r="B1272" s="83">
        <v>359.46395759903243</v>
      </c>
      <c r="C1272" s="83">
        <v>362.27204891327762</v>
      </c>
      <c r="D1272" s="83">
        <v>359.03049383911537</v>
      </c>
      <c r="E1272" s="83">
        <v>361.12242763697589</v>
      </c>
      <c r="F1272" s="83">
        <v>3785849.0876239748</v>
      </c>
      <c r="G1272" s="83" t="s">
        <v>959</v>
      </c>
      <c r="H1272" s="84">
        <f t="shared" si="35"/>
        <v>-4.5925423374996166E-3</v>
      </c>
      <c r="J1272" s="83">
        <v>116.56213026719966</v>
      </c>
      <c r="K1272" s="83">
        <v>117.75006394046436</v>
      </c>
      <c r="L1272" s="83">
        <v>116.42643685726854</v>
      </c>
      <c r="M1272" s="83">
        <v>117.60045822817436</v>
      </c>
      <c r="N1272" s="83">
        <v>22968361.997699093</v>
      </c>
      <c r="O1272" s="83" t="s">
        <v>959</v>
      </c>
      <c r="P1272" s="84">
        <f t="shared" si="36"/>
        <v>-8.8292849927512629E-3</v>
      </c>
    </row>
    <row r="1273" spans="2:16" ht="15" customHeight="1">
      <c r="B1273" s="83">
        <v>359.73722823028447</v>
      </c>
      <c r="C1273" s="83">
        <v>360.89627263180176</v>
      </c>
      <c r="D1273" s="83">
        <v>356.61817378392487</v>
      </c>
      <c r="E1273" s="83">
        <v>356.73125128651191</v>
      </c>
      <c r="F1273" s="83">
        <v>5069139.8986169314</v>
      </c>
      <c r="G1273" s="83" t="s">
        <v>958</v>
      </c>
      <c r="H1273" s="84">
        <f t="shared" si="35"/>
        <v>8.4264468922525815E-3</v>
      </c>
      <c r="J1273" s="83">
        <v>117.10838322512748</v>
      </c>
      <c r="K1273" s="83">
        <v>117.31962754461732</v>
      </c>
      <c r="L1273" s="83">
        <v>115.36872412344654</v>
      </c>
      <c r="M1273" s="83">
        <v>115.71417071649461</v>
      </c>
      <c r="N1273" s="83">
        <v>23973521.570807628</v>
      </c>
      <c r="O1273" s="83" t="s">
        <v>958</v>
      </c>
      <c r="P1273" s="84">
        <f t="shared" si="36"/>
        <v>1.2048762048762152E-2</v>
      </c>
    </row>
    <row r="1274" spans="2:16" ht="15" customHeight="1">
      <c r="B1274" s="83">
        <v>355.93970876840257</v>
      </c>
      <c r="C1274" s="83">
        <v>356.04336314577398</v>
      </c>
      <c r="D1274" s="83">
        <v>351.12449178323709</v>
      </c>
      <c r="E1274" s="83">
        <v>352.48142181428176</v>
      </c>
      <c r="F1274" s="83">
        <v>5397646.6232096665</v>
      </c>
      <c r="G1274" s="83" t="s">
        <v>957</v>
      </c>
      <c r="H1274" s="84">
        <f t="shared" si="35"/>
        <v>9.81126022563239E-3</v>
      </c>
      <c r="J1274" s="83">
        <v>114.75338184690911</v>
      </c>
      <c r="K1274" s="83">
        <v>115.15350344029574</v>
      </c>
      <c r="L1274" s="83">
        <v>112.50723342391019</v>
      </c>
      <c r="M1274" s="83">
        <v>112.55097342418102</v>
      </c>
      <c r="N1274" s="83">
        <v>19465905.686509989</v>
      </c>
      <c r="O1274" s="83" t="s">
        <v>957</v>
      </c>
      <c r="P1274" s="84">
        <f t="shared" si="36"/>
        <v>1.9568097509274018E-2</v>
      </c>
    </row>
    <row r="1275" spans="2:16" ht="15" customHeight="1">
      <c r="B1275" s="83">
        <v>356.88202128996136</v>
      </c>
      <c r="C1275" s="83">
        <v>360.40627012059122</v>
      </c>
      <c r="D1275" s="83">
        <v>356.70298191086516</v>
      </c>
      <c r="E1275" s="83">
        <v>360.19896136584828</v>
      </c>
      <c r="F1275" s="83">
        <v>3319822.1698519802</v>
      </c>
      <c r="G1275" s="83" t="s">
        <v>956</v>
      </c>
      <c r="H1275" s="84">
        <f t="shared" si="35"/>
        <v>-9.2086330935250427E-3</v>
      </c>
      <c r="J1275" s="83">
        <v>114.49094184528408</v>
      </c>
      <c r="K1275" s="83">
        <v>116.46520640296316</v>
      </c>
      <c r="L1275" s="83">
        <v>114.47752161792826</v>
      </c>
      <c r="M1275" s="83">
        <v>116.15483133740497</v>
      </c>
      <c r="N1275" s="83">
        <v>17405228.97316074</v>
      </c>
      <c r="O1275" s="83" t="s">
        <v>956</v>
      </c>
      <c r="P1275" s="84">
        <f t="shared" si="36"/>
        <v>-1.4324754923776162E-2</v>
      </c>
    </row>
    <row r="1276" spans="2:16" ht="15" customHeight="1">
      <c r="B1276" s="83">
        <v>359.99165261110534</v>
      </c>
      <c r="C1276" s="83">
        <v>360.67011762662764</v>
      </c>
      <c r="D1276" s="83">
        <v>358.07875819234101</v>
      </c>
      <c r="E1276" s="83">
        <v>359.86915198330269</v>
      </c>
      <c r="F1276" s="83">
        <v>4013092.1679194327</v>
      </c>
      <c r="G1276" s="83" t="s">
        <v>955</v>
      </c>
      <c r="H1276" s="84">
        <f t="shared" si="35"/>
        <v>3.4040324692319324E-4</v>
      </c>
      <c r="J1276" s="83">
        <v>115.38462957809047</v>
      </c>
      <c r="K1276" s="83">
        <v>115.48055935141174</v>
      </c>
      <c r="L1276" s="83">
        <v>114.0719325245078</v>
      </c>
      <c r="M1276" s="83">
        <v>114.78370161982411</v>
      </c>
      <c r="N1276" s="83">
        <v>19966302.574129444</v>
      </c>
      <c r="O1276" s="83" t="s">
        <v>955</v>
      </c>
      <c r="P1276" s="84">
        <f t="shared" si="36"/>
        <v>5.2353073632063207E-3</v>
      </c>
    </row>
    <row r="1277" spans="2:16" ht="15" customHeight="1">
      <c r="B1277" s="83">
        <v>360.8585801309394</v>
      </c>
      <c r="C1277" s="83">
        <v>361.65012264904885</v>
      </c>
      <c r="D1277" s="83">
        <v>357.89971881324482</v>
      </c>
      <c r="E1277" s="83">
        <v>357.89971881324482</v>
      </c>
      <c r="F1277" s="83">
        <v>5484294.0975156799</v>
      </c>
      <c r="G1277" s="83" t="s">
        <v>954</v>
      </c>
      <c r="H1277" s="84">
        <f t="shared" si="35"/>
        <v>8.2672915405070935E-3</v>
      </c>
      <c r="J1277" s="83">
        <v>115.12368071283832</v>
      </c>
      <c r="K1277" s="83">
        <v>115.37120935073465</v>
      </c>
      <c r="L1277" s="83">
        <v>113.49138343000399</v>
      </c>
      <c r="M1277" s="83">
        <v>113.91436911444126</v>
      </c>
      <c r="N1277" s="83">
        <v>26783224.342619095</v>
      </c>
      <c r="O1277" s="83" t="s">
        <v>954</v>
      </c>
      <c r="P1277" s="84">
        <f t="shared" si="36"/>
        <v>1.0615970643546913E-2</v>
      </c>
    </row>
    <row r="1278" spans="2:16" ht="15" customHeight="1">
      <c r="B1278" s="83">
        <v>355.40259063111404</v>
      </c>
      <c r="C1278" s="83">
        <v>357.18356129686015</v>
      </c>
      <c r="D1278" s="83">
        <v>352.58507619165323</v>
      </c>
      <c r="E1278" s="83">
        <v>352.62276869251559</v>
      </c>
      <c r="F1278" s="83">
        <v>7628245.232387607</v>
      </c>
      <c r="G1278" s="83" t="s">
        <v>953</v>
      </c>
      <c r="H1278" s="84">
        <f t="shared" si="35"/>
        <v>7.8832740974319471E-3</v>
      </c>
      <c r="J1278" s="83">
        <v>112.43019137797859</v>
      </c>
      <c r="K1278" s="83">
        <v>113.15742852793616</v>
      </c>
      <c r="L1278" s="83">
        <v>111.47337887205407</v>
      </c>
      <c r="M1278" s="83">
        <v>112.38645137770777</v>
      </c>
      <c r="N1278" s="83">
        <v>26828693.020892654</v>
      </c>
      <c r="O1278" s="83" t="s">
        <v>953</v>
      </c>
      <c r="P1278" s="84">
        <f t="shared" si="36"/>
        <v>3.8919282293026214E-4</v>
      </c>
    </row>
    <row r="1279" spans="2:16" ht="15" customHeight="1">
      <c r="B1279" s="83">
        <v>351.22814616060862</v>
      </c>
      <c r="C1279" s="83">
        <v>357.39087005160303</v>
      </c>
      <c r="D1279" s="83">
        <v>350.66275864767329</v>
      </c>
      <c r="E1279" s="83">
        <v>356.2318256500858</v>
      </c>
      <c r="F1279" s="83">
        <v>8179283.2246887665</v>
      </c>
      <c r="G1279" s="83" t="s">
        <v>952</v>
      </c>
      <c r="H1279" s="84">
        <f t="shared" si="35"/>
        <v>-1.4046132684372048E-2</v>
      </c>
      <c r="J1279" s="83">
        <v>111.29245432547926</v>
      </c>
      <c r="K1279" s="83">
        <v>113.59327774881672</v>
      </c>
      <c r="L1279" s="83">
        <v>110.84362227724559</v>
      </c>
      <c r="M1279" s="83">
        <v>112.4172681960804</v>
      </c>
      <c r="N1279" s="83">
        <v>35140930.738056652</v>
      </c>
      <c r="O1279" s="83" t="s">
        <v>952</v>
      </c>
      <c r="P1279" s="84">
        <f t="shared" si="36"/>
        <v>-1.000570364900899E-2</v>
      </c>
    </row>
    <row r="1280" spans="2:16" ht="15" customHeight="1">
      <c r="B1280" s="83">
        <v>358.88914696088159</v>
      </c>
      <c r="C1280" s="83">
        <v>359.71838197985329</v>
      </c>
      <c r="D1280" s="83">
        <v>355.20470500158666</v>
      </c>
      <c r="E1280" s="83">
        <v>357.84318006195127</v>
      </c>
      <c r="F1280" s="83">
        <v>7515023.7718221555</v>
      </c>
      <c r="G1280" s="83" t="s">
        <v>951</v>
      </c>
      <c r="H1280" s="84">
        <f t="shared" si="35"/>
        <v>2.9229756418698294E-3</v>
      </c>
      <c r="J1280" s="83">
        <v>114.75586707419723</v>
      </c>
      <c r="K1280" s="83">
        <v>115.41395526009023</v>
      </c>
      <c r="L1280" s="83">
        <v>113.47547797536004</v>
      </c>
      <c r="M1280" s="83">
        <v>113.91586025081413</v>
      </c>
      <c r="N1280" s="83">
        <v>32301834.276440904</v>
      </c>
      <c r="O1280" s="83" t="s">
        <v>951</v>
      </c>
      <c r="P1280" s="84">
        <f t="shared" si="36"/>
        <v>7.3739233635563561E-3</v>
      </c>
    </row>
    <row r="1281" spans="2:16" ht="15" customHeight="1">
      <c r="B1281" s="83">
        <v>362.06474015853468</v>
      </c>
      <c r="C1281" s="83">
        <v>366.23918462904015</v>
      </c>
      <c r="D1281" s="83">
        <v>361.93281640551641</v>
      </c>
      <c r="E1281" s="83">
        <v>366.00360649865047</v>
      </c>
      <c r="F1281" s="83">
        <v>6306503.2715149242</v>
      </c>
      <c r="G1281" s="83" t="s">
        <v>950</v>
      </c>
      <c r="H1281" s="84">
        <f t="shared" si="35"/>
        <v>-1.0761823845936158E-2</v>
      </c>
      <c r="J1281" s="83">
        <v>116.3911466297773</v>
      </c>
      <c r="K1281" s="83">
        <v>118.19740982277975</v>
      </c>
      <c r="L1281" s="83">
        <v>116.04669412764449</v>
      </c>
      <c r="M1281" s="83">
        <v>118.04282868545896</v>
      </c>
      <c r="N1281" s="83">
        <v>26160001.667008456</v>
      </c>
      <c r="O1281" s="83" t="s">
        <v>950</v>
      </c>
      <c r="P1281" s="84">
        <f t="shared" si="36"/>
        <v>-1.3992227008408853E-2</v>
      </c>
    </row>
    <row r="1282" spans="2:16" ht="15" customHeight="1">
      <c r="B1282" s="83">
        <v>365.64552774045808</v>
      </c>
      <c r="C1282" s="83">
        <v>366.25803087947133</v>
      </c>
      <c r="D1282" s="83">
        <v>363.10128393224932</v>
      </c>
      <c r="E1282" s="83">
        <v>363.75147957212488</v>
      </c>
      <c r="F1282" s="83">
        <v>3731904.1395976967</v>
      </c>
      <c r="G1282" s="83" t="s">
        <v>949</v>
      </c>
      <c r="H1282" s="84">
        <f t="shared" si="35"/>
        <v>5.2069840940884848E-3</v>
      </c>
      <c r="J1282" s="83">
        <v>119.22579687460201</v>
      </c>
      <c r="K1282" s="83">
        <v>120.10656142551018</v>
      </c>
      <c r="L1282" s="83">
        <v>118.79386437192751</v>
      </c>
      <c r="M1282" s="83">
        <v>119.29090982955063</v>
      </c>
      <c r="N1282" s="83">
        <v>23416208.359809458</v>
      </c>
      <c r="O1282" s="83" t="s">
        <v>949</v>
      </c>
      <c r="P1282" s="84">
        <f t="shared" si="36"/>
        <v>-5.4583333333324546E-4</v>
      </c>
    </row>
    <row r="1283" spans="2:16" ht="15" customHeight="1">
      <c r="B1283" s="83">
        <v>363.05416830617139</v>
      </c>
      <c r="C1283" s="83">
        <v>363.13897643311174</v>
      </c>
      <c r="D1283" s="83">
        <v>358.33318257316182</v>
      </c>
      <c r="E1283" s="83">
        <v>360.20838449106384</v>
      </c>
      <c r="F1283" s="83">
        <v>5027301.3375259861</v>
      </c>
      <c r="G1283" s="83" t="s">
        <v>948</v>
      </c>
      <c r="H1283" s="84">
        <f t="shared" si="35"/>
        <v>7.9003819389944496E-3</v>
      </c>
      <c r="J1283" s="83">
        <v>118.3639200510835</v>
      </c>
      <c r="K1283" s="83">
        <v>118.43151823332025</v>
      </c>
      <c r="L1283" s="83">
        <v>116.42485625271331</v>
      </c>
      <c r="M1283" s="83">
        <v>116.83749345072287</v>
      </c>
      <c r="N1283" s="83">
        <v>20739732.839116361</v>
      </c>
      <c r="O1283" s="83" t="s">
        <v>948</v>
      </c>
      <c r="P1283" s="84">
        <f t="shared" si="36"/>
        <v>1.3064527107511159E-2</v>
      </c>
    </row>
    <row r="1284" spans="2:16" ht="15" customHeight="1">
      <c r="B1284" s="83">
        <v>360.12357636412361</v>
      </c>
      <c r="C1284" s="83">
        <v>361.76320015163589</v>
      </c>
      <c r="D1284" s="83">
        <v>359.43568822338563</v>
      </c>
      <c r="E1284" s="83">
        <v>361.58416077253975</v>
      </c>
      <c r="F1284" s="83">
        <v>4680677.4812922971</v>
      </c>
      <c r="G1284" s="83" t="s">
        <v>947</v>
      </c>
      <c r="H1284" s="84">
        <f t="shared" si="35"/>
        <v>-4.0394037318878251E-3</v>
      </c>
      <c r="J1284" s="83">
        <v>117.14069117987297</v>
      </c>
      <c r="K1284" s="83">
        <v>118.40616891498146</v>
      </c>
      <c r="L1284" s="83">
        <v>116.87576595095985</v>
      </c>
      <c r="M1284" s="83">
        <v>117.7212402743768</v>
      </c>
      <c r="N1284" s="83">
        <v>21935116.462258749</v>
      </c>
      <c r="O1284" s="83" t="s">
        <v>947</v>
      </c>
      <c r="P1284" s="84">
        <f t="shared" si="36"/>
        <v>-4.9315577473590944E-3</v>
      </c>
    </row>
    <row r="1285" spans="2:16" ht="15" customHeight="1">
      <c r="B1285" s="83">
        <v>360.0576144876145</v>
      </c>
      <c r="C1285" s="83">
        <v>360.86800325615502</v>
      </c>
      <c r="D1285" s="83">
        <v>356.61817378392487</v>
      </c>
      <c r="E1285" s="83">
        <v>360.45338574666914</v>
      </c>
      <c r="F1285" s="83">
        <v>5821472.0429752283</v>
      </c>
      <c r="G1285" s="83" t="s">
        <v>946</v>
      </c>
      <c r="H1285" s="84">
        <f t="shared" si="35"/>
        <v>-1.0979818048727497E-3</v>
      </c>
      <c r="J1285" s="83">
        <v>117.01692686092483</v>
      </c>
      <c r="K1285" s="83">
        <v>118.26003755044027</v>
      </c>
      <c r="L1285" s="83">
        <v>114.9019984387384</v>
      </c>
      <c r="M1285" s="83">
        <v>117.78685027478303</v>
      </c>
      <c r="N1285" s="83">
        <v>35329062.424134545</v>
      </c>
      <c r="O1285" s="83" t="s">
        <v>946</v>
      </c>
      <c r="P1285" s="84">
        <f t="shared" si="36"/>
        <v>-6.5365820722946832E-3</v>
      </c>
    </row>
    <row r="1286" spans="2:16" ht="15" customHeight="1">
      <c r="B1286" s="83">
        <v>362.26262578806205</v>
      </c>
      <c r="C1286" s="83">
        <v>363.67609457040021</v>
      </c>
      <c r="D1286" s="83">
        <v>361.81031577771381</v>
      </c>
      <c r="E1286" s="83">
        <v>363.31801581220788</v>
      </c>
      <c r="F1286" s="83">
        <v>4436757.3436082732</v>
      </c>
      <c r="G1286" s="83" t="s">
        <v>945</v>
      </c>
      <c r="H1286" s="84">
        <f t="shared" si="35"/>
        <v>-2.9048656499636172E-3</v>
      </c>
      <c r="J1286" s="83">
        <v>119.05083687351866</v>
      </c>
      <c r="K1286" s="83">
        <v>120.27008938106819</v>
      </c>
      <c r="L1286" s="83">
        <v>118.52048937023478</v>
      </c>
      <c r="M1286" s="83">
        <v>119.42610619402411</v>
      </c>
      <c r="N1286" s="83">
        <v>33988621.645968996</v>
      </c>
      <c r="O1286" s="83" t="s">
        <v>945</v>
      </c>
      <c r="P1286" s="84">
        <f t="shared" si="36"/>
        <v>-3.1422720916294278E-3</v>
      </c>
    </row>
    <row r="1287" spans="2:16" ht="15" customHeight="1">
      <c r="B1287" s="83">
        <v>361.44281389430586</v>
      </c>
      <c r="C1287" s="83">
        <v>362.56416579496084</v>
      </c>
      <c r="D1287" s="83">
        <v>360.65127137619652</v>
      </c>
      <c r="E1287" s="83">
        <v>361.76320015163589</v>
      </c>
      <c r="F1287" s="83">
        <v>5538720.8389911726</v>
      </c>
      <c r="G1287" s="83" t="s">
        <v>944</v>
      </c>
      <c r="H1287" s="84">
        <f t="shared" si="35"/>
        <v>-8.8562423484683794E-4</v>
      </c>
      <c r="J1287" s="83">
        <v>119.79391983266524</v>
      </c>
      <c r="K1287" s="83">
        <v>120.6398912015398</v>
      </c>
      <c r="L1287" s="83">
        <v>119.39827164839723</v>
      </c>
      <c r="M1287" s="83">
        <v>119.51408324002341</v>
      </c>
      <c r="N1287" s="83">
        <v>39375271.818376526</v>
      </c>
      <c r="O1287" s="83" t="s">
        <v>944</v>
      </c>
      <c r="P1287" s="84">
        <f t="shared" si="36"/>
        <v>2.3414528652645483E-3</v>
      </c>
    </row>
    <row r="1288" spans="2:16" ht="15" customHeight="1">
      <c r="B1288" s="83">
        <v>363.84571082428079</v>
      </c>
      <c r="C1288" s="83">
        <v>364.42994458764724</v>
      </c>
      <c r="D1288" s="83">
        <v>360.72665637792119</v>
      </c>
      <c r="E1288" s="83">
        <v>364.10955833031721</v>
      </c>
      <c r="F1288" s="83">
        <v>4467604.8589866264</v>
      </c>
      <c r="G1288" s="83" t="s">
        <v>943</v>
      </c>
      <c r="H1288" s="84">
        <f t="shared" si="35"/>
        <v>-7.246376811593791E-4</v>
      </c>
      <c r="J1288" s="83">
        <v>120.77657870238616</v>
      </c>
      <c r="K1288" s="83">
        <v>121.1061198407903</v>
      </c>
      <c r="L1288" s="83">
        <v>119.40423619388872</v>
      </c>
      <c r="M1288" s="83">
        <v>119.80435778727532</v>
      </c>
      <c r="N1288" s="83">
        <v>39788654.531866267</v>
      </c>
      <c r="O1288" s="83" t="s">
        <v>943</v>
      </c>
      <c r="P1288" s="84">
        <f t="shared" si="36"/>
        <v>8.1150713802673469E-3</v>
      </c>
    </row>
    <row r="1289" spans="2:16" ht="15" customHeight="1">
      <c r="B1289" s="83">
        <v>361.43339076909029</v>
      </c>
      <c r="C1289" s="83">
        <v>362.94976007878267</v>
      </c>
      <c r="D1289" s="83">
        <v>361.1318507621915</v>
      </c>
      <c r="E1289" s="83">
        <v>361.94223953073208</v>
      </c>
      <c r="F1289" s="83">
        <v>4202840.2567002354</v>
      </c>
      <c r="G1289" s="83" t="s">
        <v>942</v>
      </c>
      <c r="H1289" s="84">
        <f t="shared" si="35"/>
        <v>-1.4058838844052124E-3</v>
      </c>
      <c r="J1289" s="83">
        <v>118.29234550518576</v>
      </c>
      <c r="K1289" s="83">
        <v>121.89433452748906</v>
      </c>
      <c r="L1289" s="83">
        <v>118.04084050362846</v>
      </c>
      <c r="M1289" s="83">
        <v>119.64604880902236</v>
      </c>
      <c r="N1289" s="83">
        <v>60083820.386995532</v>
      </c>
      <c r="O1289" s="83" t="s">
        <v>942</v>
      </c>
      <c r="P1289" s="84">
        <f t="shared" si="36"/>
        <v>-1.1314233251424444E-2</v>
      </c>
    </row>
    <row r="1290" spans="2:16" ht="15" customHeight="1">
      <c r="B1290" s="83">
        <v>361.60300702297087</v>
      </c>
      <c r="C1290" s="83">
        <v>362.20608703676851</v>
      </c>
      <c r="D1290" s="83">
        <v>360.64184825098096</v>
      </c>
      <c r="E1290" s="83">
        <v>362.03647078288793</v>
      </c>
      <c r="F1290" s="83">
        <v>3576989.5049513052</v>
      </c>
      <c r="G1290" s="83" t="s">
        <v>941</v>
      </c>
      <c r="H1290" s="84">
        <f t="shared" si="35"/>
        <v>-1.1972930765227208E-3</v>
      </c>
      <c r="J1290" s="83">
        <v>114.67435161914702</v>
      </c>
      <c r="K1290" s="83">
        <v>116.18189049211796</v>
      </c>
      <c r="L1290" s="83">
        <v>114.53269366372443</v>
      </c>
      <c r="M1290" s="83">
        <v>116.10981890076262</v>
      </c>
      <c r="N1290" s="83">
        <v>32161706.248044737</v>
      </c>
      <c r="O1290" s="83" t="s">
        <v>941</v>
      </c>
      <c r="P1290" s="84">
        <f t="shared" si="36"/>
        <v>-1.2363013698630243E-2</v>
      </c>
    </row>
    <row r="1291" spans="2:16" ht="15" customHeight="1">
      <c r="B1291" s="83">
        <v>361.71608452555796</v>
      </c>
      <c r="C1291" s="83">
        <v>362.27204891327762</v>
      </c>
      <c r="D1291" s="83">
        <v>361.20723576391617</v>
      </c>
      <c r="E1291" s="83">
        <v>361.59358389775531</v>
      </c>
      <c r="F1291" s="83">
        <v>3316536.6356696705</v>
      </c>
      <c r="G1291" s="83" t="s">
        <v>940</v>
      </c>
      <c r="H1291" s="84">
        <f t="shared" si="35"/>
        <v>3.387798712637391E-4</v>
      </c>
      <c r="J1291" s="83">
        <v>115.6495548070036</v>
      </c>
      <c r="K1291" s="83">
        <v>116.3712648114724</v>
      </c>
      <c r="L1291" s="83">
        <v>115.00836616666977</v>
      </c>
      <c r="M1291" s="83">
        <v>115.31106685036224</v>
      </c>
      <c r="N1291" s="83">
        <v>20956835.718430512</v>
      </c>
      <c r="O1291" s="83" t="s">
        <v>940</v>
      </c>
      <c r="P1291" s="84">
        <f t="shared" si="36"/>
        <v>2.9354333966973289E-3</v>
      </c>
    </row>
    <row r="1292" spans="2:16" ht="15" customHeight="1">
      <c r="B1292" s="83">
        <v>360.93396513266413</v>
      </c>
      <c r="C1292" s="83">
        <v>362.2767604758854</v>
      </c>
      <c r="D1292" s="83">
        <v>357.56990943069923</v>
      </c>
      <c r="E1292" s="83">
        <v>357.6735638080707</v>
      </c>
      <c r="F1292" s="83">
        <v>4014813.4652203713</v>
      </c>
      <c r="G1292" s="83" t="s">
        <v>939</v>
      </c>
      <c r="H1292" s="84">
        <f t="shared" si="35"/>
        <v>9.1155781542271441E-3</v>
      </c>
      <c r="J1292" s="83">
        <v>115.08093480348275</v>
      </c>
      <c r="K1292" s="83">
        <v>115.60382662490228</v>
      </c>
      <c r="L1292" s="83">
        <v>113.23739320115857</v>
      </c>
      <c r="M1292" s="83">
        <v>113.49883911186832</v>
      </c>
      <c r="N1292" s="83">
        <v>28873858.074529994</v>
      </c>
      <c r="O1292" s="83" t="s">
        <v>939</v>
      </c>
      <c r="P1292" s="84">
        <f t="shared" si="36"/>
        <v>1.3939311661637976E-2</v>
      </c>
    </row>
    <row r="1293" spans="2:16" ht="15" customHeight="1">
      <c r="B1293" s="83">
        <v>357.1270225455666</v>
      </c>
      <c r="C1293" s="83">
        <v>361.01406169699663</v>
      </c>
      <c r="D1293" s="83">
        <v>356.15644064836101</v>
      </c>
      <c r="E1293" s="83">
        <v>360.26492324235738</v>
      </c>
      <c r="F1293" s="83">
        <v>4207750.517249831</v>
      </c>
      <c r="G1293" s="83" t="s">
        <v>938</v>
      </c>
      <c r="H1293" s="84">
        <f t="shared" si="35"/>
        <v>-8.7099811676082384E-3</v>
      </c>
      <c r="J1293" s="83">
        <v>112.72593342526437</v>
      </c>
      <c r="K1293" s="83">
        <v>114.50744872493175</v>
      </c>
      <c r="L1293" s="83">
        <v>112.15582228537063</v>
      </c>
      <c r="M1293" s="83">
        <v>113.98395547850851</v>
      </c>
      <c r="N1293" s="83">
        <v>21221559.996626746</v>
      </c>
      <c r="O1293" s="83" t="s">
        <v>938</v>
      </c>
      <c r="P1293" s="84">
        <f t="shared" si="36"/>
        <v>-1.1036834508531657E-2</v>
      </c>
    </row>
    <row r="1294" spans="2:16" ht="15" customHeight="1">
      <c r="B1294" s="83">
        <v>360.43453949623796</v>
      </c>
      <c r="C1294" s="83">
        <v>360.59473262490297</v>
      </c>
      <c r="D1294" s="83">
        <v>356.32605690224165</v>
      </c>
      <c r="E1294" s="83">
        <v>356.45798065525986</v>
      </c>
      <c r="F1294" s="83">
        <v>3862922.2436506599</v>
      </c>
      <c r="G1294" s="83" t="s">
        <v>937</v>
      </c>
      <c r="H1294" s="84">
        <f t="shared" si="35"/>
        <v>1.1155757639843555E-2</v>
      </c>
      <c r="J1294" s="83">
        <v>113.98693775125423</v>
      </c>
      <c r="K1294" s="83">
        <v>114.08783797915174</v>
      </c>
      <c r="L1294" s="83">
        <v>112.26119592238675</v>
      </c>
      <c r="M1294" s="83">
        <v>113.58731320332524</v>
      </c>
      <c r="N1294" s="83">
        <v>24076892.397785306</v>
      </c>
      <c r="O1294" s="83" t="s">
        <v>937</v>
      </c>
      <c r="P1294" s="84">
        <f t="shared" si="36"/>
        <v>3.5182146373482492E-3</v>
      </c>
    </row>
    <row r="1295" spans="2:16" ht="15" customHeight="1">
      <c r="B1295" s="83">
        <v>357.07990691948868</v>
      </c>
      <c r="C1295" s="83">
        <v>359.1718407173492</v>
      </c>
      <c r="D1295" s="83">
        <v>355.68999595018943</v>
      </c>
      <c r="E1295" s="83">
        <v>358.54049132790482</v>
      </c>
      <c r="F1295" s="83">
        <v>4358149.6648336491</v>
      </c>
      <c r="G1295" s="83" t="s">
        <v>936</v>
      </c>
      <c r="H1295" s="84">
        <f t="shared" si="35"/>
        <v>-4.0736944466346348E-3</v>
      </c>
      <c r="J1295" s="83">
        <v>114.00383729681343</v>
      </c>
      <c r="K1295" s="83">
        <v>114.79761889263756</v>
      </c>
      <c r="L1295" s="83">
        <v>112.91431365370353</v>
      </c>
      <c r="M1295" s="83">
        <v>114.712624119384</v>
      </c>
      <c r="N1295" s="83">
        <v>21904415.044982001</v>
      </c>
      <c r="O1295" s="83" t="s">
        <v>936</v>
      </c>
      <c r="P1295" s="84">
        <f t="shared" si="36"/>
        <v>-6.1788040157892965E-3</v>
      </c>
    </row>
    <row r="1296" spans="2:16" ht="15" customHeight="1">
      <c r="B1296" s="83">
        <v>359.71838197985329</v>
      </c>
      <c r="C1296" s="83">
        <v>360.99050388395762</v>
      </c>
      <c r="D1296" s="83">
        <v>358.42741382531773</v>
      </c>
      <c r="E1296" s="83">
        <v>360.54761699882505</v>
      </c>
      <c r="F1296" s="83">
        <v>4187297.6424773317</v>
      </c>
      <c r="G1296" s="83" t="s">
        <v>935</v>
      </c>
      <c r="H1296" s="84">
        <f t="shared" si="35"/>
        <v>-2.2999320474622609E-3</v>
      </c>
      <c r="J1296" s="83">
        <v>114.43974616314891</v>
      </c>
      <c r="K1296" s="83">
        <v>115.23750412263402</v>
      </c>
      <c r="L1296" s="83">
        <v>113.71629649957843</v>
      </c>
      <c r="M1296" s="83">
        <v>113.92182479630561</v>
      </c>
      <c r="N1296" s="83">
        <v>24835655.996196374</v>
      </c>
      <c r="O1296" s="83" t="s">
        <v>935</v>
      </c>
      <c r="P1296" s="84">
        <f t="shared" si="36"/>
        <v>4.5462874894195426E-3</v>
      </c>
    </row>
    <row r="1297" spans="2:16" ht="15" customHeight="1">
      <c r="B1297" s="83">
        <v>361.4993526455994</v>
      </c>
      <c r="C1297" s="83">
        <v>361.98935515680995</v>
      </c>
      <c r="D1297" s="83">
        <v>360.14242261455473</v>
      </c>
      <c r="E1297" s="83">
        <v>361.43150614404715</v>
      </c>
      <c r="F1297" s="83">
        <v>3451571.4538311744</v>
      </c>
      <c r="G1297" s="83" t="s">
        <v>934</v>
      </c>
      <c r="H1297" s="84">
        <f t="shared" si="35"/>
        <v>1.8771606901690774E-4</v>
      </c>
      <c r="J1297" s="83">
        <v>114.20911707081179</v>
      </c>
      <c r="K1297" s="83">
        <v>114.64055252802865</v>
      </c>
      <c r="L1297" s="83">
        <v>113.54754956671539</v>
      </c>
      <c r="M1297" s="83">
        <v>114.4695688906063</v>
      </c>
      <c r="N1297" s="83">
        <v>22736149.836356871</v>
      </c>
      <c r="O1297" s="83" t="s">
        <v>934</v>
      </c>
      <c r="P1297" s="84">
        <f t="shared" si="36"/>
        <v>-2.2752930959617501E-3</v>
      </c>
    </row>
    <row r="1298" spans="2:16" ht="15" customHeight="1">
      <c r="B1298" s="83">
        <v>360.23665386671064</v>
      </c>
      <c r="C1298" s="83">
        <v>360.47223199710032</v>
      </c>
      <c r="D1298" s="83">
        <v>358.34260569837744</v>
      </c>
      <c r="E1298" s="83">
        <v>358.38972132445537</v>
      </c>
      <c r="F1298" s="83">
        <v>3792614.3590749521</v>
      </c>
      <c r="G1298" s="83" t="s">
        <v>933</v>
      </c>
      <c r="H1298" s="84">
        <f t="shared" si="35"/>
        <v>5.1534193989430932E-3</v>
      </c>
      <c r="J1298" s="83">
        <v>114.15444207047322</v>
      </c>
      <c r="K1298" s="83">
        <v>114.64833128944046</v>
      </c>
      <c r="L1298" s="83">
        <v>112.63050069740072</v>
      </c>
      <c r="M1298" s="83">
        <v>113.17625660987092</v>
      </c>
      <c r="N1298" s="83">
        <v>27635540.752522219</v>
      </c>
      <c r="O1298" s="83" t="s">
        <v>933</v>
      </c>
      <c r="P1298" s="84">
        <f t="shared" si="36"/>
        <v>8.6430271675639325E-3</v>
      </c>
    </row>
    <row r="1299" spans="2:16" ht="15" customHeight="1">
      <c r="B1299" s="83">
        <v>356.41086502918193</v>
      </c>
      <c r="C1299" s="83">
        <v>358.55933757833594</v>
      </c>
      <c r="D1299" s="83">
        <v>355.91143939275577</v>
      </c>
      <c r="E1299" s="83">
        <v>357.56990943069923</v>
      </c>
      <c r="F1299" s="83">
        <v>3917020.0072203013</v>
      </c>
      <c r="G1299" s="83" t="s">
        <v>932</v>
      </c>
      <c r="H1299" s="84">
        <f t="shared" si="35"/>
        <v>-3.2414483740050848E-3</v>
      </c>
      <c r="J1299" s="83">
        <v>112.07579796669332</v>
      </c>
      <c r="K1299" s="83">
        <v>113.22645820109085</v>
      </c>
      <c r="L1299" s="83">
        <v>111.79496728313624</v>
      </c>
      <c r="M1299" s="83">
        <v>113.0857943365835</v>
      </c>
      <c r="N1299" s="83">
        <v>20339527.994772274</v>
      </c>
      <c r="O1299" s="83" t="s">
        <v>932</v>
      </c>
      <c r="P1299" s="84">
        <f t="shared" si="36"/>
        <v>-8.9312400007032222E-3</v>
      </c>
    </row>
    <row r="1300" spans="2:16" ht="15" customHeight="1">
      <c r="B1300" s="83">
        <v>357.56048630548366</v>
      </c>
      <c r="C1300" s="83">
        <v>358.19183569492805</v>
      </c>
      <c r="D1300" s="83">
        <v>356.11874814749871</v>
      </c>
      <c r="E1300" s="83">
        <v>356.54278878220015</v>
      </c>
      <c r="F1300" s="83">
        <v>3168304.4973882679</v>
      </c>
      <c r="G1300" s="83" t="s">
        <v>931</v>
      </c>
      <c r="H1300" s="84">
        <f t="shared" si="35"/>
        <v>2.8543489177261794E-3</v>
      </c>
      <c r="J1300" s="83">
        <v>112.69362547051885</v>
      </c>
      <c r="K1300" s="83">
        <v>113.18768865539626</v>
      </c>
      <c r="L1300" s="83">
        <v>112.13792864889621</v>
      </c>
      <c r="M1300" s="83">
        <v>112.40533910509744</v>
      </c>
      <c r="N1300" s="83">
        <v>23454675.666384257</v>
      </c>
      <c r="O1300" s="83" t="s">
        <v>931</v>
      </c>
      <c r="P1300" s="84">
        <f t="shared" si="36"/>
        <v>2.5647034893232501E-3</v>
      </c>
    </row>
    <row r="1301" spans="2:16" ht="15" customHeight="1">
      <c r="B1301" s="83">
        <v>356.58990440827813</v>
      </c>
      <c r="C1301" s="83">
        <v>356.80663628823658</v>
      </c>
      <c r="D1301" s="83">
        <v>355.32711139813716</v>
      </c>
      <c r="E1301" s="83">
        <v>355.91143939275577</v>
      </c>
      <c r="F1301" s="83">
        <v>2915730.1183422492</v>
      </c>
      <c r="G1301" s="83" t="s">
        <v>930</v>
      </c>
      <c r="H1301" s="84">
        <f t="shared" si="35"/>
        <v>1.9062748212868019E-3</v>
      </c>
      <c r="J1301" s="83">
        <v>112.0733127394052</v>
      </c>
      <c r="K1301" s="83">
        <v>113.09374706390548</v>
      </c>
      <c r="L1301" s="83">
        <v>111.26188602983545</v>
      </c>
      <c r="M1301" s="83">
        <v>112.6429268338413</v>
      </c>
      <c r="N1301" s="83">
        <v>31503174.930677418</v>
      </c>
      <c r="O1301" s="83" t="s">
        <v>930</v>
      </c>
      <c r="P1301" s="84">
        <f t="shared" si="36"/>
        <v>-5.0568119139547951E-3</v>
      </c>
    </row>
    <row r="1302" spans="2:16" ht="15" customHeight="1">
      <c r="B1302" s="83">
        <v>356.42971127961312</v>
      </c>
      <c r="C1302" s="83">
        <v>356.57105815784689</v>
      </c>
      <c r="D1302" s="83">
        <v>353.67815871666141</v>
      </c>
      <c r="E1302" s="83">
        <v>353.76296684360176</v>
      </c>
      <c r="F1302" s="83">
        <v>2788384.8934252593</v>
      </c>
      <c r="G1302" s="83" t="s">
        <v>929</v>
      </c>
      <c r="H1302" s="84">
        <f t="shared" si="35"/>
        <v>7.5382238559478232E-3</v>
      </c>
      <c r="J1302" s="83">
        <v>113.6186270671555</v>
      </c>
      <c r="K1302" s="83">
        <v>113.77569343176441</v>
      </c>
      <c r="L1302" s="83">
        <v>112.01982567771039</v>
      </c>
      <c r="M1302" s="83">
        <v>112.1682484218112</v>
      </c>
      <c r="N1302" s="83">
        <v>21011458.489011358</v>
      </c>
      <c r="O1302" s="83" t="s">
        <v>929</v>
      </c>
      <c r="P1302" s="84">
        <f t="shared" si="36"/>
        <v>1.2930385075552886E-2</v>
      </c>
    </row>
    <row r="1303" spans="2:16" ht="15" customHeight="1">
      <c r="B1303" s="83">
        <v>353.88546747140435</v>
      </c>
      <c r="C1303" s="83">
        <v>353.89489059661997</v>
      </c>
      <c r="D1303" s="83">
        <v>352.48142181428176</v>
      </c>
      <c r="E1303" s="83">
        <v>353.33892620890032</v>
      </c>
      <c r="F1303" s="83">
        <v>4191202.9285855037</v>
      </c>
      <c r="G1303" s="83" t="s">
        <v>928</v>
      </c>
      <c r="H1303" s="84">
        <f t="shared" si="35"/>
        <v>1.5467904098993568E-3</v>
      </c>
      <c r="J1303" s="83">
        <v>112.60266615177383</v>
      </c>
      <c r="K1303" s="83">
        <v>113.52543104385117</v>
      </c>
      <c r="L1303" s="83">
        <v>112.21695887665827</v>
      </c>
      <c r="M1303" s="83">
        <v>113.22496706471799</v>
      </c>
      <c r="N1303" s="83">
        <v>27326655.523524895</v>
      </c>
      <c r="O1303" s="83" t="s">
        <v>928</v>
      </c>
      <c r="P1303" s="84">
        <f t="shared" si="36"/>
        <v>-5.4961456741997594E-3</v>
      </c>
    </row>
    <row r="1304" spans="2:16" ht="15" customHeight="1">
      <c r="B1304" s="83">
        <v>352.17045868216741</v>
      </c>
      <c r="C1304" s="83">
        <v>352.49998537095649</v>
      </c>
      <c r="D1304" s="83">
        <v>351.218723035393</v>
      </c>
      <c r="E1304" s="83">
        <v>351.61449429444764</v>
      </c>
      <c r="F1304" s="83">
        <v>2938404.1245887713</v>
      </c>
      <c r="G1304" s="83" t="s">
        <v>927</v>
      </c>
      <c r="H1304" s="84">
        <f t="shared" si="35"/>
        <v>1.5811759661255032E-3</v>
      </c>
      <c r="J1304" s="83">
        <v>111.81932251055977</v>
      </c>
      <c r="K1304" s="83">
        <v>112.08375069401528</v>
      </c>
      <c r="L1304" s="83">
        <v>110.6090317326112</v>
      </c>
      <c r="M1304" s="83">
        <v>110.64878045785731</v>
      </c>
      <c r="N1304" s="83">
        <v>25950564.082571398</v>
      </c>
      <c r="O1304" s="83" t="s">
        <v>927</v>
      </c>
      <c r="P1304" s="84">
        <f t="shared" si="36"/>
        <v>1.0578897009608568E-2</v>
      </c>
    </row>
    <row r="1305" spans="2:16" ht="15" customHeight="1">
      <c r="B1305" s="83">
        <v>351.72757179703473</v>
      </c>
      <c r="C1305" s="83">
        <v>352.73584619510262</v>
      </c>
      <c r="D1305" s="83">
        <v>351.17160740931507</v>
      </c>
      <c r="E1305" s="83">
        <v>351.52026304229184</v>
      </c>
      <c r="F1305" s="83">
        <v>3802868.9187660567</v>
      </c>
      <c r="G1305" s="83" t="s">
        <v>926</v>
      </c>
      <c r="H1305" s="84">
        <f t="shared" si="35"/>
        <v>5.8974908856934682E-4</v>
      </c>
      <c r="J1305" s="83">
        <v>110.58018818470532</v>
      </c>
      <c r="K1305" s="83">
        <v>111.22187387049678</v>
      </c>
      <c r="L1305" s="83">
        <v>110.08562795437032</v>
      </c>
      <c r="M1305" s="83">
        <v>110.46835295674012</v>
      </c>
      <c r="N1305" s="83">
        <v>27221574.591390911</v>
      </c>
      <c r="O1305" s="83" t="s">
        <v>926</v>
      </c>
      <c r="P1305" s="84">
        <f t="shared" si="36"/>
        <v>1.0123734533182827E-3</v>
      </c>
    </row>
    <row r="1306" spans="2:16" ht="15" customHeight="1">
      <c r="B1306" s="83">
        <v>351.9254574265621</v>
      </c>
      <c r="C1306" s="83">
        <v>352.49084493949732</v>
      </c>
      <c r="D1306" s="83">
        <v>349.41890611921571</v>
      </c>
      <c r="E1306" s="83">
        <v>349.49429112094037</v>
      </c>
      <c r="F1306" s="83">
        <v>3994529.3242770024</v>
      </c>
      <c r="G1306" s="83" t="s">
        <v>925</v>
      </c>
      <c r="H1306" s="84">
        <f t="shared" si="35"/>
        <v>6.9562403947263096E-3</v>
      </c>
      <c r="J1306" s="83">
        <v>110.61995182131518</v>
      </c>
      <c r="K1306" s="83">
        <v>111.20447727947997</v>
      </c>
      <c r="L1306" s="83">
        <v>106.94529475310739</v>
      </c>
      <c r="M1306" s="83">
        <v>107.01090475351364</v>
      </c>
      <c r="N1306" s="83">
        <v>43554869.414810397</v>
      </c>
      <c r="O1306" s="83" t="s">
        <v>925</v>
      </c>
      <c r="P1306" s="84">
        <f t="shared" si="36"/>
        <v>3.3725974713647577E-2</v>
      </c>
    </row>
    <row r="1307" spans="2:16" ht="15" customHeight="1">
      <c r="B1307" s="83">
        <v>346.92177793708493</v>
      </c>
      <c r="C1307" s="83">
        <v>347.04427856488758</v>
      </c>
      <c r="D1307" s="83">
        <v>344.91465226616464</v>
      </c>
      <c r="E1307" s="83">
        <v>345.07484539482965</v>
      </c>
      <c r="F1307" s="83">
        <v>5446156.0072560376</v>
      </c>
      <c r="G1307" s="83" t="s">
        <v>924</v>
      </c>
      <c r="H1307" s="84">
        <f t="shared" si="35"/>
        <v>5.3522665210268272E-3</v>
      </c>
      <c r="J1307" s="83">
        <v>106.25589270338411</v>
      </c>
      <c r="K1307" s="83">
        <v>106.51385929589051</v>
      </c>
      <c r="L1307" s="83">
        <v>104.22496496353601</v>
      </c>
      <c r="M1307" s="83">
        <v>104.27765178204406</v>
      </c>
      <c r="N1307" s="83">
        <v>34181541.626484551</v>
      </c>
      <c r="O1307" s="83" t="s">
        <v>924</v>
      </c>
      <c r="P1307" s="84">
        <f t="shared" si="36"/>
        <v>1.8970900164446247E-2</v>
      </c>
    </row>
    <row r="1308" spans="2:16" ht="15" customHeight="1">
      <c r="B1308" s="83">
        <v>343.28445160386798</v>
      </c>
      <c r="C1308" s="83">
        <v>344.71676663663732</v>
      </c>
      <c r="D1308" s="83">
        <v>342.42694720924942</v>
      </c>
      <c r="E1308" s="83">
        <v>342.42694720924942</v>
      </c>
      <c r="F1308" s="83">
        <v>7927671.3713221261</v>
      </c>
      <c r="G1308" s="83" t="s">
        <v>923</v>
      </c>
      <c r="H1308" s="84">
        <f t="shared" si="35"/>
        <v>2.5041965931920096E-3</v>
      </c>
      <c r="J1308" s="83">
        <v>102.82031450029307</v>
      </c>
      <c r="K1308" s="83">
        <v>104.04788257834862</v>
      </c>
      <c r="L1308" s="83">
        <v>102.22957597390796</v>
      </c>
      <c r="M1308" s="83">
        <v>102.34762427009345</v>
      </c>
      <c r="N1308" s="83">
        <v>29372162.598193496</v>
      </c>
      <c r="O1308" s="83" t="s">
        <v>923</v>
      </c>
      <c r="P1308" s="84">
        <f t="shared" si="36"/>
        <v>4.6184777963405033E-3</v>
      </c>
    </row>
    <row r="1309" spans="2:16" ht="15" customHeight="1">
      <c r="B1309" s="83">
        <v>341.92752157282331</v>
      </c>
      <c r="C1309" s="83">
        <v>342.5023322109742</v>
      </c>
      <c r="D1309" s="83">
        <v>340.42924466354481</v>
      </c>
      <c r="E1309" s="83">
        <v>341.64482781635564</v>
      </c>
      <c r="F1309" s="83">
        <v>3922443.8977906452</v>
      </c>
      <c r="G1309" s="83" t="s">
        <v>922</v>
      </c>
      <c r="H1309" s="84">
        <f t="shared" si="35"/>
        <v>8.2744924977951051E-4</v>
      </c>
      <c r="J1309" s="83">
        <v>102.16968199626437</v>
      </c>
      <c r="K1309" s="83">
        <v>102.92717927368204</v>
      </c>
      <c r="L1309" s="83">
        <v>101.59758267454016</v>
      </c>
      <c r="M1309" s="83">
        <v>102.27356449690762</v>
      </c>
      <c r="N1309" s="83">
        <v>20858736.039111096</v>
      </c>
      <c r="O1309" s="83" t="s">
        <v>922</v>
      </c>
      <c r="P1309" s="84">
        <f t="shared" si="36"/>
        <v>-1.0157316913149694E-3</v>
      </c>
    </row>
    <row r="1310" spans="2:16" ht="15" customHeight="1">
      <c r="B1310" s="83">
        <v>342.80387221787299</v>
      </c>
      <c r="C1310" s="83">
        <v>343.64253036206031</v>
      </c>
      <c r="D1310" s="83">
        <v>340.27819196633891</v>
      </c>
      <c r="E1310" s="83">
        <v>341.65425094157126</v>
      </c>
      <c r="F1310" s="83">
        <v>3335762.7412190591</v>
      </c>
      <c r="G1310" s="83" t="s">
        <v>921</v>
      </c>
      <c r="H1310" s="84">
        <f t="shared" si="35"/>
        <v>3.3648674738671058E-3</v>
      </c>
      <c r="J1310" s="83">
        <v>102.19006086002692</v>
      </c>
      <c r="K1310" s="83">
        <v>102.31332813351746</v>
      </c>
      <c r="L1310" s="83">
        <v>100.18547652943285</v>
      </c>
      <c r="M1310" s="83">
        <v>100.79485426047881</v>
      </c>
      <c r="N1310" s="83">
        <v>24741741.044788864</v>
      </c>
      <c r="O1310" s="83" t="s">
        <v>921</v>
      </c>
      <c r="P1310" s="84">
        <f t="shared" si="36"/>
        <v>1.3842041935420157E-2</v>
      </c>
    </row>
    <row r="1311" spans="2:16" ht="15" customHeight="1">
      <c r="B1311" s="83">
        <v>343.01118097261588</v>
      </c>
      <c r="C1311" s="83">
        <v>343.35041348037709</v>
      </c>
      <c r="D1311" s="83">
        <v>338.05461710921668</v>
      </c>
      <c r="E1311" s="83">
        <v>338.63885087258313</v>
      </c>
      <c r="F1311" s="83">
        <v>3526052.0517159402</v>
      </c>
      <c r="G1311" s="83" t="s">
        <v>920</v>
      </c>
      <c r="H1311" s="84">
        <f t="shared" si="35"/>
        <v>1.2911483985863947E-2</v>
      </c>
      <c r="J1311" s="83">
        <v>101.17608812647575</v>
      </c>
      <c r="K1311" s="83">
        <v>101.94352631304585</v>
      </c>
      <c r="L1311" s="83">
        <v>100.10595422666773</v>
      </c>
      <c r="M1311" s="83">
        <v>101.340610172949</v>
      </c>
      <c r="N1311" s="83">
        <v>30053589.20577113</v>
      </c>
      <c r="O1311" s="83" t="s">
        <v>920</v>
      </c>
      <c r="P1311" s="84">
        <f t="shared" si="36"/>
        <v>-1.6234562451565848E-3</v>
      </c>
    </row>
    <row r="1312" spans="2:16" ht="15" customHeight="1">
      <c r="B1312" s="83">
        <v>337.50572006540858</v>
      </c>
      <c r="C1312" s="83">
        <v>338.26631220644572</v>
      </c>
      <c r="D1312" s="83">
        <v>332.53839608258573</v>
      </c>
      <c r="E1312" s="83">
        <v>334.36006121050184</v>
      </c>
      <c r="F1312" s="83">
        <v>5843749.2582281828</v>
      </c>
      <c r="G1312" s="83" t="s">
        <v>919</v>
      </c>
      <c r="H1312" s="84">
        <f t="shared" si="35"/>
        <v>9.4079982026511466E-3</v>
      </c>
      <c r="J1312" s="83">
        <v>101.61398517464171</v>
      </c>
      <c r="K1312" s="83">
        <v>102.33519813365288</v>
      </c>
      <c r="L1312" s="83">
        <v>99.942421300655141</v>
      </c>
      <c r="M1312" s="83">
        <v>101.63635222023476</v>
      </c>
      <c r="N1312" s="83">
        <v>28546825.611991629</v>
      </c>
      <c r="O1312" s="83" t="s">
        <v>919</v>
      </c>
      <c r="P1312" s="84">
        <f t="shared" si="36"/>
        <v>-2.2006934629625885E-4</v>
      </c>
    </row>
    <row r="1313" spans="2:16" ht="15" customHeight="1">
      <c r="B1313" s="83">
        <v>335.61832475246456</v>
      </c>
      <c r="C1313" s="83">
        <v>340.17248757225485</v>
      </c>
      <c r="D1313" s="83">
        <v>335.61832475246456</v>
      </c>
      <c r="E1313" s="83">
        <v>338.70764344877585</v>
      </c>
      <c r="F1313" s="83">
        <v>4365251.8227082938</v>
      </c>
      <c r="G1313" s="83" t="s">
        <v>918</v>
      </c>
      <c r="H1313" s="84">
        <f t="shared" si="35"/>
        <v>-9.1209004463417287E-3</v>
      </c>
      <c r="J1313" s="83">
        <v>101.64877835667534</v>
      </c>
      <c r="K1313" s="83">
        <v>103.29648404869602</v>
      </c>
      <c r="L1313" s="83">
        <v>101.47456392377843</v>
      </c>
      <c r="M1313" s="83">
        <v>102.6582776811079</v>
      </c>
      <c r="N1313" s="83">
        <v>23217775.805025339</v>
      </c>
      <c r="O1313" s="83" t="s">
        <v>918</v>
      </c>
      <c r="P1313" s="84">
        <f t="shared" si="36"/>
        <v>-9.833589138992016E-3</v>
      </c>
    </row>
    <row r="1314" spans="2:16" ht="15" customHeight="1">
      <c r="B1314" s="83">
        <v>337.48694001254347</v>
      </c>
      <c r="C1314" s="83">
        <v>340.80161934323615</v>
      </c>
      <c r="D1314" s="83">
        <v>336.64183763361325</v>
      </c>
      <c r="E1314" s="83">
        <v>339.47762561624558</v>
      </c>
      <c r="F1314" s="83">
        <v>5276453.7305467734</v>
      </c>
      <c r="G1314" s="83" t="s">
        <v>917</v>
      </c>
      <c r="H1314" s="84">
        <f t="shared" si="35"/>
        <v>-5.8639670290153711E-3</v>
      </c>
      <c r="J1314" s="83">
        <v>102.04144426819761</v>
      </c>
      <c r="K1314" s="83">
        <v>103.00285444460513</v>
      </c>
      <c r="L1314" s="83">
        <v>101.35850380942344</v>
      </c>
      <c r="M1314" s="83">
        <v>101.9788165405371</v>
      </c>
      <c r="N1314" s="83">
        <v>27502454.333593197</v>
      </c>
      <c r="O1314" s="83" t="s">
        <v>917</v>
      </c>
      <c r="P1314" s="84">
        <f t="shared" si="36"/>
        <v>6.1412487205725341E-4</v>
      </c>
    </row>
    <row r="1315" spans="2:16" ht="15" customHeight="1">
      <c r="B1315" s="83">
        <v>339.98468704360369</v>
      </c>
      <c r="C1315" s="83">
        <v>341.32746082345938</v>
      </c>
      <c r="D1315" s="83">
        <v>337.81559093768294</v>
      </c>
      <c r="E1315" s="83">
        <v>337.84376101698064</v>
      </c>
      <c r="F1315" s="83">
        <v>3639656.421147278</v>
      </c>
      <c r="G1315" s="83" t="s">
        <v>916</v>
      </c>
      <c r="H1315" s="84">
        <f t="shared" si="35"/>
        <v>6.3370299341281022E-3</v>
      </c>
      <c r="J1315" s="83">
        <v>101.32718994559318</v>
      </c>
      <c r="K1315" s="83">
        <v>102.29145813338204</v>
      </c>
      <c r="L1315" s="83">
        <v>100.70488903264902</v>
      </c>
      <c r="M1315" s="83">
        <v>101.48872971932069</v>
      </c>
      <c r="N1315" s="83">
        <v>39328716.720356606</v>
      </c>
      <c r="O1315" s="83" t="s">
        <v>916</v>
      </c>
      <c r="P1315" s="84">
        <f t="shared" si="36"/>
        <v>-1.5917016024761255E-3</v>
      </c>
    </row>
    <row r="1316" spans="2:16" ht="15" customHeight="1">
      <c r="B1316" s="83">
        <v>337.31791953675742</v>
      </c>
      <c r="C1316" s="83">
        <v>339.13958466467358</v>
      </c>
      <c r="D1316" s="83">
        <v>335.35540401235289</v>
      </c>
      <c r="E1316" s="83">
        <v>337.7123006469248</v>
      </c>
      <c r="F1316" s="83">
        <v>5732415.1733341021</v>
      </c>
      <c r="G1316" s="83" t="s">
        <v>915</v>
      </c>
      <c r="H1316" s="84">
        <f t="shared" si="35"/>
        <v>-1.167802029751086E-3</v>
      </c>
      <c r="J1316" s="83">
        <v>101.55632790155744</v>
      </c>
      <c r="K1316" s="83">
        <v>102.04840290460433</v>
      </c>
      <c r="L1316" s="83">
        <v>100.28786789370322</v>
      </c>
      <c r="M1316" s="83">
        <v>101.49916767393078</v>
      </c>
      <c r="N1316" s="83">
        <v>46573064.183501907</v>
      </c>
      <c r="O1316" s="83" t="s">
        <v>915</v>
      </c>
      <c r="P1316" s="84">
        <f t="shared" si="36"/>
        <v>5.6315957003993944E-4</v>
      </c>
    </row>
    <row r="1317" spans="2:16" ht="15" customHeight="1">
      <c r="B1317" s="83">
        <v>337.91888122844108</v>
      </c>
      <c r="C1317" s="83">
        <v>342.51060415396159</v>
      </c>
      <c r="D1317" s="83">
        <v>337.36486966892016</v>
      </c>
      <c r="E1317" s="83">
        <v>340.60442878815252</v>
      </c>
      <c r="F1317" s="83">
        <v>5403596.0776503542</v>
      </c>
      <c r="G1317" s="83" t="s">
        <v>914</v>
      </c>
      <c r="H1317" s="84">
        <f t="shared" si="35"/>
        <v>-7.8846524963472886E-3</v>
      </c>
      <c r="J1317" s="83">
        <v>101.20939017213649</v>
      </c>
      <c r="K1317" s="83">
        <v>103.16178472968014</v>
      </c>
      <c r="L1317" s="83">
        <v>101.07667903495111</v>
      </c>
      <c r="M1317" s="83">
        <v>102.4410688161266</v>
      </c>
      <c r="N1317" s="83">
        <v>27410571.389489062</v>
      </c>
      <c r="O1317" s="83" t="s">
        <v>914</v>
      </c>
      <c r="P1317" s="84">
        <f t="shared" si="36"/>
        <v>-1.2023289665211045E-2</v>
      </c>
    </row>
    <row r="1318" spans="2:16" ht="15" customHeight="1">
      <c r="B1318" s="83">
        <v>342.96132542272437</v>
      </c>
      <c r="C1318" s="83">
        <v>343.72191756376151</v>
      </c>
      <c r="D1318" s="83">
        <v>339.5621358541386</v>
      </c>
      <c r="E1318" s="83">
        <v>340.69832905247802</v>
      </c>
      <c r="F1318" s="83">
        <v>5337103.1870834893</v>
      </c>
      <c r="G1318" s="83" t="s">
        <v>913</v>
      </c>
      <c r="H1318" s="84">
        <f t="shared" si="35"/>
        <v>6.6422291431249558E-3</v>
      </c>
      <c r="J1318" s="83">
        <v>103.93618155265698</v>
      </c>
      <c r="K1318" s="83">
        <v>104.86565655841224</v>
      </c>
      <c r="L1318" s="83">
        <v>102.09313699579042</v>
      </c>
      <c r="M1318" s="83">
        <v>103.18812813893418</v>
      </c>
      <c r="N1318" s="83">
        <v>26134752.467347696</v>
      </c>
      <c r="O1318" s="83" t="s">
        <v>913</v>
      </c>
      <c r="P1318" s="84">
        <f t="shared" si="36"/>
        <v>7.2494135441201202E-3</v>
      </c>
    </row>
    <row r="1319" spans="2:16" ht="15" customHeight="1">
      <c r="B1319" s="83">
        <v>341.84391227725007</v>
      </c>
      <c r="C1319" s="83">
        <v>343.46838685008242</v>
      </c>
      <c r="D1319" s="83">
        <v>341.09271016264546</v>
      </c>
      <c r="E1319" s="83">
        <v>342.84864510553371</v>
      </c>
      <c r="F1319" s="83">
        <v>3938643.8649169533</v>
      </c>
      <c r="G1319" s="83" t="s">
        <v>912</v>
      </c>
      <c r="H1319" s="84">
        <f t="shared" si="35"/>
        <v>-2.9305433829973637E-3</v>
      </c>
      <c r="J1319" s="83">
        <v>104.00775609855471</v>
      </c>
      <c r="K1319" s="83">
        <v>105.55058519901689</v>
      </c>
      <c r="L1319" s="83">
        <v>102.88840972798742</v>
      </c>
      <c r="M1319" s="83">
        <v>103.33525359439061</v>
      </c>
      <c r="N1319" s="83">
        <v>30008603.380718175</v>
      </c>
      <c r="O1319" s="83" t="s">
        <v>912</v>
      </c>
      <c r="P1319" s="84">
        <f t="shared" si="36"/>
        <v>6.5079678112931472E-3</v>
      </c>
    </row>
    <row r="1320" spans="2:16" ht="15" customHeight="1">
      <c r="B1320" s="83">
        <v>342.22890336098487</v>
      </c>
      <c r="C1320" s="83">
        <v>342.50121412752907</v>
      </c>
      <c r="D1320" s="83">
        <v>338.46350276152941</v>
      </c>
      <c r="E1320" s="83">
        <v>340.54808862955713</v>
      </c>
      <c r="F1320" s="83">
        <v>3367691.2655279567</v>
      </c>
      <c r="G1320" s="83" t="s">
        <v>911</v>
      </c>
      <c r="H1320" s="84">
        <f t="shared" si="35"/>
        <v>4.935616400584486E-3</v>
      </c>
      <c r="J1320" s="83">
        <v>102.71394677236169</v>
      </c>
      <c r="K1320" s="83">
        <v>102.74227836344622</v>
      </c>
      <c r="L1320" s="83">
        <v>101.57173631074376</v>
      </c>
      <c r="M1320" s="83">
        <v>102.50568472561763</v>
      </c>
      <c r="N1320" s="83">
        <v>26120850.318371136</v>
      </c>
      <c r="O1320" s="83" t="s">
        <v>911</v>
      </c>
      <c r="P1320" s="84">
        <f t="shared" si="36"/>
        <v>2.0317121660280435E-3</v>
      </c>
    </row>
    <row r="1321" spans="2:16" ht="15" customHeight="1">
      <c r="B1321" s="83">
        <v>340.25699781014788</v>
      </c>
      <c r="C1321" s="83">
        <v>340.34150804804085</v>
      </c>
      <c r="D1321" s="83">
        <v>337.72732468921691</v>
      </c>
      <c r="E1321" s="83">
        <v>338.51045289369222</v>
      </c>
      <c r="F1321" s="83">
        <v>5162217.6303925952</v>
      </c>
      <c r="G1321" s="83" t="s">
        <v>910</v>
      </c>
      <c r="H1321" s="84">
        <f t="shared" si="35"/>
        <v>5.159500693481256E-3</v>
      </c>
      <c r="J1321" s="83">
        <v>102.48679699822794</v>
      </c>
      <c r="K1321" s="83">
        <v>103.89542382513189</v>
      </c>
      <c r="L1321" s="83">
        <v>101.7725426756235</v>
      </c>
      <c r="M1321" s="83">
        <v>103.63397791442212</v>
      </c>
      <c r="N1321" s="83">
        <v>34721049.624972939</v>
      </c>
      <c r="O1321" s="83" t="s">
        <v>910</v>
      </c>
      <c r="P1321" s="84">
        <f t="shared" si="36"/>
        <v>-1.1069544364508355E-2</v>
      </c>
    </row>
    <row r="1322" spans="2:16" ht="15" customHeight="1">
      <c r="B1322" s="83">
        <v>339.77810646208746</v>
      </c>
      <c r="C1322" s="83">
        <v>341.57160151070588</v>
      </c>
      <c r="D1322" s="83">
        <v>338.19166149630689</v>
      </c>
      <c r="E1322" s="83">
        <v>338.66069331661311</v>
      </c>
      <c r="F1322" s="83">
        <v>3557730.1341953375</v>
      </c>
      <c r="G1322" s="83" t="s">
        <v>909</v>
      </c>
      <c r="H1322" s="84">
        <f t="shared" si="35"/>
        <v>3.2995064603782431E-3</v>
      </c>
      <c r="J1322" s="83">
        <v>105.11368224176617</v>
      </c>
      <c r="K1322" s="83">
        <v>105.65695292694824</v>
      </c>
      <c r="L1322" s="83">
        <v>103.00670654690173</v>
      </c>
      <c r="M1322" s="83">
        <v>103.0902101837824</v>
      </c>
      <c r="N1322" s="83">
        <v>24928907.024425551</v>
      </c>
      <c r="O1322" s="83" t="s">
        <v>909</v>
      </c>
      <c r="P1322" s="84">
        <f t="shared" si="36"/>
        <v>1.9628168905432064E-2</v>
      </c>
    </row>
    <row r="1323" spans="2:16" ht="15" customHeight="1">
      <c r="B1323" s="83">
        <v>336.22867647058075</v>
      </c>
      <c r="C1323" s="83">
        <v>337.89071114914339</v>
      </c>
      <c r="D1323" s="83">
        <v>335.11126332510645</v>
      </c>
      <c r="E1323" s="83">
        <v>336.44464707852961</v>
      </c>
      <c r="F1323" s="83">
        <v>7701157.2352204239</v>
      </c>
      <c r="G1323" s="83" t="s">
        <v>908</v>
      </c>
      <c r="H1323" s="84">
        <f t="shared" si="35"/>
        <v>-6.4192017862141348E-4</v>
      </c>
      <c r="J1323" s="83">
        <v>102.1443326779256</v>
      </c>
      <c r="K1323" s="83">
        <v>103.13693245679899</v>
      </c>
      <c r="L1323" s="83">
        <v>101.06773221671391</v>
      </c>
      <c r="M1323" s="83">
        <v>102.9758897285291</v>
      </c>
      <c r="N1323" s="83">
        <v>25522655.534695145</v>
      </c>
      <c r="O1323" s="83" t="s">
        <v>908</v>
      </c>
      <c r="P1323" s="84">
        <f t="shared" si="36"/>
        <v>-8.0752596825887091E-3</v>
      </c>
    </row>
    <row r="1324" spans="2:16" ht="15" customHeight="1">
      <c r="B1324" s="83">
        <v>334.16287065541815</v>
      </c>
      <c r="C1324" s="83">
        <v>336.5948875014505</v>
      </c>
      <c r="D1324" s="83">
        <v>332.62290632047876</v>
      </c>
      <c r="E1324" s="83">
        <v>333.1111876949717</v>
      </c>
      <c r="F1324" s="83">
        <v>6469723.001988899</v>
      </c>
      <c r="G1324" s="83" t="s">
        <v>907</v>
      </c>
      <c r="H1324" s="84">
        <f t="shared" si="35"/>
        <v>3.1571529245948415E-3</v>
      </c>
      <c r="J1324" s="83">
        <v>102.02852108629941</v>
      </c>
      <c r="K1324" s="83">
        <v>103.28803427591642</v>
      </c>
      <c r="L1324" s="83">
        <v>101.78645994843694</v>
      </c>
      <c r="M1324" s="83">
        <v>102.88840972798742</v>
      </c>
      <c r="N1324" s="83">
        <v>34147902.852115795</v>
      </c>
      <c r="O1324" s="83" t="s">
        <v>907</v>
      </c>
      <c r="P1324" s="84">
        <f t="shared" si="36"/>
        <v>-8.3574879227054089E-3</v>
      </c>
    </row>
    <row r="1325" spans="2:16" ht="15" customHeight="1">
      <c r="B1325" s="83">
        <v>329.55236767703246</v>
      </c>
      <c r="C1325" s="83">
        <v>334.66054205634367</v>
      </c>
      <c r="D1325" s="83">
        <v>329.2706668840558</v>
      </c>
      <c r="E1325" s="83">
        <v>332.05950473452532</v>
      </c>
      <c r="F1325" s="83">
        <v>6031375.9931105655</v>
      </c>
      <c r="G1325" s="83" t="s">
        <v>906</v>
      </c>
      <c r="H1325" s="84">
        <f t="shared" si="35"/>
        <v>-7.5502644006448794E-3</v>
      </c>
      <c r="J1325" s="83">
        <v>100.61045039570064</v>
      </c>
      <c r="K1325" s="83">
        <v>105.81153406426904</v>
      </c>
      <c r="L1325" s="83">
        <v>100.4832067585491</v>
      </c>
      <c r="M1325" s="83">
        <v>104.43571223756823</v>
      </c>
      <c r="N1325" s="83">
        <v>33144433.265279371</v>
      </c>
      <c r="O1325" s="83" t="s">
        <v>906</v>
      </c>
      <c r="P1325" s="84">
        <f t="shared" si="36"/>
        <v>-3.6627909743804477E-2</v>
      </c>
    </row>
    <row r="1326" spans="2:16" ht="15" customHeight="1">
      <c r="B1326" s="83">
        <v>331.17684224986493</v>
      </c>
      <c r="C1326" s="83">
        <v>332.15340499885087</v>
      </c>
      <c r="D1326" s="83">
        <v>321.69291555298196</v>
      </c>
      <c r="E1326" s="83">
        <v>328.43495453155816</v>
      </c>
      <c r="F1326" s="83">
        <v>9287796.006368421</v>
      </c>
      <c r="G1326" s="83" t="s">
        <v>905</v>
      </c>
      <c r="H1326" s="84">
        <f t="shared" si="35"/>
        <v>8.3483431969579858E-3</v>
      </c>
      <c r="J1326" s="83">
        <v>104.80402292166696</v>
      </c>
      <c r="K1326" s="83">
        <v>105.2796954246123</v>
      </c>
      <c r="L1326" s="83">
        <v>101.71612801618328</v>
      </c>
      <c r="M1326" s="83">
        <v>103.04348791076583</v>
      </c>
      <c r="N1326" s="83">
        <v>44165336.717843413</v>
      </c>
      <c r="O1326" s="83" t="s">
        <v>905</v>
      </c>
      <c r="P1326" s="84">
        <f t="shared" si="36"/>
        <v>1.7085359265262001E-2</v>
      </c>
    </row>
    <row r="1327" spans="2:16" ht="15" customHeight="1">
      <c r="B1327" s="83">
        <v>325.21417546519098</v>
      </c>
      <c r="C1327" s="83">
        <v>331.48671312213929</v>
      </c>
      <c r="D1327" s="83">
        <v>321.05908876878436</v>
      </c>
      <c r="E1327" s="83">
        <v>329.11103643470233</v>
      </c>
      <c r="F1327" s="83">
        <v>7033490.318089867</v>
      </c>
      <c r="G1327" s="83" t="s">
        <v>904</v>
      </c>
      <c r="H1327" s="84">
        <f t="shared" si="35"/>
        <v>-1.1840566064652558E-2</v>
      </c>
      <c r="J1327" s="83">
        <v>101.84908767609747</v>
      </c>
      <c r="K1327" s="83">
        <v>103.8447251884543</v>
      </c>
      <c r="L1327" s="83">
        <v>100.41660266722761</v>
      </c>
      <c r="M1327" s="83">
        <v>100.57068675909078</v>
      </c>
      <c r="N1327" s="83">
        <v>42611917.431623034</v>
      </c>
      <c r="O1327" s="83" t="s">
        <v>904</v>
      </c>
      <c r="P1327" s="84">
        <f t="shared" si="36"/>
        <v>1.2711466513786407E-2</v>
      </c>
    </row>
    <row r="1328" spans="2:16" ht="15" customHeight="1">
      <c r="B1328" s="83">
        <v>329.2706668840558</v>
      </c>
      <c r="C1328" s="83">
        <v>333.94690004746928</v>
      </c>
      <c r="D1328" s="83">
        <v>329.17676661973019</v>
      </c>
      <c r="E1328" s="83">
        <v>333.0642375628089</v>
      </c>
      <c r="F1328" s="83">
        <v>6728027.9191710567</v>
      </c>
      <c r="G1328" s="83" t="s">
        <v>903</v>
      </c>
      <c r="H1328" s="84">
        <f t="shared" ref="H1328:H1391" si="37">B1328/E1328-1</f>
        <v>-1.1389906963631069E-2</v>
      </c>
      <c r="J1328" s="83">
        <v>100.73669994193691</v>
      </c>
      <c r="K1328" s="83">
        <v>103.80883850641393</v>
      </c>
      <c r="L1328" s="83">
        <v>99.906136982248654</v>
      </c>
      <c r="M1328" s="83">
        <v>102.74973404531057</v>
      </c>
      <c r="N1328" s="83">
        <v>29860065.658729818</v>
      </c>
      <c r="O1328" s="83" t="s">
        <v>903</v>
      </c>
      <c r="P1328" s="84">
        <f t="shared" ref="P1328:P1391" si="38">J1328/M1328-1</f>
        <v>-1.9591623492533405E-2</v>
      </c>
    </row>
    <row r="1329" spans="2:16" ht="15" customHeight="1">
      <c r="B1329" s="83">
        <v>333.6745892809252</v>
      </c>
      <c r="C1329" s="83">
        <v>336.75451795080397</v>
      </c>
      <c r="D1329" s="83">
        <v>333.49617877870662</v>
      </c>
      <c r="E1329" s="83">
        <v>336.51976728999006</v>
      </c>
      <c r="F1329" s="83">
        <v>5817459.6623710208</v>
      </c>
      <c r="G1329" s="83" t="s">
        <v>902</v>
      </c>
      <c r="H1329" s="84">
        <f t="shared" si="37"/>
        <v>-8.4547128746023104E-3</v>
      </c>
      <c r="J1329" s="83">
        <v>103.17868427523933</v>
      </c>
      <c r="K1329" s="83">
        <v>104.5967549658381</v>
      </c>
      <c r="L1329" s="83">
        <v>102.95103745564795</v>
      </c>
      <c r="M1329" s="83">
        <v>103.19608086625614</v>
      </c>
      <c r="N1329" s="83">
        <v>22826785.409641113</v>
      </c>
      <c r="O1329" s="83" t="s">
        <v>902</v>
      </c>
      <c r="P1329" s="84">
        <f t="shared" si="38"/>
        <v>-1.6857802031600144E-4</v>
      </c>
    </row>
    <row r="1330" spans="2:16" ht="15" customHeight="1">
      <c r="B1330" s="83">
        <v>336.27562660274356</v>
      </c>
      <c r="C1330" s="83">
        <v>337.4681599596783</v>
      </c>
      <c r="D1330" s="83">
        <v>332.87643703415779</v>
      </c>
      <c r="E1330" s="83">
        <v>332.92338716632059</v>
      </c>
      <c r="F1330" s="83">
        <v>3967243.3584251795</v>
      </c>
      <c r="G1330" s="83" t="s">
        <v>901</v>
      </c>
      <c r="H1330" s="84">
        <f t="shared" si="37"/>
        <v>1.0069101678183534E-2</v>
      </c>
      <c r="J1330" s="83">
        <v>103.46050904971165</v>
      </c>
      <c r="K1330" s="83">
        <v>103.70952882398083</v>
      </c>
      <c r="L1330" s="83">
        <v>101.70047108426814</v>
      </c>
      <c r="M1330" s="83">
        <v>102.21839245111144</v>
      </c>
      <c r="N1330" s="83">
        <v>28269345.961217765</v>
      </c>
      <c r="O1330" s="83" t="s">
        <v>901</v>
      </c>
      <c r="P1330" s="84">
        <f t="shared" si="38"/>
        <v>1.2151595899869694E-2</v>
      </c>
    </row>
    <row r="1331" spans="2:16" ht="15" customHeight="1">
      <c r="B1331" s="83">
        <v>328.26593405577211</v>
      </c>
      <c r="C1331" s="83">
        <v>332.84620114904499</v>
      </c>
      <c r="D1331" s="83">
        <v>326.50060908645133</v>
      </c>
      <c r="E1331" s="83">
        <v>331.90926431160443</v>
      </c>
      <c r="F1331" s="83">
        <v>8071832.4431124693</v>
      </c>
      <c r="G1331" s="83" t="s">
        <v>900</v>
      </c>
      <c r="H1331" s="84">
        <f t="shared" si="37"/>
        <v>-1.0976886298695976E-2</v>
      </c>
      <c r="J1331" s="83">
        <v>101.24120108142438</v>
      </c>
      <c r="K1331" s="83">
        <v>102.93860634875278</v>
      </c>
      <c r="L1331" s="83">
        <v>100.20734652956827</v>
      </c>
      <c r="M1331" s="83">
        <v>101.92016517653757</v>
      </c>
      <c r="N1331" s="83">
        <v>41923750.997841135</v>
      </c>
      <c r="O1331" s="83" t="s">
        <v>900</v>
      </c>
      <c r="P1331" s="84">
        <f t="shared" si="38"/>
        <v>-6.6617248307745403E-3</v>
      </c>
    </row>
    <row r="1332" spans="2:16" ht="15" customHeight="1">
      <c r="B1332" s="83">
        <v>330.07820915725569</v>
      </c>
      <c r="C1332" s="83">
        <v>338.29448228574336</v>
      </c>
      <c r="D1332" s="83">
        <v>328.72604535096741</v>
      </c>
      <c r="E1332" s="83">
        <v>337.13011900810625</v>
      </c>
      <c r="F1332" s="83">
        <v>7507106.6632558731</v>
      </c>
      <c r="G1332" s="83" t="s">
        <v>899</v>
      </c>
      <c r="H1332" s="84">
        <f t="shared" si="37"/>
        <v>-2.0917472077542243E-2</v>
      </c>
      <c r="J1332" s="83">
        <v>100.96782607973165</v>
      </c>
      <c r="K1332" s="83">
        <v>104.12505385609919</v>
      </c>
      <c r="L1332" s="83">
        <v>100.46730130390516</v>
      </c>
      <c r="M1332" s="83">
        <v>102.76166313629352</v>
      </c>
      <c r="N1332" s="83">
        <v>36786011.660655051</v>
      </c>
      <c r="O1332" s="83" t="s">
        <v>899</v>
      </c>
      <c r="P1332" s="84">
        <f t="shared" si="38"/>
        <v>-1.7456286730029746E-2</v>
      </c>
    </row>
    <row r="1333" spans="2:16" ht="15" customHeight="1">
      <c r="B1333" s="83">
        <v>338.19119199498527</v>
      </c>
      <c r="C1333" s="83">
        <v>338.58557310515266</v>
      </c>
      <c r="D1333" s="83">
        <v>332.59473624118107</v>
      </c>
      <c r="E1333" s="83">
        <v>333.48678875227398</v>
      </c>
      <c r="F1333" s="83">
        <v>3515666.3548399871</v>
      </c>
      <c r="G1333" s="83" t="s">
        <v>898</v>
      </c>
      <c r="H1333" s="84">
        <f t="shared" si="37"/>
        <v>1.4106715472335773E-2</v>
      </c>
      <c r="J1333" s="83">
        <v>104.13946817437025</v>
      </c>
      <c r="K1333" s="83">
        <v>104.41831564655142</v>
      </c>
      <c r="L1333" s="83">
        <v>101.30432585454253</v>
      </c>
      <c r="M1333" s="83">
        <v>101.48823267386307</v>
      </c>
      <c r="N1333" s="83">
        <v>25115388.961999722</v>
      </c>
      <c r="O1333" s="83" t="s">
        <v>898</v>
      </c>
      <c r="P1333" s="84">
        <f t="shared" si="38"/>
        <v>2.6123575420088807E-2</v>
      </c>
    </row>
    <row r="1334" spans="2:16" ht="15" customHeight="1">
      <c r="B1334" s="83">
        <v>334.49152158055767</v>
      </c>
      <c r="C1334" s="83">
        <v>335.74978512252034</v>
      </c>
      <c r="D1334" s="83">
        <v>328.20959389717677</v>
      </c>
      <c r="E1334" s="83">
        <v>332.11584489312065</v>
      </c>
      <c r="F1334" s="83">
        <v>5592162.1070132526</v>
      </c>
      <c r="G1334" s="83" t="s">
        <v>897</v>
      </c>
      <c r="H1334" s="84">
        <f t="shared" si="37"/>
        <v>7.1531567191609469E-3</v>
      </c>
      <c r="J1334" s="83">
        <v>102.93116060779758</v>
      </c>
      <c r="K1334" s="83">
        <v>103.48536132259281</v>
      </c>
      <c r="L1334" s="83">
        <v>99.5094947070654</v>
      </c>
      <c r="M1334" s="83">
        <v>100.65220221414097</v>
      </c>
      <c r="N1334" s="83">
        <v>33545764.767138202</v>
      </c>
      <c r="O1334" s="83" t="s">
        <v>897</v>
      </c>
      <c r="P1334" s="84">
        <f t="shared" si="38"/>
        <v>2.2641912879442394E-2</v>
      </c>
    </row>
    <row r="1335" spans="2:16" ht="15" customHeight="1">
      <c r="B1335" s="83">
        <v>334.06897039109253</v>
      </c>
      <c r="C1335" s="83">
        <v>336.34135678777142</v>
      </c>
      <c r="D1335" s="83">
        <v>333.87177983600884</v>
      </c>
      <c r="E1335" s="83">
        <v>334.13470057612045</v>
      </c>
      <c r="F1335" s="83">
        <v>3504767.5569787621</v>
      </c>
      <c r="G1335" s="83" t="s">
        <v>896</v>
      </c>
      <c r="H1335" s="84">
        <f t="shared" si="37"/>
        <v>-1.9671762589934527E-4</v>
      </c>
      <c r="J1335" s="83">
        <v>102.63391748322979</v>
      </c>
      <c r="K1335" s="83">
        <v>103.95307612776158</v>
      </c>
      <c r="L1335" s="83">
        <v>102.49772702784108</v>
      </c>
      <c r="M1335" s="83">
        <v>102.73929609070048</v>
      </c>
      <c r="N1335" s="83">
        <v>27513238.05552002</v>
      </c>
      <c r="O1335" s="83" t="s">
        <v>896</v>
      </c>
      <c r="P1335" s="84">
        <f t="shared" si="38"/>
        <v>-1.0256894049347487E-3</v>
      </c>
    </row>
    <row r="1336" spans="2:16" ht="15" customHeight="1">
      <c r="B1336" s="83">
        <v>336.71695784507369</v>
      </c>
      <c r="C1336" s="83">
        <v>338.70764344877585</v>
      </c>
      <c r="D1336" s="83">
        <v>336.29440665560867</v>
      </c>
      <c r="E1336" s="83">
        <v>338.48228281439452</v>
      </c>
      <c r="F1336" s="83">
        <v>2648659.2107735388</v>
      </c>
      <c r="G1336" s="83" t="s">
        <v>895</v>
      </c>
      <c r="H1336" s="84">
        <f t="shared" si="37"/>
        <v>-5.2154132105308726E-3</v>
      </c>
      <c r="J1336" s="83">
        <v>104.43620431257128</v>
      </c>
      <c r="K1336" s="83">
        <v>105.89702588298023</v>
      </c>
      <c r="L1336" s="83">
        <v>104.25080635687785</v>
      </c>
      <c r="M1336" s="83">
        <v>105.33735269769657</v>
      </c>
      <c r="N1336" s="83">
        <v>29325527.024636809</v>
      </c>
      <c r="O1336" s="83" t="s">
        <v>895</v>
      </c>
      <c r="P1336" s="84">
        <f t="shared" si="38"/>
        <v>-8.554879746327626E-3</v>
      </c>
    </row>
    <row r="1337" spans="2:16" ht="15" customHeight="1">
      <c r="B1337" s="83">
        <v>337.33669958962253</v>
      </c>
      <c r="C1337" s="83">
        <v>337.97522138703641</v>
      </c>
      <c r="D1337" s="83">
        <v>334.7450522942367</v>
      </c>
      <c r="E1337" s="83">
        <v>336.38830691993422</v>
      </c>
      <c r="F1337" s="83">
        <v>3213055.9180740365</v>
      </c>
      <c r="G1337" s="83" t="s">
        <v>894</v>
      </c>
      <c r="H1337" s="84">
        <f t="shared" si="37"/>
        <v>2.8193389906208122E-3</v>
      </c>
      <c r="J1337" s="83">
        <v>105.23446428796858</v>
      </c>
      <c r="K1337" s="83">
        <v>106.00662937684068</v>
      </c>
      <c r="L1337" s="83">
        <v>104.56394996563499</v>
      </c>
      <c r="M1337" s="83">
        <v>104.89597136087266</v>
      </c>
      <c r="N1337" s="83">
        <v>22570470.825037066</v>
      </c>
      <c r="O1337" s="83" t="s">
        <v>894</v>
      </c>
      <c r="P1337" s="84">
        <f t="shared" si="38"/>
        <v>3.2269392494721494E-3</v>
      </c>
    </row>
    <row r="1338" spans="2:16" ht="15" customHeight="1">
      <c r="B1338" s="83">
        <v>338.78276366023636</v>
      </c>
      <c r="C1338" s="83">
        <v>338.95178413602241</v>
      </c>
      <c r="D1338" s="83">
        <v>336.08989187990755</v>
      </c>
      <c r="E1338" s="83">
        <v>337.13011900810625</v>
      </c>
      <c r="F1338" s="83">
        <v>3429269.3669479038</v>
      </c>
      <c r="G1338" s="83" t="s">
        <v>893</v>
      </c>
      <c r="H1338" s="84">
        <f t="shared" si="37"/>
        <v>4.9020973177729132E-3</v>
      </c>
      <c r="J1338" s="83">
        <v>105.78668676184246</v>
      </c>
      <c r="K1338" s="83">
        <v>106.05259614076168</v>
      </c>
      <c r="L1338" s="83">
        <v>104.32586022097892</v>
      </c>
      <c r="M1338" s="83">
        <v>104.3795461008568</v>
      </c>
      <c r="N1338" s="83">
        <v>21546137.955293708</v>
      </c>
      <c r="O1338" s="83" t="s">
        <v>893</v>
      </c>
      <c r="P1338" s="84">
        <f t="shared" si="38"/>
        <v>1.3481000000000076E-2</v>
      </c>
    </row>
    <row r="1339" spans="2:16" ht="15" customHeight="1">
      <c r="B1339" s="83">
        <v>338.70764344877585</v>
      </c>
      <c r="C1339" s="83">
        <v>340.26638783658041</v>
      </c>
      <c r="D1339" s="83">
        <v>338.02217151919922</v>
      </c>
      <c r="E1339" s="83">
        <v>340.05980725506413</v>
      </c>
      <c r="F1339" s="83">
        <v>4694823.8449200755</v>
      </c>
      <c r="G1339" s="83" t="s">
        <v>892</v>
      </c>
      <c r="H1339" s="84">
        <f t="shared" si="37"/>
        <v>-3.9762529338672747E-3</v>
      </c>
      <c r="J1339" s="83">
        <v>105.46807068259687</v>
      </c>
      <c r="K1339" s="83">
        <v>106.99797660116087</v>
      </c>
      <c r="L1339" s="83">
        <v>104.59626289083506</v>
      </c>
      <c r="M1339" s="83">
        <v>104.59626289083506</v>
      </c>
      <c r="N1339" s="83">
        <v>22811555.414307889</v>
      </c>
      <c r="O1339" s="83" t="s">
        <v>892</v>
      </c>
      <c r="P1339" s="84">
        <f t="shared" si="38"/>
        <v>8.3349803106416154E-3</v>
      </c>
    </row>
    <row r="1340" spans="2:16" ht="15" customHeight="1">
      <c r="B1340" s="83">
        <v>339.02690434748285</v>
      </c>
      <c r="C1340" s="83">
        <v>339.15836471753863</v>
      </c>
      <c r="D1340" s="83">
        <v>336.50098723712495</v>
      </c>
      <c r="E1340" s="83">
        <v>336.58549747501792</v>
      </c>
      <c r="F1340" s="83">
        <v>2283775.253884946</v>
      </c>
      <c r="G1340" s="83" t="s">
        <v>891</v>
      </c>
      <c r="H1340" s="84">
        <f t="shared" si="37"/>
        <v>7.253452364346602E-3</v>
      </c>
      <c r="J1340" s="83">
        <v>104.58383675439448</v>
      </c>
      <c r="K1340" s="83">
        <v>104.81794516493497</v>
      </c>
      <c r="L1340" s="83">
        <v>103.541025443392</v>
      </c>
      <c r="M1340" s="83">
        <v>103.89492677967425</v>
      </c>
      <c r="N1340" s="83">
        <v>17219048.818849448</v>
      </c>
      <c r="O1340" s="83" t="s">
        <v>891</v>
      </c>
      <c r="P1340" s="84">
        <f t="shared" si="38"/>
        <v>6.6308336323406269E-3</v>
      </c>
    </row>
    <row r="1341" spans="2:16" ht="15" customHeight="1">
      <c r="B1341" s="83">
        <v>337.30852951032489</v>
      </c>
      <c r="C1341" s="83">
        <v>338.13485183638994</v>
      </c>
      <c r="D1341" s="83">
        <v>335.07144961303243</v>
      </c>
      <c r="E1341" s="83">
        <v>337.76864080552014</v>
      </c>
      <c r="F1341" s="83">
        <v>2382527.9045468098</v>
      </c>
      <c r="G1341" s="83" t="s">
        <v>890</v>
      </c>
      <c r="H1341" s="84">
        <f t="shared" si="37"/>
        <v>-1.3622084456921257E-3</v>
      </c>
      <c r="J1341" s="83">
        <v>104.17525544731913</v>
      </c>
      <c r="K1341" s="83">
        <v>104.48044632875431</v>
      </c>
      <c r="L1341" s="83">
        <v>103.25225197342212</v>
      </c>
      <c r="M1341" s="83">
        <v>104.35519087343329</v>
      </c>
      <c r="N1341" s="83">
        <v>19025422.836013835</v>
      </c>
      <c r="O1341" s="83" t="s">
        <v>890</v>
      </c>
      <c r="P1341" s="84">
        <f t="shared" si="38"/>
        <v>-1.7242594700669356E-3</v>
      </c>
    </row>
    <row r="1342" spans="2:16" ht="15" customHeight="1">
      <c r="B1342" s="83">
        <v>336.7639079772365</v>
      </c>
      <c r="C1342" s="83">
        <v>338.61374318445036</v>
      </c>
      <c r="D1342" s="83">
        <v>334.56664179201812</v>
      </c>
      <c r="E1342" s="83">
        <v>338.53862297298986</v>
      </c>
      <c r="F1342" s="83">
        <v>2555915.0628997376</v>
      </c>
      <c r="G1342" s="83" t="s">
        <v>889</v>
      </c>
      <c r="H1342" s="84">
        <f t="shared" si="37"/>
        <v>-5.242282195656478E-3</v>
      </c>
      <c r="J1342" s="83">
        <v>104.14990612898033</v>
      </c>
      <c r="K1342" s="83">
        <v>104.79557811934194</v>
      </c>
      <c r="L1342" s="83">
        <v>102.54495628722441</v>
      </c>
      <c r="M1342" s="83">
        <v>104.09175678089302</v>
      </c>
      <c r="N1342" s="83">
        <v>22844268.720003821</v>
      </c>
      <c r="O1342" s="83" t="s">
        <v>889</v>
      </c>
      <c r="P1342" s="84">
        <f t="shared" si="38"/>
        <v>5.5863547590728757E-4</v>
      </c>
    </row>
    <row r="1343" spans="2:16" ht="15" customHeight="1">
      <c r="B1343" s="83">
        <v>336.89536834729228</v>
      </c>
      <c r="C1343" s="83">
        <v>337.41181980108297</v>
      </c>
      <c r="D1343" s="83">
        <v>335.94697567760403</v>
      </c>
      <c r="E1343" s="83">
        <v>336.36952686706917</v>
      </c>
      <c r="F1343" s="83">
        <v>2014094.436883206</v>
      </c>
      <c r="G1343" s="83" t="s">
        <v>888</v>
      </c>
      <c r="H1343" s="84">
        <f t="shared" si="37"/>
        <v>1.5632851320415142E-3</v>
      </c>
      <c r="J1343" s="83">
        <v>103.55991814123628</v>
      </c>
      <c r="K1343" s="83">
        <v>104.63452545016288</v>
      </c>
      <c r="L1343" s="83">
        <v>103.31288654879756</v>
      </c>
      <c r="M1343" s="83">
        <v>103.31288654879756</v>
      </c>
      <c r="N1343" s="83">
        <v>17902789.098109145</v>
      </c>
      <c r="O1343" s="83" t="s">
        <v>888</v>
      </c>
      <c r="P1343" s="84">
        <f t="shared" si="38"/>
        <v>2.3911014462076885E-3</v>
      </c>
    </row>
    <row r="1344" spans="2:16" ht="15" customHeight="1">
      <c r="B1344" s="83">
        <v>337.16767911383647</v>
      </c>
      <c r="C1344" s="83">
        <v>337.16767911383647</v>
      </c>
      <c r="D1344" s="83">
        <v>335.28028380089245</v>
      </c>
      <c r="E1344" s="83">
        <v>336.08782607409239</v>
      </c>
      <c r="F1344" s="83">
        <v>3590053.791874045</v>
      </c>
      <c r="G1344" s="83" t="s">
        <v>887</v>
      </c>
      <c r="H1344" s="84">
        <f t="shared" si="37"/>
        <v>3.2130084935180214E-3</v>
      </c>
      <c r="J1344" s="83">
        <v>104.02713590094744</v>
      </c>
      <c r="K1344" s="83">
        <v>105.5499340694674</v>
      </c>
      <c r="L1344" s="83">
        <v>102.98781881951204</v>
      </c>
      <c r="M1344" s="83">
        <v>104.6732949958575</v>
      </c>
      <c r="N1344" s="83">
        <v>24995923.027668573</v>
      </c>
      <c r="O1344" s="83" t="s">
        <v>887</v>
      </c>
      <c r="P1344" s="84">
        <f t="shared" si="38"/>
        <v>-6.1731036071390744E-3</v>
      </c>
    </row>
    <row r="1345" spans="2:16" ht="15" customHeight="1">
      <c r="B1345" s="83">
        <v>334.69810216207389</v>
      </c>
      <c r="C1345" s="83">
        <v>335.34714078909224</v>
      </c>
      <c r="D1345" s="83">
        <v>333.64266319105445</v>
      </c>
      <c r="E1345" s="83">
        <v>335.1300433779715</v>
      </c>
      <c r="F1345" s="83">
        <v>2227635.9017983265</v>
      </c>
      <c r="G1345" s="83" t="s">
        <v>886</v>
      </c>
      <c r="H1345" s="84">
        <f t="shared" si="37"/>
        <v>-1.288876435976416E-3</v>
      </c>
      <c r="J1345" s="83">
        <v>104.28013700933218</v>
      </c>
      <c r="K1345" s="83">
        <v>104.50430451072022</v>
      </c>
      <c r="L1345" s="83">
        <v>102.35806719515813</v>
      </c>
      <c r="M1345" s="83">
        <v>102.88840972798742</v>
      </c>
      <c r="N1345" s="83">
        <v>30885203.28384085</v>
      </c>
      <c r="O1345" s="83" t="s">
        <v>886</v>
      </c>
      <c r="P1345" s="84">
        <f t="shared" si="38"/>
        <v>1.352657004830915E-2</v>
      </c>
    </row>
    <row r="1346" spans="2:16" ht="15" customHeight="1">
      <c r="B1346" s="83">
        <v>333.36471840865073</v>
      </c>
      <c r="C1346" s="83">
        <v>333.3834984615159</v>
      </c>
      <c r="D1346" s="83">
        <v>330.45381021455802</v>
      </c>
      <c r="E1346" s="83">
        <v>330.64161074320913</v>
      </c>
      <c r="F1346" s="83">
        <v>2117504.1564376955</v>
      </c>
      <c r="G1346" s="83" t="s">
        <v>885</v>
      </c>
      <c r="H1346" s="84">
        <f t="shared" si="37"/>
        <v>8.2358286947630255E-3</v>
      </c>
      <c r="J1346" s="83">
        <v>102.50916901427556</v>
      </c>
      <c r="K1346" s="83">
        <v>103.3133835942552</v>
      </c>
      <c r="L1346" s="83">
        <v>101.52600812864243</v>
      </c>
      <c r="M1346" s="83">
        <v>102.83323271173668</v>
      </c>
      <c r="N1346" s="83">
        <v>37266792.636187464</v>
      </c>
      <c r="O1346" s="83" t="s">
        <v>885</v>
      </c>
      <c r="P1346" s="84">
        <f t="shared" si="38"/>
        <v>-3.1513518433242682E-3</v>
      </c>
    </row>
    <row r="1347" spans="2:16" ht="15" customHeight="1">
      <c r="B1347" s="83">
        <v>329.67443802065571</v>
      </c>
      <c r="C1347" s="83">
        <v>331.28013254062307</v>
      </c>
      <c r="D1347" s="83">
        <v>328.5382448223163</v>
      </c>
      <c r="E1347" s="83">
        <v>330.24722963304174</v>
      </c>
      <c r="F1347" s="83">
        <v>3613204.9514113879</v>
      </c>
      <c r="G1347" s="83" t="s">
        <v>884</v>
      </c>
      <c r="H1347" s="84">
        <f t="shared" si="37"/>
        <v>-1.7344327551891414E-3</v>
      </c>
      <c r="J1347" s="83">
        <v>102.89189401664535</v>
      </c>
      <c r="K1347" s="83">
        <v>105.19967110593497</v>
      </c>
      <c r="L1347" s="83">
        <v>100.32266107573685</v>
      </c>
      <c r="M1347" s="83">
        <v>103.03752336527437</v>
      </c>
      <c r="N1347" s="83">
        <v>82852985.312311217</v>
      </c>
      <c r="O1347" s="83" t="s">
        <v>884</v>
      </c>
      <c r="P1347" s="84">
        <f t="shared" si="38"/>
        <v>-1.4133622768934817E-3</v>
      </c>
    </row>
    <row r="1348" spans="2:16" ht="15" customHeight="1">
      <c r="B1348" s="83">
        <v>329.34578709551624</v>
      </c>
      <c r="C1348" s="83">
        <v>330.84819132472541</v>
      </c>
      <c r="D1348" s="83">
        <v>327.71192249625125</v>
      </c>
      <c r="E1348" s="83">
        <v>327.75887262841405</v>
      </c>
      <c r="F1348" s="83">
        <v>3147199.8734248006</v>
      </c>
      <c r="G1348" s="83" t="s">
        <v>883</v>
      </c>
      <c r="H1348" s="84">
        <f t="shared" si="37"/>
        <v>4.8417132216014291E-3</v>
      </c>
      <c r="J1348" s="83">
        <v>95.806009002315477</v>
      </c>
      <c r="K1348" s="83">
        <v>97.210162420100815</v>
      </c>
      <c r="L1348" s="83">
        <v>95.15885581649016</v>
      </c>
      <c r="M1348" s="83">
        <v>95.5599764712466</v>
      </c>
      <c r="N1348" s="83">
        <v>45744769.72132384</v>
      </c>
      <c r="O1348" s="83" t="s">
        <v>883</v>
      </c>
      <c r="P1348" s="84">
        <f t="shared" si="38"/>
        <v>2.5746399293318234E-3</v>
      </c>
    </row>
    <row r="1349" spans="2:16" ht="15" customHeight="1">
      <c r="B1349" s="83">
        <v>324.67894395853523</v>
      </c>
      <c r="C1349" s="83">
        <v>325.69306681325145</v>
      </c>
      <c r="D1349" s="83">
        <v>320.57550240750766</v>
      </c>
      <c r="E1349" s="83">
        <v>322.66947830196796</v>
      </c>
      <c r="F1349" s="83">
        <v>3550585.3193769911</v>
      </c>
      <c r="G1349" s="83" t="s">
        <v>882</v>
      </c>
      <c r="H1349" s="84">
        <f t="shared" si="37"/>
        <v>6.2276285539679677E-3</v>
      </c>
      <c r="J1349" s="83">
        <v>94.505738085173377</v>
      </c>
      <c r="K1349" s="83">
        <v>95.551611196194813</v>
      </c>
      <c r="L1349" s="83">
        <v>91.999639858292142</v>
      </c>
      <c r="M1349" s="83">
        <v>92.130849918195494</v>
      </c>
      <c r="N1349" s="83">
        <v>32234114.11225117</v>
      </c>
      <c r="O1349" s="83" t="s">
        <v>882</v>
      </c>
      <c r="P1349" s="84">
        <f t="shared" si="38"/>
        <v>2.577733917668823E-2</v>
      </c>
    </row>
    <row r="1350" spans="2:16" ht="15" customHeight="1">
      <c r="B1350" s="83">
        <v>319.42991918273566</v>
      </c>
      <c r="C1350" s="83">
        <v>325.10149514800031</v>
      </c>
      <c r="D1350" s="83">
        <v>317.91812492709391</v>
      </c>
      <c r="E1350" s="83">
        <v>324.24700274263762</v>
      </c>
      <c r="F1350" s="83">
        <v>6180650.3332913369</v>
      </c>
      <c r="G1350" s="83" t="s">
        <v>881</v>
      </c>
      <c r="H1350" s="84">
        <f t="shared" si="37"/>
        <v>-1.485621615360122E-2</v>
      </c>
      <c r="J1350" s="83">
        <v>91.244622837708036</v>
      </c>
      <c r="K1350" s="83">
        <v>92.315258753428253</v>
      </c>
      <c r="L1350" s="83">
        <v>89.975168738938564</v>
      </c>
      <c r="M1350" s="83">
        <v>91.763041250008953</v>
      </c>
      <c r="N1350" s="83">
        <v>32442746.941320553</v>
      </c>
      <c r="O1350" s="83" t="s">
        <v>881</v>
      </c>
      <c r="P1350" s="84">
        <f t="shared" si="38"/>
        <v>-5.6495338999116296E-3</v>
      </c>
    </row>
    <row r="1351" spans="2:16" ht="15" customHeight="1">
      <c r="B1351" s="83">
        <v>325.955987553363</v>
      </c>
      <c r="C1351" s="83">
        <v>329.65631526964091</v>
      </c>
      <c r="D1351" s="83">
        <v>324.50053345631665</v>
      </c>
      <c r="E1351" s="83">
        <v>324.86674448718639</v>
      </c>
      <c r="F1351" s="83">
        <v>3655142.0005590497</v>
      </c>
      <c r="G1351" s="83" t="s">
        <v>880</v>
      </c>
      <c r="H1351" s="84">
        <f t="shared" si="37"/>
        <v>3.3528918692371512E-3</v>
      </c>
      <c r="J1351" s="83">
        <v>92.605036255222529</v>
      </c>
      <c r="K1351" s="83">
        <v>94.380482629852338</v>
      </c>
      <c r="L1351" s="83">
        <v>91.587584203467998</v>
      </c>
      <c r="M1351" s="83">
        <v>91.652195142504425</v>
      </c>
      <c r="N1351" s="83">
        <v>35673558.078151435</v>
      </c>
      <c r="O1351" s="83" t="s">
        <v>880</v>
      </c>
      <c r="P1351" s="84">
        <f t="shared" si="38"/>
        <v>1.0396271592148842E-2</v>
      </c>
    </row>
    <row r="1352" spans="2:16" ht="15" customHeight="1">
      <c r="B1352" s="83">
        <v>323.24226991435398</v>
      </c>
      <c r="C1352" s="83">
        <v>328.23776397647447</v>
      </c>
      <c r="D1352" s="83">
        <v>321.12951396702857</v>
      </c>
      <c r="E1352" s="83">
        <v>328.21898392360936</v>
      </c>
      <c r="F1352" s="83">
        <v>5335844.4046844309</v>
      </c>
      <c r="G1352" s="83" t="s">
        <v>879</v>
      </c>
      <c r="H1352" s="84">
        <f t="shared" si="37"/>
        <v>-1.5162785375064325E-2</v>
      </c>
      <c r="J1352" s="83">
        <v>90.99858533618459</v>
      </c>
      <c r="K1352" s="83">
        <v>93.941591490771131</v>
      </c>
      <c r="L1352" s="83">
        <v>89.915523284023791</v>
      </c>
      <c r="M1352" s="83">
        <v>93.570298533926646</v>
      </c>
      <c r="N1352" s="83">
        <v>55292568.473361328</v>
      </c>
      <c r="O1352" s="83" t="s">
        <v>879</v>
      </c>
      <c r="P1352" s="84">
        <f t="shared" si="38"/>
        <v>-2.7484289758994529E-2</v>
      </c>
    </row>
    <row r="1353" spans="2:16" ht="15" customHeight="1">
      <c r="B1353" s="83">
        <v>331.28013254062307</v>
      </c>
      <c r="C1353" s="83">
        <v>333.01259241742986</v>
      </c>
      <c r="D1353" s="83">
        <v>331.09233201197191</v>
      </c>
      <c r="E1353" s="83">
        <v>332.62290632047876</v>
      </c>
      <c r="F1353" s="83">
        <v>2588111.9903707569</v>
      </c>
      <c r="G1353" s="83" t="s">
        <v>878</v>
      </c>
      <c r="H1353" s="84">
        <f t="shared" si="37"/>
        <v>-4.0369251616181323E-3</v>
      </c>
      <c r="J1353" s="83">
        <v>95.295543317336524</v>
      </c>
      <c r="K1353" s="83">
        <v>95.681250592452074</v>
      </c>
      <c r="L1353" s="83">
        <v>93.655541829909012</v>
      </c>
      <c r="M1353" s="83">
        <v>93.883934217686843</v>
      </c>
      <c r="N1353" s="83">
        <v>26418891.468789056</v>
      </c>
      <c r="O1353" s="83" t="s">
        <v>878</v>
      </c>
      <c r="P1353" s="84">
        <f t="shared" si="38"/>
        <v>1.5035683276508394E-2</v>
      </c>
    </row>
    <row r="1354" spans="2:16" ht="15" customHeight="1">
      <c r="B1354" s="83">
        <v>331.77780394154854</v>
      </c>
      <c r="C1354" s="83">
        <v>332.10776947038863</v>
      </c>
      <c r="D1354" s="83">
        <v>326.74474977369789</v>
      </c>
      <c r="E1354" s="83">
        <v>331.19562230272999</v>
      </c>
      <c r="F1354" s="83">
        <v>3779538.8814826184</v>
      </c>
      <c r="G1354" s="83" t="s">
        <v>877</v>
      </c>
      <c r="H1354" s="84">
        <f t="shared" si="37"/>
        <v>1.7578180374813179E-3</v>
      </c>
      <c r="J1354" s="83">
        <v>94.408814220936875</v>
      </c>
      <c r="K1354" s="83">
        <v>95.908897412043459</v>
      </c>
      <c r="L1354" s="83">
        <v>92.824730347491951</v>
      </c>
      <c r="M1354" s="83">
        <v>95.466029909301255</v>
      </c>
      <c r="N1354" s="83">
        <v>38775527.88061776</v>
      </c>
      <c r="O1354" s="83" t="s">
        <v>877</v>
      </c>
      <c r="P1354" s="84">
        <f t="shared" si="38"/>
        <v>-1.1074260544497339E-2</v>
      </c>
    </row>
    <row r="1355" spans="2:16" ht="15" customHeight="1">
      <c r="B1355" s="83">
        <v>330.43503016169285</v>
      </c>
      <c r="C1355" s="83">
        <v>331.50549317500446</v>
      </c>
      <c r="D1355" s="83">
        <v>329.58053775633016</v>
      </c>
      <c r="E1355" s="83">
        <v>329.94674878719991</v>
      </c>
      <c r="F1355" s="83">
        <v>1929892.3309915119</v>
      </c>
      <c r="G1355" s="83" t="s">
        <v>876</v>
      </c>
      <c r="H1355" s="84">
        <f t="shared" si="37"/>
        <v>1.4798793329158233E-3</v>
      </c>
      <c r="J1355" s="83">
        <v>94.490826721444677</v>
      </c>
      <c r="K1355" s="83">
        <v>94.982901724491583</v>
      </c>
      <c r="L1355" s="83">
        <v>93.532026033689661</v>
      </c>
      <c r="M1355" s="83">
        <v>94.223918281155633</v>
      </c>
      <c r="N1355" s="83">
        <v>25595888.273153443</v>
      </c>
      <c r="O1355" s="83" t="s">
        <v>876</v>
      </c>
      <c r="P1355" s="84">
        <f t="shared" si="38"/>
        <v>2.8327036824409291E-3</v>
      </c>
    </row>
    <row r="1356" spans="2:16" ht="15" customHeight="1">
      <c r="B1356" s="83">
        <v>331.61817349219513</v>
      </c>
      <c r="C1356" s="83">
        <v>332.25200027639272</v>
      </c>
      <c r="D1356" s="83">
        <v>330.81250922428171</v>
      </c>
      <c r="E1356" s="83">
        <v>331.89987428517179</v>
      </c>
      <c r="F1356" s="83">
        <v>2750324.5262927846</v>
      </c>
      <c r="G1356" s="83" t="s">
        <v>875</v>
      </c>
      <c r="H1356" s="84">
        <f t="shared" si="37"/>
        <v>-8.4875233406878081E-4</v>
      </c>
      <c r="J1356" s="83">
        <v>94.003722172974022</v>
      </c>
      <c r="K1356" s="83">
        <v>96.171337413668468</v>
      </c>
      <c r="L1356" s="83">
        <v>93.797945353518031</v>
      </c>
      <c r="M1356" s="83">
        <v>94.339227856869627</v>
      </c>
      <c r="N1356" s="83">
        <v>41524008.887833454</v>
      </c>
      <c r="O1356" s="83" t="s">
        <v>875</v>
      </c>
      <c r="P1356" s="84">
        <f t="shared" si="38"/>
        <v>-3.5563751317175818E-3</v>
      </c>
    </row>
    <row r="1357" spans="2:16" ht="15" customHeight="1">
      <c r="B1357" s="83">
        <v>331.30830261992071</v>
      </c>
      <c r="C1357" s="83">
        <v>332.13462494598576</v>
      </c>
      <c r="D1357" s="83">
        <v>328.62275506020933</v>
      </c>
      <c r="E1357" s="83">
        <v>328.9514059853488</v>
      </c>
      <c r="F1357" s="83">
        <v>3110292.6290747318</v>
      </c>
      <c r="G1357" s="83" t="s">
        <v>874</v>
      </c>
      <c r="H1357" s="84">
        <f t="shared" si="37"/>
        <v>7.1648778259876256E-3</v>
      </c>
      <c r="J1357" s="83">
        <v>93.787507398907962</v>
      </c>
      <c r="K1357" s="83">
        <v>94.623040813172437</v>
      </c>
      <c r="L1357" s="83">
        <v>90.737139425474822</v>
      </c>
      <c r="M1357" s="83">
        <v>91.031887381845337</v>
      </c>
      <c r="N1357" s="83">
        <v>50101212.309803993</v>
      </c>
      <c r="O1357" s="83" t="s">
        <v>874</v>
      </c>
      <c r="P1357" s="84">
        <f t="shared" si="38"/>
        <v>3.0270931388072908E-2</v>
      </c>
    </row>
    <row r="1358" spans="2:16" ht="15" customHeight="1">
      <c r="B1358" s="83">
        <v>326.86682011732108</v>
      </c>
      <c r="C1358" s="83">
        <v>327.32411440458662</v>
      </c>
      <c r="D1358" s="83">
        <v>325.23295551805614</v>
      </c>
      <c r="E1358" s="83">
        <v>326.58511932434436</v>
      </c>
      <c r="F1358" s="83">
        <v>3656848.0660440684</v>
      </c>
      <c r="G1358" s="83" t="s">
        <v>873</v>
      </c>
      <c r="H1358" s="84">
        <f t="shared" si="37"/>
        <v>8.6256469235190814E-4</v>
      </c>
      <c r="J1358" s="83">
        <v>89.013882823895429</v>
      </c>
      <c r="K1358" s="83">
        <v>89.929192034108425</v>
      </c>
      <c r="L1358" s="83">
        <v>86.558478263237191</v>
      </c>
      <c r="M1358" s="83">
        <v>87.094790312012535</v>
      </c>
      <c r="N1358" s="83">
        <v>34898498.183544971</v>
      </c>
      <c r="O1358" s="83" t="s">
        <v>873</v>
      </c>
      <c r="P1358" s="84">
        <f t="shared" si="38"/>
        <v>2.2034527036667084E-2</v>
      </c>
    </row>
    <row r="1359" spans="2:16" ht="15" customHeight="1">
      <c r="B1359" s="83">
        <v>324.30334290123295</v>
      </c>
      <c r="C1359" s="83">
        <v>325.89025736833514</v>
      </c>
      <c r="D1359" s="83">
        <v>322.57557803764234</v>
      </c>
      <c r="E1359" s="83">
        <v>325.14844528016306</v>
      </c>
      <c r="F1359" s="83">
        <v>3857441.750580376</v>
      </c>
      <c r="G1359" s="83" t="s">
        <v>872</v>
      </c>
      <c r="H1359" s="84">
        <f t="shared" si="37"/>
        <v>-2.5991278482108138E-3</v>
      </c>
      <c r="J1359" s="83">
        <v>86.29653033661522</v>
      </c>
      <c r="K1359" s="83">
        <v>87.281182358621209</v>
      </c>
      <c r="L1359" s="83">
        <v>85.568860757109533</v>
      </c>
      <c r="M1359" s="83">
        <v>86.395939428139854</v>
      </c>
      <c r="N1359" s="83">
        <v>27002962.795762375</v>
      </c>
      <c r="O1359" s="83" t="s">
        <v>872</v>
      </c>
      <c r="P1359" s="84">
        <f t="shared" si="38"/>
        <v>-1.1506222651507247E-3</v>
      </c>
    </row>
    <row r="1360" spans="2:16" ht="15" customHeight="1">
      <c r="B1360" s="83">
        <v>326.63206945650717</v>
      </c>
      <c r="C1360" s="83">
        <v>328.94980968085531</v>
      </c>
      <c r="D1360" s="83">
        <v>326.35036866353045</v>
      </c>
      <c r="E1360" s="83">
        <v>328.51007474301866</v>
      </c>
      <c r="F1360" s="83">
        <v>3724635.9476407599</v>
      </c>
      <c r="G1360" s="83" t="s">
        <v>871</v>
      </c>
      <c r="H1360" s="84">
        <f t="shared" si="37"/>
        <v>-5.716735743890311E-3</v>
      </c>
      <c r="J1360" s="83">
        <v>86.494861415116006</v>
      </c>
      <c r="K1360" s="83">
        <v>88.22606577356278</v>
      </c>
      <c r="L1360" s="83">
        <v>86.157859624392955</v>
      </c>
      <c r="M1360" s="83">
        <v>87.162885539706906</v>
      </c>
      <c r="N1360" s="83">
        <v>23729761.169939291</v>
      </c>
      <c r="O1360" s="83" t="s">
        <v>871</v>
      </c>
      <c r="P1360" s="84">
        <f t="shared" si="38"/>
        <v>-7.6640891413189971E-3</v>
      </c>
    </row>
    <row r="1361" spans="2:16" ht="15" customHeight="1">
      <c r="B1361" s="83">
        <v>327.74009257554889</v>
      </c>
      <c r="C1361" s="83">
        <v>328.70726529810236</v>
      </c>
      <c r="D1361" s="83">
        <v>326.13439805558158</v>
      </c>
      <c r="E1361" s="83">
        <v>326.87621014375367</v>
      </c>
      <c r="F1361" s="83">
        <v>3237398.7675475436</v>
      </c>
      <c r="G1361" s="83" t="s">
        <v>870</v>
      </c>
      <c r="H1361" s="84">
        <f t="shared" si="37"/>
        <v>2.642842779581045E-3</v>
      </c>
      <c r="J1361" s="83">
        <v>87.201655085401512</v>
      </c>
      <c r="K1361" s="83">
        <v>87.730262929583716</v>
      </c>
      <c r="L1361" s="83">
        <v>86.386997580357203</v>
      </c>
      <c r="M1361" s="83">
        <v>86.415329171441726</v>
      </c>
      <c r="N1361" s="83">
        <v>22012694.879702486</v>
      </c>
      <c r="O1361" s="83" t="s">
        <v>870</v>
      </c>
      <c r="P1361" s="84">
        <f t="shared" si="38"/>
        <v>9.0993799537553155E-3</v>
      </c>
    </row>
    <row r="1362" spans="2:16" ht="15" customHeight="1">
      <c r="B1362" s="83">
        <v>326.92316027591647</v>
      </c>
      <c r="C1362" s="83">
        <v>327.85277289273961</v>
      </c>
      <c r="D1362" s="83">
        <v>324.86674448718639</v>
      </c>
      <c r="E1362" s="83">
        <v>327.05462064597225</v>
      </c>
      <c r="F1362" s="83">
        <v>2447690.6604128075</v>
      </c>
      <c r="G1362" s="83" t="s">
        <v>869</v>
      </c>
      <c r="H1362" s="84">
        <f t="shared" si="37"/>
        <v>-4.0195233993678414E-4</v>
      </c>
      <c r="J1362" s="83">
        <v>86.811474401167359</v>
      </c>
      <c r="K1362" s="83">
        <v>88.376670547222588</v>
      </c>
      <c r="L1362" s="83">
        <v>85.755754819630411</v>
      </c>
      <c r="M1362" s="83">
        <v>87.177796903435606</v>
      </c>
      <c r="N1362" s="83">
        <v>27315227.997303929</v>
      </c>
      <c r="O1362" s="83" t="s">
        <v>869</v>
      </c>
      <c r="P1362" s="84">
        <f t="shared" si="38"/>
        <v>-4.2020160554643304E-3</v>
      </c>
    </row>
    <row r="1363" spans="2:16" ht="15" customHeight="1">
      <c r="B1363" s="83">
        <v>326.89499019661878</v>
      </c>
      <c r="C1363" s="83">
        <v>328.48190466372097</v>
      </c>
      <c r="D1363" s="83">
        <v>326.02359574367745</v>
      </c>
      <c r="E1363" s="83">
        <v>326.17195816131186</v>
      </c>
      <c r="F1363" s="83">
        <v>3181948.4444052484</v>
      </c>
      <c r="G1363" s="83" t="s">
        <v>868</v>
      </c>
      <c r="H1363" s="84">
        <f t="shared" si="37"/>
        <v>2.2167204053431533E-3</v>
      </c>
      <c r="J1363" s="83">
        <v>87.814015089193205</v>
      </c>
      <c r="K1363" s="83">
        <v>89.185607059049659</v>
      </c>
      <c r="L1363" s="83">
        <v>87.505851875921437</v>
      </c>
      <c r="M1363" s="83">
        <v>88.775793079239378</v>
      </c>
      <c r="N1363" s="83">
        <v>24338518.367815997</v>
      </c>
      <c r="O1363" s="83" t="s">
        <v>868</v>
      </c>
      <c r="P1363" s="84">
        <f t="shared" si="38"/>
        <v>-1.0833786516417976E-2</v>
      </c>
    </row>
    <row r="1364" spans="2:16" ht="15" customHeight="1">
      <c r="B1364" s="83">
        <v>329.04530624967441</v>
      </c>
      <c r="C1364" s="83">
        <v>329.23216777568229</v>
      </c>
      <c r="D1364" s="83">
        <v>325.4958762581677</v>
      </c>
      <c r="E1364" s="83">
        <v>328.5382448223163</v>
      </c>
      <c r="F1364" s="83">
        <v>4002610.6710078721</v>
      </c>
      <c r="G1364" s="83" t="s">
        <v>867</v>
      </c>
      <c r="H1364" s="84">
        <f t="shared" si="37"/>
        <v>1.5433863038756268E-3</v>
      </c>
      <c r="J1364" s="83">
        <v>89.826552147109254</v>
      </c>
      <c r="K1364" s="83">
        <v>89.957275102464124</v>
      </c>
      <c r="L1364" s="83">
        <v>88.152751568563374</v>
      </c>
      <c r="M1364" s="83">
        <v>88.870733732099978</v>
      </c>
      <c r="N1364" s="83">
        <v>41263871.715232961</v>
      </c>
      <c r="O1364" s="83" t="s">
        <v>867</v>
      </c>
      <c r="P1364" s="84">
        <f t="shared" si="38"/>
        <v>1.0755153860781519E-2</v>
      </c>
    </row>
    <row r="1365" spans="2:16" ht="15" customHeight="1">
      <c r="B1365" s="83">
        <v>327.20486106889314</v>
      </c>
      <c r="C1365" s="83">
        <v>327.89972302490236</v>
      </c>
      <c r="D1365" s="83">
        <v>324.46297335058642</v>
      </c>
      <c r="E1365" s="83">
        <v>324.65077387923759</v>
      </c>
      <c r="F1365" s="83">
        <v>3875236.1626834841</v>
      </c>
      <c r="G1365" s="83" t="s">
        <v>866</v>
      </c>
      <c r="H1365" s="84">
        <f t="shared" si="37"/>
        <v>7.8671834326371481E-3</v>
      </c>
      <c r="J1365" s="83">
        <v>88.834449413693491</v>
      </c>
      <c r="K1365" s="83">
        <v>88.891609641320159</v>
      </c>
      <c r="L1365" s="83">
        <v>86.339281216425391</v>
      </c>
      <c r="M1365" s="83">
        <v>86.488896869624526</v>
      </c>
      <c r="N1365" s="83">
        <v>45569715.309970632</v>
      </c>
      <c r="O1365" s="83" t="s">
        <v>866</v>
      </c>
      <c r="P1365" s="84">
        <f t="shared" si="38"/>
        <v>2.7119695463392324E-2</v>
      </c>
    </row>
    <row r="1366" spans="2:16" ht="15" customHeight="1">
      <c r="B1366" s="83">
        <v>322.38777750899123</v>
      </c>
      <c r="C1366" s="83">
        <v>325.36441588811192</v>
      </c>
      <c r="D1366" s="83">
        <v>318.60359685667066</v>
      </c>
      <c r="E1366" s="83">
        <v>319.06370815186597</v>
      </c>
      <c r="F1366" s="83">
        <v>5117078.2473414056</v>
      </c>
      <c r="G1366" s="83" t="s">
        <v>865</v>
      </c>
      <c r="H1366" s="84">
        <f t="shared" si="37"/>
        <v>1.0418199476146972E-2</v>
      </c>
      <c r="J1366" s="83">
        <v>86.251801215883717</v>
      </c>
      <c r="K1366" s="83">
        <v>86.883545992522713</v>
      </c>
      <c r="L1366" s="83">
        <v>84.448023250169385</v>
      </c>
      <c r="M1366" s="83">
        <v>84.628450751286593</v>
      </c>
      <c r="N1366" s="83">
        <v>52351630.219966486</v>
      </c>
      <c r="O1366" s="83" t="s">
        <v>865</v>
      </c>
      <c r="P1366" s="84">
        <f t="shared" si="38"/>
        <v>1.9182088886017468E-2</v>
      </c>
    </row>
    <row r="1367" spans="2:16" ht="15" customHeight="1">
      <c r="B1367" s="83">
        <v>320.44404203745188</v>
      </c>
      <c r="C1367" s="83">
        <v>321.50511502433085</v>
      </c>
      <c r="D1367" s="83">
        <v>317.74910445130791</v>
      </c>
      <c r="E1367" s="83">
        <v>317.75849447774044</v>
      </c>
      <c r="F1367" s="83">
        <v>3514064.6554083591</v>
      </c>
      <c r="G1367" s="83" t="s">
        <v>864</v>
      </c>
      <c r="H1367" s="84">
        <f t="shared" si="37"/>
        <v>8.4515366430262251E-3</v>
      </c>
      <c r="J1367" s="83">
        <v>86.531637808525545</v>
      </c>
      <c r="K1367" s="83">
        <v>86.86714349242115</v>
      </c>
      <c r="L1367" s="83">
        <v>85.393155187839767</v>
      </c>
      <c r="M1367" s="83">
        <v>85.740341439989521</v>
      </c>
      <c r="N1367" s="83">
        <v>23043103.652471781</v>
      </c>
      <c r="O1367" s="83" t="s">
        <v>864</v>
      </c>
      <c r="P1367" s="84">
        <f t="shared" si="38"/>
        <v>9.2289855072464899E-3</v>
      </c>
    </row>
    <row r="1368" spans="2:16" ht="15" customHeight="1">
      <c r="B1368" s="83">
        <v>318.35006614299158</v>
      </c>
      <c r="C1368" s="83">
        <v>324.04042216112128</v>
      </c>
      <c r="D1368" s="83">
        <v>314.91331646867559</v>
      </c>
      <c r="E1368" s="83">
        <v>323.97469197609342</v>
      </c>
      <c r="F1368" s="83">
        <v>5753566.3385013668</v>
      </c>
      <c r="G1368" s="83" t="s">
        <v>863</v>
      </c>
      <c r="H1368" s="84">
        <f t="shared" si="37"/>
        <v>-1.7361312387687677E-2</v>
      </c>
      <c r="J1368" s="83">
        <v>85.901384168259412</v>
      </c>
      <c r="K1368" s="83">
        <v>87.512308496415969</v>
      </c>
      <c r="L1368" s="83">
        <v>84.887908480165848</v>
      </c>
      <c r="M1368" s="83">
        <v>87.357727359095179</v>
      </c>
      <c r="N1368" s="83">
        <v>38263200.494672544</v>
      </c>
      <c r="O1368" s="83" t="s">
        <v>863</v>
      </c>
      <c r="P1368" s="84">
        <f t="shared" si="38"/>
        <v>-1.6671028824379541E-2</v>
      </c>
    </row>
    <row r="1369" spans="2:16" ht="15" customHeight="1">
      <c r="B1369" s="83">
        <v>322.72581846056329</v>
      </c>
      <c r="C1369" s="83">
        <v>323.36434025797718</v>
      </c>
      <c r="D1369" s="83">
        <v>320.41587195815418</v>
      </c>
      <c r="E1369" s="83">
        <v>320.96988351767504</v>
      </c>
      <c r="F1369" s="83">
        <v>3735154.5548789185</v>
      </c>
      <c r="G1369" s="83" t="s">
        <v>862</v>
      </c>
      <c r="H1369" s="84">
        <f t="shared" si="37"/>
        <v>5.4707155813000785E-3</v>
      </c>
      <c r="J1369" s="83">
        <v>87.076399630080488</v>
      </c>
      <c r="K1369" s="83">
        <v>87.426821648159375</v>
      </c>
      <c r="L1369" s="83">
        <v>86.258262806832818</v>
      </c>
      <c r="M1369" s="83">
        <v>86.258262806832818</v>
      </c>
      <c r="N1369" s="83">
        <v>20365139.334348485</v>
      </c>
      <c r="O1369" s="83" t="s">
        <v>862</v>
      </c>
      <c r="P1369" s="84">
        <f t="shared" si="38"/>
        <v>9.4847356835809915E-3</v>
      </c>
    </row>
    <row r="1370" spans="2:16" ht="15" customHeight="1">
      <c r="B1370" s="83">
        <v>320.9980535969728</v>
      </c>
      <c r="C1370" s="83">
        <v>321.99339639882385</v>
      </c>
      <c r="D1370" s="83">
        <v>320.73043784364484</v>
      </c>
      <c r="E1370" s="83">
        <v>321.40182473357271</v>
      </c>
      <c r="F1370" s="83">
        <v>2139647.8640719</v>
      </c>
      <c r="G1370" s="83" t="s">
        <v>861</v>
      </c>
      <c r="H1370" s="84">
        <f t="shared" si="37"/>
        <v>-1.2562814070350425E-3</v>
      </c>
      <c r="J1370" s="83">
        <v>86.462051444458297</v>
      </c>
      <c r="K1370" s="83">
        <v>87.733245202329456</v>
      </c>
      <c r="L1370" s="83">
        <v>85.770164167446907</v>
      </c>
      <c r="M1370" s="83">
        <v>87.579906678652719</v>
      </c>
      <c r="N1370" s="83">
        <v>26277878.209488448</v>
      </c>
      <c r="O1370" s="83" t="s">
        <v>861</v>
      </c>
      <c r="P1370" s="84">
        <f t="shared" si="38"/>
        <v>-1.2763832214346182E-2</v>
      </c>
    </row>
    <row r="1371" spans="2:16" ht="15" customHeight="1">
      <c r="B1371" s="83">
        <v>320.56611238107507</v>
      </c>
      <c r="C1371" s="83">
        <v>322.80093867202373</v>
      </c>
      <c r="D1371" s="83">
        <v>320.07783100658213</v>
      </c>
      <c r="E1371" s="83">
        <v>322.66947830196796</v>
      </c>
      <c r="F1371" s="83">
        <v>2721549.3144293595</v>
      </c>
      <c r="G1371" s="83" t="s">
        <v>860</v>
      </c>
      <c r="H1371" s="84">
        <f t="shared" si="37"/>
        <v>-6.5186392340600419E-3</v>
      </c>
      <c r="J1371" s="83">
        <v>87.416378723094709</v>
      </c>
      <c r="K1371" s="83">
        <v>89.092411035745315</v>
      </c>
      <c r="L1371" s="83">
        <v>87.285655767739811</v>
      </c>
      <c r="M1371" s="83">
        <v>88.861289868405137</v>
      </c>
      <c r="N1371" s="83">
        <v>26142377.524456404</v>
      </c>
      <c r="O1371" s="83" t="s">
        <v>860</v>
      </c>
      <c r="P1371" s="84">
        <f t="shared" si="38"/>
        <v>-1.6260299028409309E-2</v>
      </c>
    </row>
    <row r="1372" spans="2:16" ht="15" customHeight="1">
      <c r="B1372" s="83">
        <v>321.24219428421924</v>
      </c>
      <c r="C1372" s="83">
        <v>321.57084520935871</v>
      </c>
      <c r="D1372" s="83">
        <v>320.28441158809835</v>
      </c>
      <c r="E1372" s="83">
        <v>320.8947633062146</v>
      </c>
      <c r="F1372" s="83">
        <v>2980657.2112467885</v>
      </c>
      <c r="G1372" s="83" t="s">
        <v>859</v>
      </c>
      <c r="H1372" s="84">
        <f t="shared" si="37"/>
        <v>1.0826944460702315E-3</v>
      </c>
      <c r="J1372" s="83">
        <v>88.279746682986072</v>
      </c>
      <c r="K1372" s="83">
        <v>89.007296971581923</v>
      </c>
      <c r="L1372" s="83">
        <v>86.800787923828466</v>
      </c>
      <c r="M1372" s="83">
        <v>87.064222016368717</v>
      </c>
      <c r="N1372" s="83">
        <v>28026269.602411952</v>
      </c>
      <c r="O1372" s="83" t="s">
        <v>859</v>
      </c>
      <c r="P1372" s="84">
        <f t="shared" si="38"/>
        <v>1.3961241925401158E-2</v>
      </c>
    </row>
    <row r="1373" spans="2:16" ht="15" customHeight="1">
      <c r="B1373" s="83">
        <v>318.47213648661483</v>
      </c>
      <c r="C1373" s="83">
        <v>318.49091653947994</v>
      </c>
      <c r="D1373" s="83">
        <v>317.16692281248936</v>
      </c>
      <c r="E1373" s="83">
        <v>317.7303243984428</v>
      </c>
      <c r="F1373" s="83">
        <v>1541707.0552438612</v>
      </c>
      <c r="G1373" s="83" t="s">
        <v>858</v>
      </c>
      <c r="H1373" s="84">
        <f t="shared" si="37"/>
        <v>2.334722345361584E-3</v>
      </c>
      <c r="J1373" s="83">
        <v>86.428749398797549</v>
      </c>
      <c r="K1373" s="83">
        <v>86.784136900998092</v>
      </c>
      <c r="L1373" s="83">
        <v>85.944627123072621</v>
      </c>
      <c r="M1373" s="83">
        <v>86.237386897612652</v>
      </c>
      <c r="N1373" s="83">
        <v>6976283.4501732206</v>
      </c>
      <c r="O1373" s="83" t="s">
        <v>858</v>
      </c>
      <c r="P1373" s="84">
        <f t="shared" si="38"/>
        <v>2.2190201729106462E-3</v>
      </c>
    </row>
    <row r="1374" spans="2:16" ht="15" customHeight="1">
      <c r="B1374" s="83">
        <v>317.20448291821958</v>
      </c>
      <c r="C1374" s="83">
        <v>319.02614804613569</v>
      </c>
      <c r="D1374" s="83">
        <v>317.09180260102892</v>
      </c>
      <c r="E1374" s="83">
        <v>317.88995484779628</v>
      </c>
      <c r="F1374" s="83">
        <v>3921359.5685237856</v>
      </c>
      <c r="G1374" s="83" t="s">
        <v>857</v>
      </c>
      <c r="H1374" s="84">
        <f t="shared" si="37"/>
        <v>-2.1563183080286485E-3</v>
      </c>
      <c r="J1374" s="83">
        <v>86.107160987715389</v>
      </c>
      <c r="K1374" s="83">
        <v>86.883048947065092</v>
      </c>
      <c r="L1374" s="83">
        <v>85.742329621820005</v>
      </c>
      <c r="M1374" s="83">
        <v>85.894922577310311</v>
      </c>
      <c r="N1374" s="83">
        <v>20801256.386975009</v>
      </c>
      <c r="O1374" s="83" t="s">
        <v>857</v>
      </c>
      <c r="P1374" s="84">
        <f t="shared" si="38"/>
        <v>2.4709075232480782E-3</v>
      </c>
    </row>
    <row r="1375" spans="2:16" ht="15" customHeight="1">
      <c r="B1375" s="83">
        <v>316.95095220454056</v>
      </c>
      <c r="C1375" s="83">
        <v>317.89934487422886</v>
      </c>
      <c r="D1375" s="83">
        <v>315.94621937625692</v>
      </c>
      <c r="E1375" s="83">
        <v>317.82422466276842</v>
      </c>
      <c r="F1375" s="83">
        <v>2536015.2254134328</v>
      </c>
      <c r="G1375" s="83" t="s">
        <v>856</v>
      </c>
      <c r="H1375" s="84">
        <f t="shared" si="37"/>
        <v>-2.7476585812628018E-3</v>
      </c>
      <c r="J1375" s="83">
        <v>85.665784621346049</v>
      </c>
      <c r="K1375" s="83">
        <v>86.356926330171007</v>
      </c>
      <c r="L1375" s="83">
        <v>85.12276245889278</v>
      </c>
      <c r="M1375" s="83">
        <v>86.209060276982711</v>
      </c>
      <c r="N1375" s="83">
        <v>18878474.505876634</v>
      </c>
      <c r="O1375" s="83" t="s">
        <v>856</v>
      </c>
      <c r="P1375" s="84">
        <f t="shared" si="38"/>
        <v>-6.3018394341750605E-3</v>
      </c>
    </row>
    <row r="1376" spans="2:16" ht="15" customHeight="1">
      <c r="B1376" s="83">
        <v>317.57736086785633</v>
      </c>
      <c r="C1376" s="83">
        <v>318.31615210165478</v>
      </c>
      <c r="D1376" s="83">
        <v>312.45258117011537</v>
      </c>
      <c r="E1376" s="83">
        <v>314.99626744344664</v>
      </c>
      <c r="F1376" s="83">
        <v>4189664.1546298307</v>
      </c>
      <c r="G1376" s="83" t="s">
        <v>855</v>
      </c>
      <c r="H1376" s="84">
        <f t="shared" si="37"/>
        <v>8.1940444734733831E-3</v>
      </c>
      <c r="J1376" s="83">
        <v>86.454595762593954</v>
      </c>
      <c r="K1376" s="83">
        <v>86.52815849032217</v>
      </c>
      <c r="L1376" s="83">
        <v>84.448023250169385</v>
      </c>
      <c r="M1376" s="83">
        <v>85.169236209180539</v>
      </c>
      <c r="N1376" s="83">
        <v>36784925.24090869</v>
      </c>
      <c r="O1376" s="83" t="s">
        <v>855</v>
      </c>
      <c r="P1376" s="84">
        <f t="shared" si="38"/>
        <v>1.5091829052646499E-2</v>
      </c>
    </row>
    <row r="1377" spans="2:16" ht="15" customHeight="1">
      <c r="B1377" s="83">
        <v>318.55929858366437</v>
      </c>
      <c r="C1377" s="83">
        <v>320.29873110881005</v>
      </c>
      <c r="D1377" s="83">
        <v>316.74505175636187</v>
      </c>
      <c r="E1377" s="83">
        <v>320.19586144334443</v>
      </c>
      <c r="F1377" s="83">
        <v>6443313.4588313522</v>
      </c>
      <c r="G1377" s="83" t="s">
        <v>854</v>
      </c>
      <c r="H1377" s="84">
        <f t="shared" si="37"/>
        <v>-5.1111305820847885E-3</v>
      </c>
      <c r="J1377" s="83">
        <v>86.039065760021018</v>
      </c>
      <c r="K1377" s="83">
        <v>87.236945312892757</v>
      </c>
      <c r="L1377" s="83">
        <v>85.50275371124566</v>
      </c>
      <c r="M1377" s="83">
        <v>87.190725055788377</v>
      </c>
      <c r="N1377" s="83">
        <v>80804540.880550608</v>
      </c>
      <c r="O1377" s="83" t="s">
        <v>854</v>
      </c>
      <c r="P1377" s="84">
        <f t="shared" si="38"/>
        <v>-1.3208506925828201E-2</v>
      </c>
    </row>
    <row r="1378" spans="2:16" ht="15" customHeight="1">
      <c r="B1378" s="83">
        <v>319.8404935080996</v>
      </c>
      <c r="C1378" s="83">
        <v>320.06493641457001</v>
      </c>
      <c r="D1378" s="83">
        <v>318.85855579229155</v>
      </c>
      <c r="E1378" s="83">
        <v>319.61605060162918</v>
      </c>
      <c r="F1378" s="83">
        <v>2809083.2092442587</v>
      </c>
      <c r="G1378" s="83" t="s">
        <v>853</v>
      </c>
      <c r="H1378" s="84">
        <f t="shared" si="37"/>
        <v>7.0222664364916199E-4</v>
      </c>
      <c r="J1378" s="83">
        <v>86.878575537946489</v>
      </c>
      <c r="K1378" s="83">
        <v>88.065699027115258</v>
      </c>
      <c r="L1378" s="83">
        <v>86.419305535102708</v>
      </c>
      <c r="M1378" s="83">
        <v>87.902986226107743</v>
      </c>
      <c r="N1378" s="83">
        <v>32688036.377387471</v>
      </c>
      <c r="O1378" s="83" t="s">
        <v>853</v>
      </c>
      <c r="P1378" s="84">
        <f t="shared" si="38"/>
        <v>-1.1653878123391914E-2</v>
      </c>
    </row>
    <row r="1379" spans="2:16" ht="15" customHeight="1">
      <c r="B1379" s="83">
        <v>318.1104127707236</v>
      </c>
      <c r="C1379" s="83">
        <v>318.93337009444838</v>
      </c>
      <c r="D1379" s="83">
        <v>316.98819823837152</v>
      </c>
      <c r="E1379" s="83">
        <v>317.80180377432674</v>
      </c>
      <c r="F1379" s="83">
        <v>3147156.535745244</v>
      </c>
      <c r="G1379" s="83" t="s">
        <v>852</v>
      </c>
      <c r="H1379" s="84">
        <f t="shared" si="37"/>
        <v>9.7107377218041968E-4</v>
      </c>
      <c r="J1379" s="83">
        <v>87.629114178957408</v>
      </c>
      <c r="K1379" s="83">
        <v>88.126159636580525</v>
      </c>
      <c r="L1379" s="83">
        <v>87.285158722282191</v>
      </c>
      <c r="M1379" s="83">
        <v>88.120195091089059</v>
      </c>
      <c r="N1379" s="83">
        <v>30450796.336370632</v>
      </c>
      <c r="O1379" s="83" t="s">
        <v>852</v>
      </c>
      <c r="P1379" s="84">
        <f t="shared" si="38"/>
        <v>-5.5728532105951967E-3</v>
      </c>
    </row>
    <row r="1380" spans="2:16" ht="15" customHeight="1">
      <c r="B1380" s="83">
        <v>317.6241198067043</v>
      </c>
      <c r="C1380" s="83">
        <v>317.6241198067043</v>
      </c>
      <c r="D1380" s="83">
        <v>314.44451196504025</v>
      </c>
      <c r="E1380" s="83">
        <v>315.75376225278427</v>
      </c>
      <c r="F1380" s="83">
        <v>2954088.6385171646</v>
      </c>
      <c r="G1380" s="83" t="s">
        <v>851</v>
      </c>
      <c r="H1380" s="84">
        <f t="shared" si="37"/>
        <v>5.9234687833193966E-3</v>
      </c>
      <c r="J1380" s="83">
        <v>87.866204862243634</v>
      </c>
      <c r="K1380" s="83">
        <v>88.047626454276084</v>
      </c>
      <c r="L1380" s="83">
        <v>86.980469856759228</v>
      </c>
      <c r="M1380" s="83">
        <v>87.699694633939885</v>
      </c>
      <c r="N1380" s="83">
        <v>29821437.401081484</v>
      </c>
      <c r="O1380" s="83" t="s">
        <v>851</v>
      </c>
      <c r="P1380" s="84">
        <f t="shared" si="38"/>
        <v>1.8986409131613868E-3</v>
      </c>
    </row>
    <row r="1381" spans="2:16" ht="15" customHeight="1">
      <c r="B1381" s="83">
        <v>313.29424206937938</v>
      </c>
      <c r="C1381" s="83">
        <v>317.76439662324839</v>
      </c>
      <c r="D1381" s="83">
        <v>313.1820206161442</v>
      </c>
      <c r="E1381" s="83">
        <v>316.80116248297952</v>
      </c>
      <c r="F1381" s="83">
        <v>2838637.9860216421</v>
      </c>
      <c r="G1381" s="83" t="s">
        <v>850</v>
      </c>
      <c r="H1381" s="84">
        <f t="shared" si="37"/>
        <v>-1.1069783917817988E-2</v>
      </c>
      <c r="J1381" s="83">
        <v>87.482987784870772</v>
      </c>
      <c r="K1381" s="83">
        <v>89.338453507723344</v>
      </c>
      <c r="L1381" s="83">
        <v>87.341573381722426</v>
      </c>
      <c r="M1381" s="83">
        <v>88.225568728105159</v>
      </c>
      <c r="N1381" s="83">
        <v>32193695.273909763</v>
      </c>
      <c r="O1381" s="83" t="s">
        <v>850</v>
      </c>
      <c r="P1381" s="84">
        <f t="shared" si="38"/>
        <v>-8.4168450704226183E-3</v>
      </c>
    </row>
    <row r="1382" spans="2:16" ht="15" customHeight="1">
      <c r="B1382" s="83">
        <v>314.73441738589787</v>
      </c>
      <c r="C1382" s="83">
        <v>314.96821208013785</v>
      </c>
      <c r="D1382" s="83">
        <v>312.13462038594895</v>
      </c>
      <c r="E1382" s="83">
        <v>313.57479570246744</v>
      </c>
      <c r="F1382" s="83">
        <v>2553403.7542664008</v>
      </c>
      <c r="G1382" s="83" t="s">
        <v>849</v>
      </c>
      <c r="H1382" s="84">
        <f t="shared" si="37"/>
        <v>3.6980704422773236E-3</v>
      </c>
      <c r="J1382" s="83">
        <v>88.56206850291602</v>
      </c>
      <c r="K1382" s="83">
        <v>88.695276685559008</v>
      </c>
      <c r="L1382" s="83">
        <v>87.480000541670464</v>
      </c>
      <c r="M1382" s="83">
        <v>87.632101422157717</v>
      </c>
      <c r="N1382" s="83">
        <v>24558136.107654128</v>
      </c>
      <c r="O1382" s="83" t="s">
        <v>849</v>
      </c>
      <c r="P1382" s="84">
        <f t="shared" si="38"/>
        <v>1.0612173685968118E-2</v>
      </c>
    </row>
    <row r="1383" spans="2:16" ht="15" customHeight="1">
      <c r="B1383" s="83">
        <v>315.13654425999067</v>
      </c>
      <c r="C1383" s="83">
        <v>316.09033309461222</v>
      </c>
      <c r="D1383" s="83">
        <v>313.13713203485008</v>
      </c>
      <c r="E1383" s="83">
        <v>313.97692257656024</v>
      </c>
      <c r="F1383" s="83">
        <v>2928380.1851258753</v>
      </c>
      <c r="G1383" s="83" t="s">
        <v>848</v>
      </c>
      <c r="H1383" s="84">
        <f t="shared" si="37"/>
        <v>3.6933341275986464E-3</v>
      </c>
      <c r="J1383" s="83">
        <v>88.241971228206722</v>
      </c>
      <c r="K1383" s="83">
        <v>88.539209382319925</v>
      </c>
      <c r="L1383" s="83">
        <v>86.501810110613576</v>
      </c>
      <c r="M1383" s="83">
        <v>87.967105090141132</v>
      </c>
      <c r="N1383" s="83">
        <v>27418981.083081249</v>
      </c>
      <c r="O1383" s="83" t="s">
        <v>848</v>
      </c>
      <c r="P1383" s="84">
        <f t="shared" si="38"/>
        <v>3.1246468527517113E-3</v>
      </c>
    </row>
    <row r="1384" spans="2:16" ht="15" customHeight="1">
      <c r="B1384" s="83">
        <v>315.28617286430426</v>
      </c>
      <c r="C1384" s="83">
        <v>318.83321244743598</v>
      </c>
      <c r="D1384" s="83">
        <v>314.46321554057943</v>
      </c>
      <c r="E1384" s="83">
        <v>318.6995754002084</v>
      </c>
      <c r="F1384" s="83">
        <v>2722247.4062933214</v>
      </c>
      <c r="G1384" s="83" t="s">
        <v>847</v>
      </c>
      <c r="H1384" s="84">
        <f t="shared" si="37"/>
        <v>-1.0710408169253949E-2</v>
      </c>
      <c r="J1384" s="83">
        <v>88.679371230915081</v>
      </c>
      <c r="K1384" s="83">
        <v>91.171557155437426</v>
      </c>
      <c r="L1384" s="83">
        <v>87.868198014528701</v>
      </c>
      <c r="M1384" s="83">
        <v>90.065133966768357</v>
      </c>
      <c r="N1384" s="83">
        <v>30330384.814482469</v>
      </c>
      <c r="O1384" s="83" t="s">
        <v>847</v>
      </c>
      <c r="P1384" s="84">
        <f t="shared" si="38"/>
        <v>-1.5386228552822567E-2</v>
      </c>
    </row>
    <row r="1385" spans="2:16" ht="15" customHeight="1">
      <c r="B1385" s="83">
        <v>318.1104127707236</v>
      </c>
      <c r="C1385" s="83">
        <v>318.61540931028196</v>
      </c>
      <c r="D1385" s="83">
        <v>315.95014979594589</v>
      </c>
      <c r="E1385" s="83">
        <v>315.9875569470243</v>
      </c>
      <c r="F1385" s="83">
        <v>2083231.6215867978</v>
      </c>
      <c r="G1385" s="83" t="s">
        <v>846</v>
      </c>
      <c r="H1385" s="84">
        <f t="shared" si="37"/>
        <v>6.7181627156767121E-3</v>
      </c>
      <c r="J1385" s="83">
        <v>90.390201696053879</v>
      </c>
      <c r="K1385" s="83">
        <v>90.556711924357629</v>
      </c>
      <c r="L1385" s="83">
        <v>89.279538709631268</v>
      </c>
      <c r="M1385" s="83">
        <v>89.970198284362326</v>
      </c>
      <c r="N1385" s="83">
        <v>22056714.998314232</v>
      </c>
      <c r="O1385" s="83" t="s">
        <v>846</v>
      </c>
      <c r="P1385" s="84">
        <f t="shared" si="38"/>
        <v>4.6682503729076341E-3</v>
      </c>
    </row>
    <row r="1386" spans="2:16" ht="15" customHeight="1">
      <c r="B1386" s="83">
        <v>317.19393756930276</v>
      </c>
      <c r="C1386" s="83">
        <v>317.61476801893474</v>
      </c>
      <c r="D1386" s="83">
        <v>316.00626052256354</v>
      </c>
      <c r="E1386" s="83">
        <v>317.09106790383714</v>
      </c>
      <c r="F1386" s="83">
        <v>2077764.2177855473</v>
      </c>
      <c r="G1386" s="83" t="s">
        <v>845</v>
      </c>
      <c r="H1386" s="84">
        <f t="shared" si="37"/>
        <v>3.2441678709416166E-4</v>
      </c>
      <c r="J1386" s="83">
        <v>90.436426923612828</v>
      </c>
      <c r="K1386" s="83">
        <v>91.07711851848903</v>
      </c>
      <c r="L1386" s="83">
        <v>89.755474646669143</v>
      </c>
      <c r="M1386" s="83">
        <v>90.412568741646922</v>
      </c>
      <c r="N1386" s="83">
        <v>26575959.597674757</v>
      </c>
      <c r="O1386" s="83" t="s">
        <v>845</v>
      </c>
      <c r="P1386" s="84">
        <f t="shared" si="38"/>
        <v>2.6388125343590474E-4</v>
      </c>
    </row>
    <row r="1387" spans="2:16" ht="15" customHeight="1">
      <c r="B1387" s="83">
        <v>317.78310019878757</v>
      </c>
      <c r="C1387" s="83">
        <v>317.8111555620963</v>
      </c>
      <c r="D1387" s="83">
        <v>315.57607828516188</v>
      </c>
      <c r="E1387" s="83">
        <v>315.62704552850619</v>
      </c>
      <c r="F1387" s="83">
        <v>3108801.3026243658</v>
      </c>
      <c r="G1387" s="83" t="s">
        <v>844</v>
      </c>
      <c r="H1387" s="84">
        <f t="shared" si="37"/>
        <v>6.831020030844126E-3</v>
      </c>
      <c r="J1387" s="83">
        <v>90.859412608050107</v>
      </c>
      <c r="K1387" s="83">
        <v>91.116385109641271</v>
      </c>
      <c r="L1387" s="83">
        <v>90.312662604664666</v>
      </c>
      <c r="M1387" s="83">
        <v>90.686937834254877</v>
      </c>
      <c r="N1387" s="83">
        <v>27727162.151131861</v>
      </c>
      <c r="O1387" s="83" t="s">
        <v>844</v>
      </c>
      <c r="P1387" s="84">
        <f t="shared" si="38"/>
        <v>1.9018700808981492E-3</v>
      </c>
    </row>
    <row r="1388" spans="2:16" ht="15" customHeight="1">
      <c r="B1388" s="83">
        <v>315.07108174560346</v>
      </c>
      <c r="C1388" s="83">
        <v>316.37098024557793</v>
      </c>
      <c r="D1388" s="83">
        <v>314.1078476053346</v>
      </c>
      <c r="E1388" s="83">
        <v>315.07108174560346</v>
      </c>
      <c r="F1388" s="83">
        <v>3048706.9106379636</v>
      </c>
      <c r="G1388" s="83" t="s">
        <v>843</v>
      </c>
      <c r="H1388" s="84">
        <f t="shared" si="37"/>
        <v>0</v>
      </c>
      <c r="J1388" s="83">
        <v>90.798773062220093</v>
      </c>
      <c r="K1388" s="83">
        <v>91.814236932144141</v>
      </c>
      <c r="L1388" s="83">
        <v>90.593990333679358</v>
      </c>
      <c r="M1388" s="83">
        <v>90.661588515916108</v>
      </c>
      <c r="N1388" s="83">
        <v>24691866.330877289</v>
      </c>
      <c r="O1388" s="83" t="s">
        <v>843</v>
      </c>
      <c r="P1388" s="84">
        <f t="shared" si="38"/>
        <v>1.5131495989606503E-3</v>
      </c>
    </row>
    <row r="1389" spans="2:16" ht="15" customHeight="1">
      <c r="B1389" s="83">
        <v>315.16459962329947</v>
      </c>
      <c r="C1389" s="83">
        <v>315.25811750099547</v>
      </c>
      <c r="D1389" s="83">
        <v>312.95757770967379</v>
      </c>
      <c r="E1389" s="83">
        <v>313.49062961254106</v>
      </c>
      <c r="F1389" s="83">
        <v>2427702.6552935098</v>
      </c>
      <c r="G1389" s="83" t="s">
        <v>842</v>
      </c>
      <c r="H1389" s="84">
        <f t="shared" si="37"/>
        <v>5.3397768629555031E-3</v>
      </c>
      <c r="J1389" s="83">
        <v>90.857424426219623</v>
      </c>
      <c r="K1389" s="83">
        <v>91.240149428589433</v>
      </c>
      <c r="L1389" s="83">
        <v>88.944917766650235</v>
      </c>
      <c r="M1389" s="83">
        <v>89.373743735214575</v>
      </c>
      <c r="N1389" s="83">
        <v>24585920.286723059</v>
      </c>
      <c r="O1389" s="83" t="s">
        <v>842</v>
      </c>
      <c r="P1389" s="84">
        <f t="shared" si="38"/>
        <v>1.6600856459596303E-2</v>
      </c>
    </row>
    <row r="1390" spans="2:16" ht="15" customHeight="1">
      <c r="B1390" s="83">
        <v>314.50062269165784</v>
      </c>
      <c r="C1390" s="83">
        <v>315.90339085709792</v>
      </c>
      <c r="D1390" s="83">
        <v>313.584147490237</v>
      </c>
      <c r="E1390" s="83">
        <v>314.14525475641307</v>
      </c>
      <c r="F1390" s="83">
        <v>3461525.3037744672</v>
      </c>
      <c r="G1390" s="83" t="s">
        <v>841</v>
      </c>
      <c r="H1390" s="84">
        <f t="shared" si="37"/>
        <v>1.1312217194567875E-3</v>
      </c>
      <c r="J1390" s="83">
        <v>89.373743735214575</v>
      </c>
      <c r="K1390" s="83">
        <v>90.702346243441198</v>
      </c>
      <c r="L1390" s="83">
        <v>87.945732135463331</v>
      </c>
      <c r="M1390" s="83">
        <v>88.194254864274896</v>
      </c>
      <c r="N1390" s="83">
        <v>34987644.959399015</v>
      </c>
      <c r="O1390" s="83" t="s">
        <v>841</v>
      </c>
      <c r="P1390" s="84">
        <f t="shared" si="38"/>
        <v>1.3373760827786629E-2</v>
      </c>
    </row>
    <row r="1391" spans="2:16" ht="15" customHeight="1">
      <c r="B1391" s="83">
        <v>311.07786836798414</v>
      </c>
      <c r="C1391" s="83">
        <v>312.00369535717454</v>
      </c>
      <c r="D1391" s="83">
        <v>308.6464035478881</v>
      </c>
      <c r="E1391" s="83">
        <v>311.78860423847374</v>
      </c>
      <c r="F1391" s="83">
        <v>4465143.032409166</v>
      </c>
      <c r="G1391" s="83" t="s">
        <v>840</v>
      </c>
      <c r="H1391" s="84">
        <f t="shared" si="37"/>
        <v>-2.2795440911816955E-3</v>
      </c>
      <c r="J1391" s="83">
        <v>87.516781905534572</v>
      </c>
      <c r="K1391" s="83">
        <v>88.874953648035202</v>
      </c>
      <c r="L1391" s="83">
        <v>87.231477812858898</v>
      </c>
      <c r="M1391" s="83">
        <v>88.53296152091761</v>
      </c>
      <c r="N1391" s="83">
        <v>36693545.26890935</v>
      </c>
      <c r="O1391" s="83" t="s">
        <v>840</v>
      </c>
      <c r="P1391" s="84">
        <f t="shared" si="38"/>
        <v>-1.1477980606612204E-2</v>
      </c>
    </row>
    <row r="1392" spans="2:16" ht="15" customHeight="1">
      <c r="B1392" s="83">
        <v>312.48063653342416</v>
      </c>
      <c r="C1392" s="83">
        <v>312.92017055859543</v>
      </c>
      <c r="D1392" s="83">
        <v>311.58286490754256</v>
      </c>
      <c r="E1392" s="83">
        <v>312.61623745608341</v>
      </c>
      <c r="F1392" s="83">
        <v>1052964.443013753</v>
      </c>
      <c r="G1392" s="83" t="s">
        <v>839</v>
      </c>
      <c r="H1392" s="84">
        <f t="shared" ref="H1392:H1455" si="39">B1392/E1392-1</f>
        <v>-4.3376161060193485E-4</v>
      </c>
      <c r="J1392" s="83">
        <v>89.129689445067058</v>
      </c>
      <c r="K1392" s="83">
        <v>89.667000555212226</v>
      </c>
      <c r="L1392" s="83">
        <v>88.098320120499068</v>
      </c>
      <c r="M1392" s="83">
        <v>88.130633045699142</v>
      </c>
      <c r="N1392" s="83">
        <v>17803522.523506604</v>
      </c>
      <c r="O1392" s="83" t="s">
        <v>839</v>
      </c>
      <c r="P1392" s="84">
        <f t="shared" ref="P1392:P1455" si="40">J1392/M1392-1</f>
        <v>1.1336085590692102E-2</v>
      </c>
    </row>
    <row r="1393" spans="2:16" ht="15" customHeight="1">
      <c r="B1393" s="83">
        <v>311.59221669531217</v>
      </c>
      <c r="C1393" s="83">
        <v>312.041102508253</v>
      </c>
      <c r="D1393" s="83">
        <v>310.61963076727369</v>
      </c>
      <c r="E1393" s="83">
        <v>312.041102508253</v>
      </c>
      <c r="F1393" s="83">
        <v>2413292.5763524477</v>
      </c>
      <c r="G1393" s="83" t="s">
        <v>838</v>
      </c>
      <c r="H1393" s="84">
        <f t="shared" si="39"/>
        <v>-1.4385470674619372E-3</v>
      </c>
      <c r="J1393" s="83">
        <v>88.048128470188274</v>
      </c>
      <c r="K1393" s="83">
        <v>88.401522820103736</v>
      </c>
      <c r="L1393" s="83">
        <v>87.308022813332855</v>
      </c>
      <c r="M1393" s="83">
        <v>88.12069213654668</v>
      </c>
      <c r="N1393" s="83">
        <v>21046807.36853642</v>
      </c>
      <c r="O1393" s="83" t="s">
        <v>838</v>
      </c>
      <c r="P1393" s="84">
        <f t="shared" si="40"/>
        <v>-8.2345774413539186E-4</v>
      </c>
    </row>
    <row r="1394" spans="2:16" ht="15" customHeight="1">
      <c r="B1394" s="83">
        <v>312.10656502264015</v>
      </c>
      <c r="C1394" s="83">
        <v>312.58350619888978</v>
      </c>
      <c r="D1394" s="83">
        <v>308.70251427450569</v>
      </c>
      <c r="E1394" s="83">
        <v>309.56287874930888</v>
      </c>
      <c r="F1394" s="83">
        <v>2844088.2807947644</v>
      </c>
      <c r="G1394" s="83" t="s">
        <v>837</v>
      </c>
      <c r="H1394" s="84">
        <f t="shared" si="39"/>
        <v>8.2170261615612805E-3</v>
      </c>
      <c r="J1394" s="83">
        <v>87.921376908039804</v>
      </c>
      <c r="K1394" s="83">
        <v>88.05657327251329</v>
      </c>
      <c r="L1394" s="83">
        <v>85.874041697635562</v>
      </c>
      <c r="M1394" s="83">
        <v>86.013716441682234</v>
      </c>
      <c r="N1394" s="83">
        <v>31781861.714502793</v>
      </c>
      <c r="O1394" s="83" t="s">
        <v>837</v>
      </c>
      <c r="P1394" s="84">
        <f t="shared" si="40"/>
        <v>2.2178561109506001E-2</v>
      </c>
    </row>
    <row r="1395" spans="2:16" ht="15" customHeight="1">
      <c r="B1395" s="83">
        <v>307.13141392921284</v>
      </c>
      <c r="C1395" s="83">
        <v>308.23492488602568</v>
      </c>
      <c r="D1395" s="83">
        <v>304.92439201558716</v>
      </c>
      <c r="E1395" s="83">
        <v>307.00048890043837</v>
      </c>
      <c r="F1395" s="83">
        <v>2376695.2958717518</v>
      </c>
      <c r="G1395" s="83" t="s">
        <v>836</v>
      </c>
      <c r="H1395" s="84">
        <f t="shared" si="39"/>
        <v>4.264652126235724E-4</v>
      </c>
      <c r="J1395" s="83">
        <v>86.230428261205915</v>
      </c>
      <c r="K1395" s="83">
        <v>87.176802812520364</v>
      </c>
      <c r="L1395" s="83">
        <v>85.378492346839877</v>
      </c>
      <c r="M1395" s="83">
        <v>86.963073265742409</v>
      </c>
      <c r="N1395" s="83">
        <v>43496524.650654063</v>
      </c>
      <c r="O1395" s="83" t="s">
        <v>836</v>
      </c>
      <c r="P1395" s="84">
        <f t="shared" si="40"/>
        <v>-8.4247828074989206E-3</v>
      </c>
    </row>
    <row r="1396" spans="2:16" ht="15" customHeight="1">
      <c r="B1396" s="83">
        <v>305.32651888967996</v>
      </c>
      <c r="C1396" s="83">
        <v>307.35398647812929</v>
      </c>
      <c r="D1396" s="83">
        <v>305.24235279975352</v>
      </c>
      <c r="E1396" s="83">
        <v>307.12206214144322</v>
      </c>
      <c r="F1396" s="83">
        <v>3761373.8534940523</v>
      </c>
      <c r="G1396" s="83" t="s">
        <v>835</v>
      </c>
      <c r="H1396" s="84">
        <f t="shared" si="39"/>
        <v>-5.8463505983374908E-3</v>
      </c>
      <c r="J1396" s="83">
        <v>86.59475761118911</v>
      </c>
      <c r="K1396" s="83">
        <v>88.175864182342849</v>
      </c>
      <c r="L1396" s="83">
        <v>86.578360081542101</v>
      </c>
      <c r="M1396" s="83">
        <v>87.738961225092112</v>
      </c>
      <c r="N1396" s="83">
        <v>46548157.004872404</v>
      </c>
      <c r="O1396" s="83" t="s">
        <v>835</v>
      </c>
      <c r="P1396" s="84">
        <f t="shared" si="40"/>
        <v>-1.3040997954917422E-2</v>
      </c>
    </row>
    <row r="1397" spans="2:16" ht="15" customHeight="1">
      <c r="B1397" s="83">
        <v>307.38391219899199</v>
      </c>
      <c r="C1397" s="83">
        <v>307.757983709776</v>
      </c>
      <c r="D1397" s="83">
        <v>304.31652581056312</v>
      </c>
      <c r="E1397" s="83">
        <v>305.57901715945917</v>
      </c>
      <c r="F1397" s="83">
        <v>3167480.9918474085</v>
      </c>
      <c r="G1397" s="83" t="s">
        <v>834</v>
      </c>
      <c r="H1397" s="84">
        <f t="shared" si="39"/>
        <v>5.9064757008200353E-3</v>
      </c>
      <c r="J1397" s="83">
        <v>87.674842361058737</v>
      </c>
      <c r="K1397" s="83">
        <v>87.956652224167314</v>
      </c>
      <c r="L1397" s="83">
        <v>86.337044511866083</v>
      </c>
      <c r="M1397" s="83">
        <v>86.405388262289264</v>
      </c>
      <c r="N1397" s="83">
        <v>25146794.540223185</v>
      </c>
      <c r="O1397" s="83" t="s">
        <v>834</v>
      </c>
      <c r="P1397" s="84">
        <f t="shared" si="40"/>
        <v>1.4691839528756745E-2</v>
      </c>
    </row>
    <row r="1398" spans="2:16" ht="15" customHeight="1">
      <c r="B1398" s="83">
        <v>306.10271727455677</v>
      </c>
      <c r="C1398" s="83">
        <v>310.61027897950413</v>
      </c>
      <c r="D1398" s="83">
        <v>306.07466191124797</v>
      </c>
      <c r="E1398" s="83">
        <v>310.13333780325451</v>
      </c>
      <c r="F1398" s="83">
        <v>2831359.1638673078</v>
      </c>
      <c r="G1398" s="83" t="s">
        <v>833</v>
      </c>
      <c r="H1398" s="84">
        <f t="shared" si="39"/>
        <v>-1.2996411663600993E-2</v>
      </c>
      <c r="J1398" s="83">
        <v>86.822906446692684</v>
      </c>
      <c r="K1398" s="83">
        <v>88.149520773088824</v>
      </c>
      <c r="L1398" s="83">
        <v>86.791095537404814</v>
      </c>
      <c r="M1398" s="83">
        <v>87.739955316007368</v>
      </c>
      <c r="N1398" s="83">
        <v>23608826.557062138</v>
      </c>
      <c r="O1398" s="83" t="s">
        <v>833</v>
      </c>
      <c r="P1398" s="84">
        <f t="shared" si="40"/>
        <v>-1.0451895786951382E-2</v>
      </c>
    </row>
    <row r="1399" spans="2:16" ht="15" customHeight="1">
      <c r="B1399" s="83">
        <v>309.86213595793606</v>
      </c>
      <c r="C1399" s="83">
        <v>310.94694333920972</v>
      </c>
      <c r="D1399" s="83">
        <v>307.90761231408965</v>
      </c>
      <c r="E1399" s="83">
        <v>309.29167690399049</v>
      </c>
      <c r="F1399" s="83">
        <v>3263692.5422126558</v>
      </c>
      <c r="G1399" s="83" t="s">
        <v>832</v>
      </c>
      <c r="H1399" s="84">
        <f t="shared" si="39"/>
        <v>1.8444048014996106E-3</v>
      </c>
      <c r="J1399" s="83">
        <v>87.984501681157951</v>
      </c>
      <c r="K1399" s="83">
        <v>88.72261418572829</v>
      </c>
      <c r="L1399" s="83">
        <v>87.827932362006649</v>
      </c>
      <c r="M1399" s="83">
        <v>88.321990576429471</v>
      </c>
      <c r="N1399" s="83">
        <v>23078653.720838763</v>
      </c>
      <c r="O1399" s="83" t="s">
        <v>832</v>
      </c>
      <c r="P1399" s="84">
        <f t="shared" si="40"/>
        <v>-3.821119667581252E-3</v>
      </c>
    </row>
    <row r="1400" spans="2:16" ht="15" customHeight="1">
      <c r="B1400" s="83">
        <v>311.41453272768973</v>
      </c>
      <c r="C1400" s="83">
        <v>311.52675418092497</v>
      </c>
      <c r="D1400" s="83">
        <v>308.98774380147847</v>
      </c>
      <c r="E1400" s="83">
        <v>310.15204137879368</v>
      </c>
      <c r="F1400" s="83">
        <v>3227997.7629657281</v>
      </c>
      <c r="G1400" s="83" t="s">
        <v>831</v>
      </c>
      <c r="H1400" s="84">
        <f t="shared" si="39"/>
        <v>4.070556309362372E-3</v>
      </c>
      <c r="J1400" s="83">
        <v>88.542683730068717</v>
      </c>
      <c r="K1400" s="83">
        <v>89.421952174149453</v>
      </c>
      <c r="L1400" s="83">
        <v>87.862223528128084</v>
      </c>
      <c r="M1400" s="83">
        <v>88.061543727089528</v>
      </c>
      <c r="N1400" s="83">
        <v>25083923.027123682</v>
      </c>
      <c r="O1400" s="83" t="s">
        <v>831</v>
      </c>
      <c r="P1400" s="84">
        <f t="shared" si="40"/>
        <v>5.4636789524185048E-3</v>
      </c>
    </row>
    <row r="1401" spans="2:16" ht="15" customHeight="1">
      <c r="B1401" s="83">
        <v>307.68316940761923</v>
      </c>
      <c r="C1401" s="83">
        <v>308.35649812703048</v>
      </c>
      <c r="D1401" s="83">
        <v>304.76541162350395</v>
      </c>
      <c r="E1401" s="83">
        <v>305.28911173860155</v>
      </c>
      <c r="F1401" s="83">
        <v>2136966.8016807614</v>
      </c>
      <c r="G1401" s="83" t="s">
        <v>830</v>
      </c>
      <c r="H1401" s="84">
        <f t="shared" si="39"/>
        <v>7.8419359779446918E-3</v>
      </c>
      <c r="J1401" s="83">
        <v>88.325971910545022</v>
      </c>
      <c r="K1401" s="83">
        <v>88.525784184509519</v>
      </c>
      <c r="L1401" s="83">
        <v>86.712065309642725</v>
      </c>
      <c r="M1401" s="83">
        <v>87.362200768213796</v>
      </c>
      <c r="N1401" s="83">
        <v>30189874.527286656</v>
      </c>
      <c r="O1401" s="83" t="s">
        <v>830</v>
      </c>
      <c r="P1401" s="84">
        <f t="shared" si="40"/>
        <v>1.103190091202344E-2</v>
      </c>
    </row>
    <row r="1402" spans="2:16" ht="15" customHeight="1">
      <c r="B1402" s="83">
        <v>303.55903100122555</v>
      </c>
      <c r="C1402" s="83">
        <v>306.214938727792</v>
      </c>
      <c r="D1402" s="83">
        <v>301.81024668831026</v>
      </c>
      <c r="E1402" s="83">
        <v>305.56031358391999</v>
      </c>
      <c r="F1402" s="83">
        <v>2715826.1741739181</v>
      </c>
      <c r="G1402" s="83" t="s">
        <v>829</v>
      </c>
      <c r="H1402" s="84">
        <f t="shared" si="39"/>
        <v>-6.5495501009976698E-3</v>
      </c>
      <c r="J1402" s="83">
        <v>86.975002356725369</v>
      </c>
      <c r="K1402" s="83">
        <v>87.891057135124797</v>
      </c>
      <c r="L1402" s="83">
        <v>86.764255082693154</v>
      </c>
      <c r="M1402" s="83">
        <v>86.865155310590666</v>
      </c>
      <c r="N1402" s="83">
        <v>25123537.110097416</v>
      </c>
      <c r="O1402" s="83" t="s">
        <v>829</v>
      </c>
      <c r="P1402" s="84">
        <f t="shared" si="40"/>
        <v>1.2645697315791793E-3</v>
      </c>
    </row>
    <row r="1403" spans="2:16" ht="15" customHeight="1">
      <c r="B1403" s="83">
        <v>306.39262269541439</v>
      </c>
      <c r="C1403" s="83">
        <v>307.20622823136961</v>
      </c>
      <c r="D1403" s="83">
        <v>305.02726168105278</v>
      </c>
      <c r="E1403" s="83">
        <v>306.19623515225283</v>
      </c>
      <c r="F1403" s="83">
        <v>2965723.846958668</v>
      </c>
      <c r="G1403" s="83" t="s">
        <v>828</v>
      </c>
      <c r="H1403" s="84">
        <f t="shared" si="39"/>
        <v>6.4137804654551545E-4</v>
      </c>
      <c r="J1403" s="83">
        <v>87.117654403063213</v>
      </c>
      <c r="K1403" s="83">
        <v>87.689753724787423</v>
      </c>
      <c r="L1403" s="83">
        <v>86.851983605963639</v>
      </c>
      <c r="M1403" s="83">
        <v>86.982955084047333</v>
      </c>
      <c r="N1403" s="83">
        <v>25429585.576423693</v>
      </c>
      <c r="O1403" s="83" t="s">
        <v>828</v>
      </c>
      <c r="P1403" s="84">
        <f t="shared" si="40"/>
        <v>1.5485714285716767E-3</v>
      </c>
    </row>
    <row r="1404" spans="2:16" ht="15" customHeight="1">
      <c r="B1404" s="83">
        <v>304.25106329617591</v>
      </c>
      <c r="C1404" s="83">
        <v>305.14883492205757</v>
      </c>
      <c r="D1404" s="83">
        <v>301.18367690774704</v>
      </c>
      <c r="E1404" s="83">
        <v>303.7180113933087</v>
      </c>
      <c r="F1404" s="83">
        <v>4406452.6500435425</v>
      </c>
      <c r="G1404" s="83" t="s">
        <v>827</v>
      </c>
      <c r="H1404" s="84">
        <f t="shared" si="39"/>
        <v>1.7550882162762349E-3</v>
      </c>
      <c r="J1404" s="83">
        <v>86.50529439927152</v>
      </c>
      <c r="K1404" s="83">
        <v>87.629114178957408</v>
      </c>
      <c r="L1404" s="83">
        <v>85.357616437619711</v>
      </c>
      <c r="M1404" s="83">
        <v>86.043042123682</v>
      </c>
      <c r="N1404" s="83">
        <v>53036235.611246429</v>
      </c>
      <c r="O1404" s="83" t="s">
        <v>827</v>
      </c>
      <c r="P1404" s="84">
        <f t="shared" si="40"/>
        <v>5.3723376600871564E-3</v>
      </c>
    </row>
    <row r="1405" spans="2:16" ht="15" customHeight="1">
      <c r="B1405" s="83">
        <v>304.6438383824991</v>
      </c>
      <c r="C1405" s="83">
        <v>313.47192603700182</v>
      </c>
      <c r="D1405" s="83">
        <v>304.19495256955827</v>
      </c>
      <c r="E1405" s="83">
        <v>312.6863758643554</v>
      </c>
      <c r="F1405" s="83">
        <v>8658538.0244852249</v>
      </c>
      <c r="G1405" s="83" t="s">
        <v>826</v>
      </c>
      <c r="H1405" s="84">
        <f t="shared" si="39"/>
        <v>-2.5720779997607468E-2</v>
      </c>
      <c r="J1405" s="83">
        <v>87.629114178957408</v>
      </c>
      <c r="K1405" s="83">
        <v>90.365851439084921</v>
      </c>
      <c r="L1405" s="83">
        <v>87.480994632585706</v>
      </c>
      <c r="M1405" s="83">
        <v>89.015871005725927</v>
      </c>
      <c r="N1405" s="83">
        <v>45635061.445825733</v>
      </c>
      <c r="O1405" s="83" t="s">
        <v>826</v>
      </c>
      <c r="P1405" s="84">
        <f t="shared" si="40"/>
        <v>-1.5578759283041976E-2</v>
      </c>
    </row>
    <row r="1406" spans="2:16" ht="15" customHeight="1">
      <c r="B1406" s="83">
        <v>300.89377148688942</v>
      </c>
      <c r="C1406" s="83">
        <v>301.98793065593264</v>
      </c>
      <c r="D1406" s="83">
        <v>298.71948083045737</v>
      </c>
      <c r="E1406" s="83">
        <v>300.6038660660318</v>
      </c>
      <c r="F1406" s="83">
        <v>3892965.8047143691</v>
      </c>
      <c r="G1406" s="83" t="s">
        <v>825</v>
      </c>
      <c r="H1406" s="84">
        <f t="shared" si="39"/>
        <v>9.6441015430559496E-4</v>
      </c>
      <c r="J1406" s="83">
        <v>87.566983496754517</v>
      </c>
      <c r="K1406" s="83">
        <v>88.097833015950584</v>
      </c>
      <c r="L1406" s="83">
        <v>86.503306217441022</v>
      </c>
      <c r="M1406" s="83">
        <v>87.179288039808469</v>
      </c>
      <c r="N1406" s="83">
        <v>33421993.391590003</v>
      </c>
      <c r="O1406" s="83" t="s">
        <v>825</v>
      </c>
      <c r="P1406" s="84">
        <f t="shared" si="40"/>
        <v>4.4471051056187427E-3</v>
      </c>
    </row>
    <row r="1407" spans="2:16" ht="15" customHeight="1">
      <c r="B1407" s="83">
        <v>300.93117863796783</v>
      </c>
      <c r="C1407" s="83">
        <v>302.5770932854175</v>
      </c>
      <c r="D1407" s="83">
        <v>299.74350159122855</v>
      </c>
      <c r="E1407" s="83">
        <v>300.13627667755179</v>
      </c>
      <c r="F1407" s="83">
        <v>4224091.7964810058</v>
      </c>
      <c r="G1407" s="83" t="s">
        <v>824</v>
      </c>
      <c r="H1407" s="84">
        <f t="shared" si="39"/>
        <v>2.64847011902547E-3</v>
      </c>
      <c r="J1407" s="83">
        <v>87.647504860889455</v>
      </c>
      <c r="K1407" s="83">
        <v>89.15206146111467</v>
      </c>
      <c r="L1407" s="83">
        <v>87.008304402386116</v>
      </c>
      <c r="M1407" s="83">
        <v>88.523796002679035</v>
      </c>
      <c r="N1407" s="83">
        <v>41561832.390114114</v>
      </c>
      <c r="O1407" s="83" t="s">
        <v>824</v>
      </c>
      <c r="P1407" s="84">
        <f t="shared" si="40"/>
        <v>-9.8989331836047967E-3</v>
      </c>
    </row>
    <row r="1408" spans="2:16" ht="15" customHeight="1">
      <c r="B1408" s="83">
        <v>295.15177379635486</v>
      </c>
      <c r="C1408" s="83">
        <v>298.92989605527333</v>
      </c>
      <c r="D1408" s="83">
        <v>291.77577841152913</v>
      </c>
      <c r="E1408" s="83">
        <v>292.88864115611159</v>
      </c>
      <c r="F1408" s="83">
        <v>6148741.9749750905</v>
      </c>
      <c r="G1408" s="83" t="s">
        <v>823</v>
      </c>
      <c r="H1408" s="84">
        <f t="shared" si="39"/>
        <v>7.7269389188672211E-3</v>
      </c>
      <c r="J1408" s="83">
        <v>86.939712129234124</v>
      </c>
      <c r="K1408" s="83">
        <v>88.044892704259155</v>
      </c>
      <c r="L1408" s="83">
        <v>84.797456147787599</v>
      </c>
      <c r="M1408" s="83">
        <v>85.00869052636827</v>
      </c>
      <c r="N1408" s="83">
        <v>71843066.770515919</v>
      </c>
      <c r="O1408" s="83" t="s">
        <v>823</v>
      </c>
      <c r="P1408" s="84">
        <f t="shared" si="40"/>
        <v>2.271557873564567E-2</v>
      </c>
    </row>
    <row r="1409" spans="2:16" ht="15" customHeight="1">
      <c r="B1409" s="83">
        <v>288.65228129648267</v>
      </c>
      <c r="C1409" s="83">
        <v>290.59745315255952</v>
      </c>
      <c r="D1409" s="83">
        <v>286.24887183969531</v>
      </c>
      <c r="E1409" s="83">
        <v>286.69775765263614</v>
      </c>
      <c r="F1409" s="83">
        <v>3612510.3383782143</v>
      </c>
      <c r="G1409" s="83" t="s">
        <v>822</v>
      </c>
      <c r="H1409" s="84">
        <f t="shared" si="39"/>
        <v>6.8173663437389731E-3</v>
      </c>
      <c r="J1409" s="83">
        <v>82.022938462426154</v>
      </c>
      <c r="K1409" s="83">
        <v>82.594043693235122</v>
      </c>
      <c r="L1409" s="83">
        <v>80.353367740724636</v>
      </c>
      <c r="M1409" s="83">
        <v>81.106883684026727</v>
      </c>
      <c r="N1409" s="83">
        <v>33430604.27402411</v>
      </c>
      <c r="O1409" s="83" t="s">
        <v>822</v>
      </c>
      <c r="P1409" s="84">
        <f t="shared" si="40"/>
        <v>1.1294414688254539E-2</v>
      </c>
    </row>
    <row r="1410" spans="2:16" ht="15" customHeight="1">
      <c r="B1410" s="83">
        <v>283.6490748397465</v>
      </c>
      <c r="C1410" s="83">
        <v>285.51943239366653</v>
      </c>
      <c r="D1410" s="83">
        <v>281.14279571749358</v>
      </c>
      <c r="E1410" s="83">
        <v>283.70518556636409</v>
      </c>
      <c r="F1410" s="83">
        <v>4363225.6211631298</v>
      </c>
      <c r="G1410" s="83" t="s">
        <v>821</v>
      </c>
      <c r="H1410" s="84">
        <f t="shared" si="39"/>
        <v>-1.9777829053624352E-4</v>
      </c>
      <c r="J1410" s="83">
        <v>80.821082545893418</v>
      </c>
      <c r="K1410" s="83">
        <v>82.547818465676173</v>
      </c>
      <c r="L1410" s="83">
        <v>80.324037088270302</v>
      </c>
      <c r="M1410" s="83">
        <v>80.926953228367154</v>
      </c>
      <c r="N1410" s="83">
        <v>51010344.448664874</v>
      </c>
      <c r="O1410" s="83" t="s">
        <v>821</v>
      </c>
      <c r="P1410" s="84">
        <f t="shared" si="40"/>
        <v>-1.3082252358491697E-3</v>
      </c>
    </row>
    <row r="1411" spans="2:16" ht="15" customHeight="1">
      <c r="B1411" s="83">
        <v>280.38530090815595</v>
      </c>
      <c r="C1411" s="83">
        <v>283.22824439011447</v>
      </c>
      <c r="D1411" s="83">
        <v>277.15893412764387</v>
      </c>
      <c r="E1411" s="83">
        <v>282.01251198006645</v>
      </c>
      <c r="F1411" s="83">
        <v>6300861.5520065958</v>
      </c>
      <c r="G1411" s="83" t="s">
        <v>820</v>
      </c>
      <c r="H1411" s="84">
        <f t="shared" si="39"/>
        <v>-5.7699960206925027E-3</v>
      </c>
      <c r="J1411" s="83">
        <v>80.571565726166611</v>
      </c>
      <c r="K1411" s="83">
        <v>83.851568701021634</v>
      </c>
      <c r="L1411" s="83">
        <v>79.748955493800338</v>
      </c>
      <c r="M1411" s="83">
        <v>83.111468014620797</v>
      </c>
      <c r="N1411" s="83">
        <v>87132111.028842121</v>
      </c>
      <c r="O1411" s="83" t="s">
        <v>820</v>
      </c>
      <c r="P1411" s="84">
        <f t="shared" si="40"/>
        <v>-3.0560190418094546E-2</v>
      </c>
    </row>
    <row r="1412" spans="2:16" ht="15" customHeight="1">
      <c r="B1412" s="83">
        <v>283.57426053758968</v>
      </c>
      <c r="C1412" s="83">
        <v>286.39850044400896</v>
      </c>
      <c r="D1412" s="83">
        <v>279.32854889019114</v>
      </c>
      <c r="E1412" s="83">
        <v>280.85289029663596</v>
      </c>
      <c r="F1412" s="83">
        <v>5737053.8470093124</v>
      </c>
      <c r="G1412" s="83" t="s">
        <v>819</v>
      </c>
      <c r="H1412" s="84">
        <f t="shared" si="39"/>
        <v>9.6896643580182129E-3</v>
      </c>
      <c r="J1412" s="83">
        <v>77.898952300527057</v>
      </c>
      <c r="K1412" s="83">
        <v>79.214631626855478</v>
      </c>
      <c r="L1412" s="83">
        <v>75.662247741222984</v>
      </c>
      <c r="M1412" s="83">
        <v>75.66821228671445</v>
      </c>
      <c r="N1412" s="83">
        <v>40299412.644844517</v>
      </c>
      <c r="O1412" s="83" t="s">
        <v>819</v>
      </c>
      <c r="P1412" s="84">
        <f t="shared" si="40"/>
        <v>2.9480543366877887E-2</v>
      </c>
    </row>
    <row r="1413" spans="2:16" ht="15" customHeight="1">
      <c r="B1413" s="83">
        <v>280.61909560239599</v>
      </c>
      <c r="C1413" s="83">
        <v>285.92155926775933</v>
      </c>
      <c r="D1413" s="83">
        <v>280.19358925887917</v>
      </c>
      <c r="E1413" s="83">
        <v>285.35110021381371</v>
      </c>
      <c r="F1413" s="83">
        <v>6042111.026479708</v>
      </c>
      <c r="G1413" s="83" t="s">
        <v>818</v>
      </c>
      <c r="H1413" s="84">
        <f t="shared" si="39"/>
        <v>-1.6583095729688857E-2</v>
      </c>
      <c r="J1413" s="83">
        <v>75.382908194038777</v>
      </c>
      <c r="K1413" s="83">
        <v>77.606192525987026</v>
      </c>
      <c r="L1413" s="83">
        <v>75.283499102514156</v>
      </c>
      <c r="M1413" s="83">
        <v>77.526168207309709</v>
      </c>
      <c r="N1413" s="83">
        <v>36897208.733583353</v>
      </c>
      <c r="O1413" s="83" t="s">
        <v>818</v>
      </c>
      <c r="P1413" s="84">
        <f t="shared" si="40"/>
        <v>-2.764563324656677E-2</v>
      </c>
    </row>
    <row r="1414" spans="2:16" ht="15" customHeight="1">
      <c r="B1414" s="83">
        <v>290.62550851586826</v>
      </c>
      <c r="C1414" s="83">
        <v>292.21531243670034</v>
      </c>
      <c r="D1414" s="83">
        <v>290.42753116878583</v>
      </c>
      <c r="E1414" s="83">
        <v>291.94411059138196</v>
      </c>
      <c r="F1414" s="83">
        <v>2348328.5272350279</v>
      </c>
      <c r="G1414" s="83" t="s">
        <v>817</v>
      </c>
      <c r="H1414" s="84">
        <f t="shared" si="39"/>
        <v>-4.516625024024834E-3</v>
      </c>
      <c r="J1414" s="83">
        <v>79.739014584647876</v>
      </c>
      <c r="K1414" s="83">
        <v>79.867500835443451</v>
      </c>
      <c r="L1414" s="83">
        <v>78.671360941673399</v>
      </c>
      <c r="M1414" s="83">
        <v>79.312052536549615</v>
      </c>
      <c r="N1414" s="83">
        <v>24726148.909540184</v>
      </c>
      <c r="O1414" s="83" t="s">
        <v>817</v>
      </c>
      <c r="P1414" s="84">
        <f t="shared" si="40"/>
        <v>5.3833186059772942E-3</v>
      </c>
    </row>
    <row r="1415" spans="2:16" ht="15" customHeight="1">
      <c r="B1415" s="83">
        <v>291.58874265613713</v>
      </c>
      <c r="C1415" s="83">
        <v>294.656129044566</v>
      </c>
      <c r="D1415" s="83">
        <v>288.37172766339467</v>
      </c>
      <c r="E1415" s="83">
        <v>293.93604138630678</v>
      </c>
      <c r="F1415" s="83">
        <v>3567042.0268129944</v>
      </c>
      <c r="G1415" s="83" t="s">
        <v>816</v>
      </c>
      <c r="H1415" s="84">
        <f t="shared" si="39"/>
        <v>-7.9857465559478591E-3</v>
      </c>
      <c r="J1415" s="83">
        <v>79.052594807670332</v>
      </c>
      <c r="K1415" s="83">
        <v>81.427975049651266</v>
      </c>
      <c r="L1415" s="83">
        <v>78.359216394286079</v>
      </c>
      <c r="M1415" s="83">
        <v>80.770383909215866</v>
      </c>
      <c r="N1415" s="83">
        <v>37285402.604064912</v>
      </c>
      <c r="O1415" s="83" t="s">
        <v>816</v>
      </c>
      <c r="P1415" s="84">
        <f t="shared" si="40"/>
        <v>-2.1267561430391213E-2</v>
      </c>
    </row>
    <row r="1416" spans="2:16" ht="15" customHeight="1">
      <c r="B1416" s="83">
        <v>297.0595385013533</v>
      </c>
      <c r="C1416" s="83">
        <v>297.23722246897569</v>
      </c>
      <c r="D1416" s="83">
        <v>294.80575764887965</v>
      </c>
      <c r="E1416" s="83">
        <v>297.23722246897569</v>
      </c>
      <c r="F1416" s="83">
        <v>1528535.5433820935</v>
      </c>
      <c r="G1416" s="83" t="s">
        <v>815</v>
      </c>
      <c r="H1416" s="84">
        <f t="shared" si="39"/>
        <v>-5.977850490812564E-4</v>
      </c>
      <c r="J1416" s="83">
        <v>81.565159595955251</v>
      </c>
      <c r="K1416" s="83">
        <v>81.632757778191987</v>
      </c>
      <c r="L1416" s="83">
        <v>80.546713453285463</v>
      </c>
      <c r="M1416" s="83">
        <v>80.823065757269333</v>
      </c>
      <c r="N1416" s="83">
        <v>27680446.102038406</v>
      </c>
      <c r="O1416" s="83" t="s">
        <v>815</v>
      </c>
      <c r="P1416" s="84">
        <f t="shared" si="40"/>
        <v>9.181708609205641E-3</v>
      </c>
    </row>
    <row r="1417" spans="2:16" ht="15" customHeight="1">
      <c r="B1417" s="83">
        <v>296.04954542223646</v>
      </c>
      <c r="C1417" s="83">
        <v>296.60130090064291</v>
      </c>
      <c r="D1417" s="83">
        <v>292.70160540071959</v>
      </c>
      <c r="E1417" s="83">
        <v>294.63742546902682</v>
      </c>
      <c r="F1417" s="83">
        <v>2526148.003143758</v>
      </c>
      <c r="G1417" s="83" t="s">
        <v>814</v>
      </c>
      <c r="H1417" s="84">
        <f t="shared" si="39"/>
        <v>4.7927378911953866E-3</v>
      </c>
      <c r="J1417" s="83">
        <v>80.289243906236678</v>
      </c>
      <c r="K1417" s="83">
        <v>80.620276181013679</v>
      </c>
      <c r="L1417" s="83">
        <v>78.781705033265737</v>
      </c>
      <c r="M1417" s="83">
        <v>79.181826626652352</v>
      </c>
      <c r="N1417" s="83">
        <v>28851324.924235132</v>
      </c>
      <c r="O1417" s="83" t="s">
        <v>814</v>
      </c>
      <c r="P1417" s="84">
        <f t="shared" si="40"/>
        <v>1.3985750604186942E-2</v>
      </c>
    </row>
    <row r="1418" spans="2:16" ht="15" customHeight="1">
      <c r="B1418" s="83">
        <v>294.43168613809559</v>
      </c>
      <c r="C1418" s="83">
        <v>296.94020968941322</v>
      </c>
      <c r="D1418" s="83">
        <v>294.19789144385561</v>
      </c>
      <c r="E1418" s="83">
        <v>294.96473804096286</v>
      </c>
      <c r="F1418" s="83">
        <v>2788481.8007492675</v>
      </c>
      <c r="G1418" s="83" t="s">
        <v>813</v>
      </c>
      <c r="H1418" s="84">
        <f t="shared" si="39"/>
        <v>-1.8071716178943431E-3</v>
      </c>
      <c r="J1418" s="83">
        <v>79.194754779005123</v>
      </c>
      <c r="K1418" s="83">
        <v>80.458239361828547</v>
      </c>
      <c r="L1418" s="83">
        <v>78.117160226878184</v>
      </c>
      <c r="M1418" s="83">
        <v>78.201652984219535</v>
      </c>
      <c r="N1418" s="83">
        <v>51672235.619692229</v>
      </c>
      <c r="O1418" s="83" t="s">
        <v>813</v>
      </c>
      <c r="P1418" s="84">
        <f t="shared" si="40"/>
        <v>1.2699243006870864E-2</v>
      </c>
    </row>
    <row r="1419" spans="2:16" ht="15" customHeight="1">
      <c r="B1419" s="83">
        <v>294.96473804096286</v>
      </c>
      <c r="C1419" s="83">
        <v>298.01342085385255</v>
      </c>
      <c r="D1419" s="83">
        <v>294.37482726845644</v>
      </c>
      <c r="E1419" s="83">
        <v>295.03020055535006</v>
      </c>
      <c r="F1419" s="83">
        <v>3279117.4003845779</v>
      </c>
      <c r="G1419" s="83" t="s">
        <v>812</v>
      </c>
      <c r="H1419" s="84">
        <f t="shared" si="39"/>
        <v>-2.2188411309753686E-4</v>
      </c>
      <c r="J1419" s="83">
        <v>77.336798858409878</v>
      </c>
      <c r="K1419" s="83">
        <v>78.40892094004839</v>
      </c>
      <c r="L1419" s="83">
        <v>75.832734333187716</v>
      </c>
      <c r="M1419" s="83">
        <v>75.901326606339708</v>
      </c>
      <c r="N1419" s="83">
        <v>45118046.359863818</v>
      </c>
      <c r="O1419" s="83" t="s">
        <v>812</v>
      </c>
      <c r="P1419" s="84">
        <f t="shared" si="40"/>
        <v>1.8912347336367485E-2</v>
      </c>
    </row>
    <row r="1420" spans="2:16" ht="15" customHeight="1">
      <c r="B1420" s="83">
        <v>293.80511635753243</v>
      </c>
      <c r="C1420" s="83">
        <v>300.08951773870376</v>
      </c>
      <c r="D1420" s="83">
        <v>293.01956618488595</v>
      </c>
      <c r="E1420" s="83">
        <v>299.53776226029737</v>
      </c>
      <c r="F1420" s="83">
        <v>2384124.8913364671</v>
      </c>
      <c r="G1420" s="83" t="s">
        <v>811</v>
      </c>
      <c r="H1420" s="84">
        <f t="shared" si="39"/>
        <v>-1.9138307836403246E-2</v>
      </c>
      <c r="J1420" s="83">
        <v>76.277092972302782</v>
      </c>
      <c r="K1420" s="83">
        <v>78.938274352417025</v>
      </c>
      <c r="L1420" s="83">
        <v>75.948545924813899</v>
      </c>
      <c r="M1420" s="83">
        <v>78.556046395504836</v>
      </c>
      <c r="N1420" s="83">
        <v>32332555.812601846</v>
      </c>
      <c r="O1420" s="83" t="s">
        <v>811</v>
      </c>
      <c r="P1420" s="84">
        <f t="shared" si="40"/>
        <v>-2.9010541234830489E-2</v>
      </c>
    </row>
    <row r="1421" spans="2:16" ht="15" customHeight="1">
      <c r="B1421" s="83">
        <v>298.31267806247973</v>
      </c>
      <c r="C1421" s="83">
        <v>301.32395372429102</v>
      </c>
      <c r="D1421" s="83">
        <v>298.22851197255329</v>
      </c>
      <c r="E1421" s="83">
        <v>299.86507483223335</v>
      </c>
      <c r="F1421" s="83">
        <v>1785681.0282076953</v>
      </c>
      <c r="G1421" s="83" t="s">
        <v>810</v>
      </c>
      <c r="H1421" s="84">
        <f t="shared" si="39"/>
        <v>-5.176984250740535E-3</v>
      </c>
      <c r="J1421" s="83">
        <v>78.185747529575607</v>
      </c>
      <c r="K1421" s="83">
        <v>78.589348441165583</v>
      </c>
      <c r="L1421" s="83">
        <v>77.688205026494856</v>
      </c>
      <c r="M1421" s="83">
        <v>77.829862981917444</v>
      </c>
      <c r="N1421" s="83">
        <v>28873355.102425199</v>
      </c>
      <c r="O1421" s="83" t="s">
        <v>810</v>
      </c>
      <c r="P1421" s="84">
        <f t="shared" si="40"/>
        <v>4.5725963534182235E-3</v>
      </c>
    </row>
    <row r="1422" spans="2:16" ht="15" customHeight="1">
      <c r="B1422" s="83">
        <v>298.56517633225894</v>
      </c>
      <c r="C1422" s="83">
        <v>298.97665499412136</v>
      </c>
      <c r="D1422" s="83">
        <v>294.7919170029806</v>
      </c>
      <c r="E1422" s="83">
        <v>295.2452916740508</v>
      </c>
      <c r="F1422" s="83">
        <v>2659487.2138616783</v>
      </c>
      <c r="G1422" s="83" t="s">
        <v>809</v>
      </c>
      <c r="H1422" s="84">
        <f t="shared" si="39"/>
        <v>1.1244496531627179E-2</v>
      </c>
      <c r="J1422" s="83">
        <v>77.495848434394702</v>
      </c>
      <c r="K1422" s="83">
        <v>78.289878552947641</v>
      </c>
      <c r="L1422" s="83">
        <v>76.795014339146093</v>
      </c>
      <c r="M1422" s="83">
        <v>76.900387976162193</v>
      </c>
      <c r="N1422" s="83">
        <v>30999518.783818886</v>
      </c>
      <c r="O1422" s="83" t="s">
        <v>809</v>
      </c>
      <c r="P1422" s="84">
        <f t="shared" si="40"/>
        <v>7.7432698833339586E-3</v>
      </c>
    </row>
    <row r="1423" spans="2:16" ht="15" customHeight="1">
      <c r="B1423" s="83">
        <v>298.92054426750371</v>
      </c>
      <c r="C1423" s="83">
        <v>302.34329859117747</v>
      </c>
      <c r="D1423" s="83">
        <v>298.25656733586214</v>
      </c>
      <c r="E1423" s="83">
        <v>301.33330551206063</v>
      </c>
      <c r="F1423" s="83">
        <v>2040028.1176200616</v>
      </c>
      <c r="G1423" s="83" t="s">
        <v>808</v>
      </c>
      <c r="H1423" s="84">
        <f t="shared" si="39"/>
        <v>-8.0069517720813277E-3</v>
      </c>
      <c r="J1423" s="83">
        <v>77.940704118967389</v>
      </c>
      <c r="K1423" s="83">
        <v>78.915117004546346</v>
      </c>
      <c r="L1423" s="83">
        <v>77.068389340838806</v>
      </c>
      <c r="M1423" s="83">
        <v>78.463098894929303</v>
      </c>
      <c r="N1423" s="83">
        <v>38849364.185601816</v>
      </c>
      <c r="O1423" s="83" t="s">
        <v>808</v>
      </c>
      <c r="P1423" s="84">
        <f t="shared" si="40"/>
        <v>-6.657840224504219E-3</v>
      </c>
    </row>
    <row r="1424" spans="2:16" ht="15" customHeight="1">
      <c r="B1424" s="83">
        <v>300.80025360919342</v>
      </c>
      <c r="C1424" s="83">
        <v>302.74542546527027</v>
      </c>
      <c r="D1424" s="83">
        <v>299.91838002252013</v>
      </c>
      <c r="E1424" s="83">
        <v>302.66125937534383</v>
      </c>
      <c r="F1424" s="83">
        <v>2384291.7043607179</v>
      </c>
      <c r="G1424" s="83" t="s">
        <v>807</v>
      </c>
      <c r="H1424" s="84">
        <f t="shared" si="39"/>
        <v>-6.1488073167715873E-3</v>
      </c>
      <c r="J1424" s="83">
        <v>78.119645454166303</v>
      </c>
      <c r="K1424" s="83">
        <v>79.030227762077288</v>
      </c>
      <c r="L1424" s="83">
        <v>77.698145935647318</v>
      </c>
      <c r="M1424" s="83">
        <v>78.71858026014759</v>
      </c>
      <c r="N1424" s="83">
        <v>32211198.703156665</v>
      </c>
      <c r="O1424" s="83" t="s">
        <v>807</v>
      </c>
      <c r="P1424" s="84">
        <f t="shared" si="40"/>
        <v>-7.6085570141374292E-3</v>
      </c>
    </row>
    <row r="1425" spans="2:16" ht="15" customHeight="1">
      <c r="B1425" s="83">
        <v>302.73607367750071</v>
      </c>
      <c r="C1425" s="83">
        <v>304.14071220049465</v>
      </c>
      <c r="D1425" s="83">
        <v>299.87442662000302</v>
      </c>
      <c r="E1425" s="83">
        <v>300.32331243294379</v>
      </c>
      <c r="F1425" s="83">
        <v>2346378.0980284014</v>
      </c>
      <c r="G1425" s="83" t="s">
        <v>806</v>
      </c>
      <c r="H1425" s="84">
        <f t="shared" si="39"/>
        <v>8.0338793049761215E-3</v>
      </c>
      <c r="J1425" s="83">
        <v>77.993887982933074</v>
      </c>
      <c r="K1425" s="83">
        <v>79.222087308719821</v>
      </c>
      <c r="L1425" s="83">
        <v>76.175690728493095</v>
      </c>
      <c r="M1425" s="83">
        <v>76.694114111248595</v>
      </c>
      <c r="N1425" s="83">
        <v>49946337.139295205</v>
      </c>
      <c r="O1425" s="83" t="s">
        <v>806</v>
      </c>
      <c r="P1425" s="84">
        <f t="shared" si="40"/>
        <v>1.69475048606611E-2</v>
      </c>
    </row>
    <row r="1426" spans="2:16" ht="15" customHeight="1">
      <c r="B1426" s="83">
        <v>297.92925476392611</v>
      </c>
      <c r="C1426" s="83">
        <v>298.41545421006765</v>
      </c>
      <c r="D1426" s="83">
        <v>296.31139547978529</v>
      </c>
      <c r="E1426" s="83">
        <v>296.89120632150053</v>
      </c>
      <c r="F1426" s="83">
        <v>2987746.3741025664</v>
      </c>
      <c r="G1426" s="83" t="s">
        <v>805</v>
      </c>
      <c r="H1426" s="84">
        <f t="shared" si="39"/>
        <v>3.4963933600022923E-3</v>
      </c>
      <c r="J1426" s="83">
        <v>75.313321829971542</v>
      </c>
      <c r="K1426" s="83">
        <v>75.377937739462553</v>
      </c>
      <c r="L1426" s="83">
        <v>74.032435685676745</v>
      </c>
      <c r="M1426" s="83">
        <v>74.293384550928891</v>
      </c>
      <c r="N1426" s="83">
        <v>28881503.250522893</v>
      </c>
      <c r="O1426" s="83" t="s">
        <v>805</v>
      </c>
      <c r="P1426" s="84">
        <f t="shared" si="40"/>
        <v>1.3728507392787748E-2</v>
      </c>
    </row>
    <row r="1427" spans="2:16" ht="15" customHeight="1">
      <c r="B1427" s="83">
        <v>295.30140240066845</v>
      </c>
      <c r="C1427" s="83">
        <v>295.37621670282527</v>
      </c>
      <c r="D1427" s="83">
        <v>293.69289490429719</v>
      </c>
      <c r="E1427" s="83">
        <v>294.54390759133082</v>
      </c>
      <c r="F1427" s="83">
        <v>1851743.2630681004</v>
      </c>
      <c r="G1427" s="83" t="s">
        <v>804</v>
      </c>
      <c r="H1427" s="84">
        <f t="shared" si="39"/>
        <v>2.5717551435102681E-3</v>
      </c>
      <c r="J1427" s="83">
        <v>73.857480655047979</v>
      </c>
      <c r="K1427" s="83">
        <v>74.059773185846012</v>
      </c>
      <c r="L1427" s="83">
        <v>72.821632950906803</v>
      </c>
      <c r="M1427" s="83">
        <v>72.821632950906803</v>
      </c>
      <c r="N1427" s="83">
        <v>23897834.328477927</v>
      </c>
      <c r="O1427" s="83" t="s">
        <v>804</v>
      </c>
      <c r="P1427" s="84">
        <f t="shared" si="40"/>
        <v>1.422445037506237E-2</v>
      </c>
    </row>
    <row r="1428" spans="2:16" ht="15" customHeight="1">
      <c r="B1428" s="83">
        <v>292.71095718848915</v>
      </c>
      <c r="C1428" s="83">
        <v>293.46845199782678</v>
      </c>
      <c r="D1428" s="83">
        <v>290.46652812378511</v>
      </c>
      <c r="E1428" s="83">
        <v>290.47326141097921</v>
      </c>
      <c r="F1428" s="83">
        <v>1826208.0385866102</v>
      </c>
      <c r="G1428" s="83" t="s">
        <v>803</v>
      </c>
      <c r="H1428" s="84">
        <f t="shared" si="39"/>
        <v>7.7036205213529829E-3</v>
      </c>
      <c r="J1428" s="83">
        <v>72.5830511312477</v>
      </c>
      <c r="K1428" s="83">
        <v>73.013989543006957</v>
      </c>
      <c r="L1428" s="83">
        <v>71.375727714681133</v>
      </c>
      <c r="M1428" s="83">
        <v>72.781869314296955</v>
      </c>
      <c r="N1428" s="83">
        <v>35130710.344887197</v>
      </c>
      <c r="O1428" s="83" t="s">
        <v>803</v>
      </c>
      <c r="P1428" s="84">
        <f t="shared" si="40"/>
        <v>-2.7316993218556851E-3</v>
      </c>
    </row>
    <row r="1429" spans="2:16" ht="15" customHeight="1">
      <c r="B1429" s="83">
        <v>287.77321324614024</v>
      </c>
      <c r="C1429" s="83">
        <v>293.9453931740764</v>
      </c>
      <c r="D1429" s="83">
        <v>287.26877781384798</v>
      </c>
      <c r="E1429" s="83">
        <v>292.00957310576916</v>
      </c>
      <c r="F1429" s="83">
        <v>3624770.0263464008</v>
      </c>
      <c r="G1429" s="83" t="s">
        <v>802</v>
      </c>
      <c r="H1429" s="84">
        <f t="shared" si="39"/>
        <v>-1.4507606084867897E-2</v>
      </c>
      <c r="J1429" s="83">
        <v>72.242570022321289</v>
      </c>
      <c r="K1429" s="83">
        <v>73.898730457576121</v>
      </c>
      <c r="L1429" s="83">
        <v>72.001512916283218</v>
      </c>
      <c r="M1429" s="83">
        <v>73.343033635953461</v>
      </c>
      <c r="N1429" s="83">
        <v>25056521.106854398</v>
      </c>
      <c r="O1429" s="83" t="s">
        <v>802</v>
      </c>
      <c r="P1429" s="84">
        <f t="shared" si="40"/>
        <v>-1.5004337277545021E-2</v>
      </c>
    </row>
    <row r="1430" spans="2:16" ht="15" customHeight="1">
      <c r="B1430" s="83">
        <v>291.8505927136859</v>
      </c>
      <c r="C1430" s="83">
        <v>292.04698025684758</v>
      </c>
      <c r="D1430" s="83">
        <v>288.68033665979141</v>
      </c>
      <c r="E1430" s="83">
        <v>288.68033665979141</v>
      </c>
      <c r="F1430" s="83">
        <v>2528344.374629729</v>
      </c>
      <c r="G1430" s="83" t="s">
        <v>801</v>
      </c>
      <c r="H1430" s="84">
        <f t="shared" si="39"/>
        <v>1.0981891217726414E-2</v>
      </c>
      <c r="J1430" s="83">
        <v>73.861949093712013</v>
      </c>
      <c r="K1430" s="83">
        <v>73.970802048931475</v>
      </c>
      <c r="L1430" s="83">
        <v>72.780875223381713</v>
      </c>
      <c r="M1430" s="83">
        <v>72.877302042160593</v>
      </c>
      <c r="N1430" s="83">
        <v>22397488.658755623</v>
      </c>
      <c r="O1430" s="83" t="s">
        <v>801</v>
      </c>
      <c r="P1430" s="84">
        <f t="shared" si="40"/>
        <v>1.3511025023700718E-2</v>
      </c>
    </row>
    <row r="1431" spans="2:16" ht="15" customHeight="1">
      <c r="B1431" s="83">
        <v>286.83803446918023</v>
      </c>
      <c r="C1431" s="83">
        <v>288.57746699432579</v>
      </c>
      <c r="D1431" s="83">
        <v>284.4954116328953</v>
      </c>
      <c r="E1431" s="83">
        <v>284.96767691526014</v>
      </c>
      <c r="F1431" s="83">
        <v>3341702.2252779058</v>
      </c>
      <c r="G1431" s="83" t="s">
        <v>800</v>
      </c>
      <c r="H1431" s="84">
        <f t="shared" si="39"/>
        <v>6.5634024678393743E-3</v>
      </c>
      <c r="J1431" s="83">
        <v>72.490103630672181</v>
      </c>
      <c r="K1431" s="83">
        <v>73.721782274662289</v>
      </c>
      <c r="L1431" s="83">
        <v>72.117319537454833</v>
      </c>
      <c r="M1431" s="83">
        <v>72.669537040874133</v>
      </c>
      <c r="N1431" s="83">
        <v>25834075.743100643</v>
      </c>
      <c r="O1431" s="83" t="s">
        <v>800</v>
      </c>
      <c r="P1431" s="84">
        <f t="shared" si="40"/>
        <v>-2.4691695792836699E-3</v>
      </c>
    </row>
    <row r="1432" spans="2:16" ht="15" customHeight="1">
      <c r="B1432" s="83">
        <v>289.5313493468251</v>
      </c>
      <c r="C1432" s="83">
        <v>290.94346930003474</v>
      </c>
      <c r="D1432" s="83">
        <v>287.8106203972186</v>
      </c>
      <c r="E1432" s="83">
        <v>290.05504946192269</v>
      </c>
      <c r="F1432" s="83">
        <v>3213984.3996143909</v>
      </c>
      <c r="G1432" s="83" t="s">
        <v>799</v>
      </c>
      <c r="H1432" s="84">
        <f t="shared" si="39"/>
        <v>-1.8055197317512484E-3</v>
      </c>
      <c r="J1432" s="83">
        <v>74.064246594964629</v>
      </c>
      <c r="K1432" s="83">
        <v>74.509102279537331</v>
      </c>
      <c r="L1432" s="83">
        <v>73.523461137070669</v>
      </c>
      <c r="M1432" s="83">
        <v>73.77496613862796</v>
      </c>
      <c r="N1432" s="83">
        <v>35801494.062727347</v>
      </c>
      <c r="O1432" s="83" t="s">
        <v>799</v>
      </c>
      <c r="P1432" s="84">
        <f t="shared" si="40"/>
        <v>3.9211194728723253E-3</v>
      </c>
    </row>
    <row r="1433" spans="2:16" ht="15" customHeight="1">
      <c r="B1433" s="83">
        <v>287.70775073175298</v>
      </c>
      <c r="C1433" s="83">
        <v>290.60671142245144</v>
      </c>
      <c r="D1433" s="83">
        <v>286.02442893322495</v>
      </c>
      <c r="E1433" s="83">
        <v>286.2021129008474</v>
      </c>
      <c r="F1433" s="83">
        <v>4602867.5008992208</v>
      </c>
      <c r="G1433" s="83" t="s">
        <v>798</v>
      </c>
      <c r="H1433" s="84">
        <f t="shared" si="39"/>
        <v>5.2607502287280727E-3</v>
      </c>
      <c r="J1433" s="83">
        <v>73.045800452294827</v>
      </c>
      <c r="K1433" s="83">
        <v>74.047347049405445</v>
      </c>
      <c r="L1433" s="83">
        <v>72.562672267485169</v>
      </c>
      <c r="M1433" s="83">
        <v>72.906627724160359</v>
      </c>
      <c r="N1433" s="83">
        <v>34234454.291909091</v>
      </c>
      <c r="O1433" s="83" t="s">
        <v>798</v>
      </c>
      <c r="P1433" s="84">
        <f t="shared" si="40"/>
        <v>1.9089173711479557E-3</v>
      </c>
    </row>
    <row r="1434" spans="2:16" ht="15" customHeight="1">
      <c r="B1434" s="83">
        <v>285.51008060589697</v>
      </c>
      <c r="C1434" s="83">
        <v>287.57682570297857</v>
      </c>
      <c r="D1434" s="83">
        <v>284.90221440087288</v>
      </c>
      <c r="E1434" s="83">
        <v>286.95025592241535</v>
      </c>
      <c r="F1434" s="83">
        <v>2467261.9362689178</v>
      </c>
      <c r="G1434" s="83" t="s">
        <v>797</v>
      </c>
      <c r="H1434" s="84">
        <f t="shared" si="39"/>
        <v>-5.0189023595357263E-3</v>
      </c>
      <c r="J1434" s="83">
        <v>73.032380224939004</v>
      </c>
      <c r="K1434" s="83">
        <v>73.396873599923211</v>
      </c>
      <c r="L1434" s="83">
        <v>72.509244851245256</v>
      </c>
      <c r="M1434" s="83">
        <v>73.085067043447069</v>
      </c>
      <c r="N1434" s="83">
        <v>19698439.749999281</v>
      </c>
      <c r="O1434" s="83" t="s">
        <v>797</v>
      </c>
      <c r="P1434" s="84">
        <f t="shared" si="40"/>
        <v>-7.2089717693968325E-4</v>
      </c>
    </row>
    <row r="1435" spans="2:16" ht="15" customHeight="1">
      <c r="B1435" s="83">
        <v>287.14804623374249</v>
      </c>
      <c r="C1435" s="83">
        <v>287.76264511334512</v>
      </c>
      <c r="D1435" s="83">
        <v>285.35081011611663</v>
      </c>
      <c r="E1435" s="83">
        <v>286.2727084355206</v>
      </c>
      <c r="F1435" s="83">
        <v>2618004.4145871052</v>
      </c>
      <c r="G1435" s="83" t="s">
        <v>796</v>
      </c>
      <c r="H1435" s="84">
        <f t="shared" si="39"/>
        <v>3.0577060698717684E-3</v>
      </c>
      <c r="J1435" s="83">
        <v>72.793301359822294</v>
      </c>
      <c r="K1435" s="83">
        <v>73.403673181783489</v>
      </c>
      <c r="L1435" s="83">
        <v>72.036852848320223</v>
      </c>
      <c r="M1435" s="83">
        <v>73.274938408259104</v>
      </c>
      <c r="N1435" s="83">
        <v>40397532.44304812</v>
      </c>
      <c r="O1435" s="83" t="s">
        <v>796</v>
      </c>
      <c r="P1435" s="84">
        <f t="shared" si="40"/>
        <v>-6.5730119860806235E-3</v>
      </c>
    </row>
    <row r="1436" spans="2:16" ht="15" customHeight="1">
      <c r="B1436" s="83">
        <v>282.41749728164945</v>
      </c>
      <c r="C1436" s="83">
        <v>283.12521720361616</v>
      </c>
      <c r="D1436" s="83">
        <v>276.30875690256869</v>
      </c>
      <c r="E1436" s="83">
        <v>277.10494181478117</v>
      </c>
      <c r="F1436" s="83">
        <v>2882236.8520184834</v>
      </c>
      <c r="G1436" s="83" t="s">
        <v>795</v>
      </c>
      <c r="H1436" s="84">
        <f t="shared" si="39"/>
        <v>1.9171637402335628E-2</v>
      </c>
      <c r="J1436" s="83">
        <v>71.821080444711455</v>
      </c>
      <c r="K1436" s="83">
        <v>72.071591355353505</v>
      </c>
      <c r="L1436" s="83">
        <v>70.249422707707112</v>
      </c>
      <c r="M1436" s="83">
        <v>71.208223395462142</v>
      </c>
      <c r="N1436" s="83">
        <v>26624828.367376737</v>
      </c>
      <c r="O1436" s="83" t="s">
        <v>795</v>
      </c>
      <c r="P1436" s="84">
        <f t="shared" si="40"/>
        <v>8.6065487948736585E-3</v>
      </c>
    </row>
    <row r="1437" spans="2:16" ht="15" customHeight="1">
      <c r="B1437" s="83">
        <v>277.9663114566485</v>
      </c>
      <c r="C1437" s="83">
        <v>280.72269431062398</v>
      </c>
      <c r="D1437" s="83">
        <v>274.74432339085286</v>
      </c>
      <c r="E1437" s="83">
        <v>275.92696062887615</v>
      </c>
      <c r="F1437" s="83">
        <v>3361929.7212775536</v>
      </c>
      <c r="G1437" s="83" t="s">
        <v>794</v>
      </c>
      <c r="H1437" s="84">
        <f t="shared" si="39"/>
        <v>7.3909081704970347E-3</v>
      </c>
      <c r="J1437" s="83">
        <v>70.992505666853702</v>
      </c>
      <c r="K1437" s="83">
        <v>71.75888514659907</v>
      </c>
      <c r="L1437" s="83">
        <v>70.07595384299664</v>
      </c>
      <c r="M1437" s="83">
        <v>70.134605206996184</v>
      </c>
      <c r="N1437" s="83">
        <v>29176727.757153958</v>
      </c>
      <c r="O1437" s="83" t="s">
        <v>794</v>
      </c>
      <c r="P1437" s="84">
        <f t="shared" si="40"/>
        <v>1.2232199173653369E-2</v>
      </c>
    </row>
    <row r="1438" spans="2:16" ht="15" customHeight="1">
      <c r="B1438" s="83">
        <v>277.20271890926341</v>
      </c>
      <c r="C1438" s="83">
        <v>284.53134494331312</v>
      </c>
      <c r="D1438" s="83">
        <v>276.72780159320683</v>
      </c>
      <c r="E1438" s="83">
        <v>284.27991812893015</v>
      </c>
      <c r="F1438" s="83">
        <v>2959356.9079981567</v>
      </c>
      <c r="G1438" s="83" t="s">
        <v>793</v>
      </c>
      <c r="H1438" s="84">
        <f t="shared" si="39"/>
        <v>-2.4895178197064882E-2</v>
      </c>
      <c r="J1438" s="83">
        <v>70.342370208282645</v>
      </c>
      <c r="K1438" s="83">
        <v>72.616353176908461</v>
      </c>
      <c r="L1438" s="83">
        <v>69.969089069607676</v>
      </c>
      <c r="M1438" s="83">
        <v>72.507997267146607</v>
      </c>
      <c r="N1438" s="83">
        <v>33344032.715346619</v>
      </c>
      <c r="O1438" s="83" t="s">
        <v>793</v>
      </c>
      <c r="P1438" s="84">
        <f t="shared" si="40"/>
        <v>-2.9867423463441956E-2</v>
      </c>
    </row>
    <row r="1439" spans="2:16" ht="15" customHeight="1">
      <c r="B1439" s="83">
        <v>283.77706450016439</v>
      </c>
      <c r="C1439" s="83">
        <v>284.2426697119846</v>
      </c>
      <c r="D1439" s="83">
        <v>279.98703807594813</v>
      </c>
      <c r="E1439" s="83">
        <v>282.25919150963063</v>
      </c>
      <c r="F1439" s="83">
        <v>2944053.1703699967</v>
      </c>
      <c r="G1439" s="83" t="s">
        <v>792</v>
      </c>
      <c r="H1439" s="84">
        <f t="shared" si="39"/>
        <v>5.3775856949620504E-3</v>
      </c>
      <c r="J1439" s="83">
        <v>72.840023632838864</v>
      </c>
      <c r="K1439" s="83">
        <v>73.041824088633859</v>
      </c>
      <c r="L1439" s="83">
        <v>71.302662032410524</v>
      </c>
      <c r="M1439" s="83">
        <v>72.076064764472108</v>
      </c>
      <c r="N1439" s="83">
        <v>31852237.57140585</v>
      </c>
      <c r="O1439" s="83" t="s">
        <v>792</v>
      </c>
      <c r="P1439" s="84">
        <f t="shared" si="40"/>
        <v>1.0599342109800292E-2</v>
      </c>
    </row>
    <row r="1440" spans="2:16" ht="15" customHeight="1">
      <c r="B1440" s="83">
        <v>280.93687270806129</v>
      </c>
      <c r="C1440" s="83">
        <v>280.99274533347972</v>
      </c>
      <c r="D1440" s="83">
        <v>276.41119004916908</v>
      </c>
      <c r="E1440" s="83">
        <v>279.80079599122007</v>
      </c>
      <c r="F1440" s="83">
        <v>4871978.3250108259</v>
      </c>
      <c r="G1440" s="83" t="s">
        <v>791</v>
      </c>
      <c r="H1440" s="84">
        <f t="shared" si="39"/>
        <v>4.0603055213497274E-3</v>
      </c>
      <c r="J1440" s="83">
        <v>71.135157713191546</v>
      </c>
      <c r="K1440" s="83">
        <v>71.99007590030331</v>
      </c>
      <c r="L1440" s="83">
        <v>69.911928841981023</v>
      </c>
      <c r="M1440" s="83">
        <v>71.577533140930697</v>
      </c>
      <c r="N1440" s="83">
        <v>58119975.86326161</v>
      </c>
      <c r="O1440" s="83" t="s">
        <v>791</v>
      </c>
      <c r="P1440" s="84">
        <f t="shared" si="40"/>
        <v>-6.1803670555137247E-3</v>
      </c>
    </row>
    <row r="1441" spans="2:16" ht="15" customHeight="1">
      <c r="B1441" s="83">
        <v>284.01917921031088</v>
      </c>
      <c r="C1441" s="83">
        <v>288.19100190821973</v>
      </c>
      <c r="D1441" s="83">
        <v>281.73771367239198</v>
      </c>
      <c r="E1441" s="83">
        <v>288.15375349127407</v>
      </c>
      <c r="F1441" s="83">
        <v>3673729.2808925933</v>
      </c>
      <c r="G1441" s="83" t="s">
        <v>790</v>
      </c>
      <c r="H1441" s="84">
        <f t="shared" si="39"/>
        <v>-1.4348500517063045E-2</v>
      </c>
      <c r="J1441" s="83">
        <v>72.568139767519014</v>
      </c>
      <c r="K1441" s="83">
        <v>74.706091335302531</v>
      </c>
      <c r="L1441" s="83">
        <v>71.431893851392545</v>
      </c>
      <c r="M1441" s="83">
        <v>74.457906597402143</v>
      </c>
      <c r="N1441" s="83">
        <v>62446642.503137842</v>
      </c>
      <c r="O1441" s="83" t="s">
        <v>790</v>
      </c>
      <c r="P1441" s="84">
        <f t="shared" si="40"/>
        <v>-2.5380337914967188E-2</v>
      </c>
    </row>
    <row r="1442" spans="2:16" ht="15" customHeight="1">
      <c r="B1442" s="83">
        <v>287.36222463117974</v>
      </c>
      <c r="C1442" s="83">
        <v>288.92665814289558</v>
      </c>
      <c r="D1442" s="83">
        <v>284.9131412170056</v>
      </c>
      <c r="E1442" s="83">
        <v>285.39737063729865</v>
      </c>
      <c r="F1442" s="83">
        <v>3058731.8695006701</v>
      </c>
      <c r="G1442" s="83" t="s">
        <v>789</v>
      </c>
      <c r="H1442" s="84">
        <f t="shared" si="39"/>
        <v>6.8846254241710092E-3</v>
      </c>
      <c r="J1442" s="83">
        <v>74.334639323911603</v>
      </c>
      <c r="K1442" s="83">
        <v>74.969281875568541</v>
      </c>
      <c r="L1442" s="83">
        <v>73.065687241054334</v>
      </c>
      <c r="M1442" s="83">
        <v>74.358000460419902</v>
      </c>
      <c r="N1442" s="83">
        <v>37818492.678496107</v>
      </c>
      <c r="O1442" s="83" t="s">
        <v>789</v>
      </c>
      <c r="P1442" s="84">
        <f t="shared" si="40"/>
        <v>-3.1417112299481076E-4</v>
      </c>
    </row>
    <row r="1443" spans="2:16" ht="15" customHeight="1">
      <c r="B1443" s="83">
        <v>289.89511698348156</v>
      </c>
      <c r="C1443" s="83">
        <v>293.4989013229698</v>
      </c>
      <c r="D1443" s="83">
        <v>289.6436901690987</v>
      </c>
      <c r="E1443" s="83">
        <v>292.22314304258248</v>
      </c>
      <c r="F1443" s="83">
        <v>2487323.9615867236</v>
      </c>
      <c r="G1443" s="83" t="s">
        <v>788</v>
      </c>
      <c r="H1443" s="84">
        <f t="shared" si="39"/>
        <v>-7.966603996048649E-3</v>
      </c>
      <c r="J1443" s="83">
        <v>75.59564364990149</v>
      </c>
      <c r="K1443" s="83">
        <v>77.638500480732532</v>
      </c>
      <c r="L1443" s="83">
        <v>75.5419577700236</v>
      </c>
      <c r="M1443" s="83">
        <v>77.317409115107992</v>
      </c>
      <c r="N1443" s="83">
        <v>26401991.606067911</v>
      </c>
      <c r="O1443" s="83" t="s">
        <v>788</v>
      </c>
      <c r="P1443" s="84">
        <f t="shared" si="40"/>
        <v>-2.2268794116512391E-2</v>
      </c>
    </row>
    <row r="1444" spans="2:16" ht="15" customHeight="1">
      <c r="B1444" s="83">
        <v>291.06844211726843</v>
      </c>
      <c r="C1444" s="83">
        <v>292.64218773322062</v>
      </c>
      <c r="D1444" s="83">
        <v>290.09067117244604</v>
      </c>
      <c r="E1444" s="83">
        <v>291.90653149854478</v>
      </c>
      <c r="F1444" s="83">
        <v>2760845.3843863979</v>
      </c>
      <c r="G1444" s="83" t="s">
        <v>787</v>
      </c>
      <c r="H1444" s="84">
        <f t="shared" si="39"/>
        <v>-2.8710881424059975E-3</v>
      </c>
      <c r="J1444" s="83">
        <v>76.616570049404814</v>
      </c>
      <c r="K1444" s="83">
        <v>77.517713464075541</v>
      </c>
      <c r="L1444" s="83">
        <v>76.13916285781238</v>
      </c>
      <c r="M1444" s="83">
        <v>76.346182290912409</v>
      </c>
      <c r="N1444" s="83">
        <v>26779884.60784325</v>
      </c>
      <c r="O1444" s="83" t="s">
        <v>787</v>
      </c>
      <c r="P1444" s="84">
        <f t="shared" si="40"/>
        <v>3.5416015625000519E-3</v>
      </c>
    </row>
    <row r="1445" spans="2:16" ht="15" customHeight="1">
      <c r="B1445" s="83">
        <v>289.57850543944386</v>
      </c>
      <c r="C1445" s="83">
        <v>291.23605999352372</v>
      </c>
      <c r="D1445" s="83">
        <v>288.31205926329295</v>
      </c>
      <c r="E1445" s="83">
        <v>288.74972816240393</v>
      </c>
      <c r="F1445" s="83">
        <v>3281850.0764337159</v>
      </c>
      <c r="G1445" s="83" t="s">
        <v>786</v>
      </c>
      <c r="H1445" s="84">
        <f t="shared" si="39"/>
        <v>2.8702270381837369E-3</v>
      </c>
      <c r="J1445" s="83">
        <v>75.515122285766537</v>
      </c>
      <c r="K1445" s="83">
        <v>77.737904601802583</v>
      </c>
      <c r="L1445" s="83">
        <v>75.339168193767946</v>
      </c>
      <c r="M1445" s="83">
        <v>76.495544450928165</v>
      </c>
      <c r="N1445" s="83">
        <v>34133477.612150244</v>
      </c>
      <c r="O1445" s="83" t="s">
        <v>786</v>
      </c>
      <c r="P1445" s="84">
        <f t="shared" si="40"/>
        <v>-1.2816722492779542E-2</v>
      </c>
    </row>
    <row r="1446" spans="2:16" ht="15" customHeight="1">
      <c r="B1446" s="83">
        <v>285.86297584911881</v>
      </c>
      <c r="C1446" s="83">
        <v>288.29343505482012</v>
      </c>
      <c r="D1446" s="83">
        <v>283.24627455868938</v>
      </c>
      <c r="E1446" s="83">
        <v>287.3249762142342</v>
      </c>
      <c r="F1446" s="83">
        <v>3962857.2729821461</v>
      </c>
      <c r="G1446" s="83" t="s">
        <v>785</v>
      </c>
      <c r="H1446" s="84">
        <f t="shared" si="39"/>
        <v>-5.0883163182628977E-3</v>
      </c>
      <c r="J1446" s="83">
        <v>75.58669683166427</v>
      </c>
      <c r="K1446" s="83">
        <v>78.294600484795069</v>
      </c>
      <c r="L1446" s="83">
        <v>74.425598642656638</v>
      </c>
      <c r="M1446" s="83">
        <v>76.346182290912409</v>
      </c>
      <c r="N1446" s="83">
        <v>32131608.397293743</v>
      </c>
      <c r="O1446" s="83" t="s">
        <v>785</v>
      </c>
      <c r="P1446" s="84">
        <f t="shared" si="40"/>
        <v>-9.9479166666667229E-3</v>
      </c>
    </row>
    <row r="1447" spans="2:16" ht="15" customHeight="1">
      <c r="B1447" s="83">
        <v>285.6487974516815</v>
      </c>
      <c r="C1447" s="83">
        <v>293.06123242385877</v>
      </c>
      <c r="D1447" s="83">
        <v>284.78277175769597</v>
      </c>
      <c r="E1447" s="83">
        <v>292.4466335442562</v>
      </c>
      <c r="F1447" s="83">
        <v>3854106.3425489287</v>
      </c>
      <c r="G1447" s="83" t="s">
        <v>784</v>
      </c>
      <c r="H1447" s="84">
        <f t="shared" si="39"/>
        <v>-2.3244706256965619E-2</v>
      </c>
      <c r="J1447" s="83">
        <v>76.148358198778396</v>
      </c>
      <c r="K1447" s="83">
        <v>78.736031526164751</v>
      </c>
      <c r="L1447" s="83">
        <v>75.839449417320211</v>
      </c>
      <c r="M1447" s="83">
        <v>77.570902298495795</v>
      </c>
      <c r="N1447" s="83">
        <v>32563560.840892557</v>
      </c>
      <c r="O1447" s="83" t="s">
        <v>784</v>
      </c>
      <c r="P1447" s="84">
        <f t="shared" si="40"/>
        <v>-1.8338630305515746E-2</v>
      </c>
    </row>
    <row r="1448" spans="2:16" ht="15" customHeight="1">
      <c r="B1448" s="83">
        <v>290.7332063647579</v>
      </c>
      <c r="C1448" s="83">
        <v>293.01467190267681</v>
      </c>
      <c r="D1448" s="83">
        <v>288.01407192772808</v>
      </c>
      <c r="E1448" s="83">
        <v>288.81025683994056</v>
      </c>
      <c r="F1448" s="83">
        <v>3586552.4216789212</v>
      </c>
      <c r="G1448" s="83" t="s">
        <v>783</v>
      </c>
      <c r="H1448" s="84">
        <f t="shared" si="39"/>
        <v>6.6581760144448499E-3</v>
      </c>
      <c r="J1448" s="83">
        <v>77.387989570090483</v>
      </c>
      <c r="K1448" s="83">
        <v>77.986432301068731</v>
      </c>
      <c r="L1448" s="83">
        <v>76.348722193200857</v>
      </c>
      <c r="M1448" s="83">
        <v>77.416321161174992</v>
      </c>
      <c r="N1448" s="83">
        <v>35705064.250795856</v>
      </c>
      <c r="O1448" s="83" t="s">
        <v>783</v>
      </c>
      <c r="P1448" s="84">
        <f t="shared" si="40"/>
        <v>-3.6596405847710844E-4</v>
      </c>
    </row>
    <row r="1449" spans="2:16" ht="15" customHeight="1">
      <c r="B1449" s="83">
        <v>285.10869540597014</v>
      </c>
      <c r="C1449" s="83">
        <v>289.2246454784605</v>
      </c>
      <c r="D1449" s="83">
        <v>284.81070807040521</v>
      </c>
      <c r="E1449" s="83">
        <v>288.06994455314651</v>
      </c>
      <c r="F1449" s="83">
        <v>4594299.9470249461</v>
      </c>
      <c r="G1449" s="83" t="s">
        <v>782</v>
      </c>
      <c r="H1449" s="84">
        <f t="shared" si="39"/>
        <v>-1.0279618555034786E-2</v>
      </c>
      <c r="J1449" s="83">
        <v>76.166748880710458</v>
      </c>
      <c r="K1449" s="83">
        <v>77.731199458579255</v>
      </c>
      <c r="L1449" s="83">
        <v>75.94904297027152</v>
      </c>
      <c r="M1449" s="83">
        <v>76.222417971964248</v>
      </c>
      <c r="N1449" s="83">
        <v>52528072.834328927</v>
      </c>
      <c r="O1449" s="83" t="s">
        <v>782</v>
      </c>
      <c r="P1449" s="84">
        <f t="shared" si="40"/>
        <v>-7.3035063351400975E-4</v>
      </c>
    </row>
    <row r="1450" spans="2:16" ht="15" customHeight="1">
      <c r="B1450" s="83">
        <v>293.16366557045927</v>
      </c>
      <c r="C1450" s="83">
        <v>297.61485139546022</v>
      </c>
      <c r="D1450" s="83">
        <v>285.78847901522755</v>
      </c>
      <c r="E1450" s="83">
        <v>295.91073632019828</v>
      </c>
      <c r="F1450" s="83">
        <v>5513184.6354661752</v>
      </c>
      <c r="G1450" s="83" t="s">
        <v>781</v>
      </c>
      <c r="H1450" s="84">
        <f t="shared" si="39"/>
        <v>-9.2834440003773944E-3</v>
      </c>
      <c r="J1450" s="83">
        <v>79.081920489670097</v>
      </c>
      <c r="K1450" s="83">
        <v>81.769445279038351</v>
      </c>
      <c r="L1450" s="83">
        <v>76.923376328577262</v>
      </c>
      <c r="M1450" s="83">
        <v>80.733105499894137</v>
      </c>
      <c r="N1450" s="83">
        <v>52481477.498540625</v>
      </c>
      <c r="O1450" s="83" t="s">
        <v>781</v>
      </c>
      <c r="P1450" s="84">
        <f t="shared" si="40"/>
        <v>-2.0452390627116457E-2</v>
      </c>
    </row>
    <row r="1451" spans="2:16" ht="15" customHeight="1">
      <c r="B1451" s="83">
        <v>295.5289400465058</v>
      </c>
      <c r="C1451" s="83">
        <v>304.98072584645547</v>
      </c>
      <c r="D1451" s="83">
        <v>293.15435346622286</v>
      </c>
      <c r="E1451" s="83">
        <v>304.51512063463525</v>
      </c>
      <c r="F1451" s="83">
        <v>7401084.4649454867</v>
      </c>
      <c r="G1451" s="83" t="s">
        <v>780</v>
      </c>
      <c r="H1451" s="84">
        <f t="shared" si="39"/>
        <v>-2.9509800923518958E-2</v>
      </c>
      <c r="J1451" s="83">
        <v>81.606911414395583</v>
      </c>
      <c r="K1451" s="83">
        <v>84.980577635285115</v>
      </c>
      <c r="L1451" s="83">
        <v>80.275828649335423</v>
      </c>
      <c r="M1451" s="83">
        <v>84.980577635285115</v>
      </c>
      <c r="N1451" s="83">
        <v>62524723.892686374</v>
      </c>
      <c r="O1451" s="83" t="s">
        <v>780</v>
      </c>
      <c r="P1451" s="84">
        <f t="shared" si="40"/>
        <v>-3.9699262052188544E-2</v>
      </c>
    </row>
    <row r="1452" spans="2:16" ht="15" customHeight="1">
      <c r="B1452" s="83">
        <v>306.1261146675331</v>
      </c>
      <c r="C1452" s="83">
        <v>306.99214036151869</v>
      </c>
      <c r="D1452" s="83">
        <v>302.43852138991724</v>
      </c>
      <c r="E1452" s="83">
        <v>303.51872548134008</v>
      </c>
      <c r="F1452" s="83">
        <v>5662601.9921319932</v>
      </c>
      <c r="G1452" s="83" t="s">
        <v>779</v>
      </c>
      <c r="H1452" s="84">
        <f t="shared" si="39"/>
        <v>8.5905381358533095E-3</v>
      </c>
      <c r="J1452" s="83">
        <v>85.903372350089896</v>
      </c>
      <c r="K1452" s="83">
        <v>86.146919653870668</v>
      </c>
      <c r="L1452" s="83">
        <v>82.824180710569195</v>
      </c>
      <c r="M1452" s="83">
        <v>83.194245965133348</v>
      </c>
      <c r="N1452" s="83">
        <v>50522139.60486567</v>
      </c>
      <c r="O1452" s="83" t="s">
        <v>779</v>
      </c>
      <c r="P1452" s="84">
        <f t="shared" si="40"/>
        <v>3.2563867290676951E-2</v>
      </c>
    </row>
    <row r="1453" spans="2:16" ht="15" customHeight="1">
      <c r="B1453" s="83">
        <v>301.73080146795058</v>
      </c>
      <c r="C1453" s="83">
        <v>301.80529830184184</v>
      </c>
      <c r="D1453" s="83">
        <v>298.8626733631383</v>
      </c>
      <c r="E1453" s="83">
        <v>299.6728264317054</v>
      </c>
      <c r="F1453" s="83">
        <v>3233192.9750420987</v>
      </c>
      <c r="G1453" s="83" t="s">
        <v>778</v>
      </c>
      <c r="H1453" s="84">
        <f t="shared" si="39"/>
        <v>6.8674062334916908E-3</v>
      </c>
      <c r="J1453" s="83">
        <v>82.544836192930433</v>
      </c>
      <c r="K1453" s="83">
        <v>82.79435301265724</v>
      </c>
      <c r="L1453" s="83">
        <v>81.128753684162135</v>
      </c>
      <c r="M1453" s="83">
        <v>81.347950730973949</v>
      </c>
      <c r="N1453" s="83">
        <v>36750260.403446153</v>
      </c>
      <c r="O1453" s="83" t="s">
        <v>778</v>
      </c>
      <c r="P1453" s="84">
        <f t="shared" si="40"/>
        <v>1.4713160579972184E-2</v>
      </c>
    </row>
    <row r="1454" spans="2:16" ht="15" customHeight="1">
      <c r="B1454" s="83">
        <v>298.9371701970295</v>
      </c>
      <c r="C1454" s="83">
        <v>300.62266106381855</v>
      </c>
      <c r="D1454" s="83">
        <v>298.73230390382867</v>
      </c>
      <c r="E1454" s="83">
        <v>299.83113220372428</v>
      </c>
      <c r="F1454" s="83">
        <v>5442357.4643718442</v>
      </c>
      <c r="G1454" s="83" t="s">
        <v>777</v>
      </c>
      <c r="H1454" s="84">
        <f t="shared" si="39"/>
        <v>-2.9815516491707994E-3</v>
      </c>
      <c r="J1454" s="83">
        <v>81.226179564310854</v>
      </c>
      <c r="K1454" s="83">
        <v>81.911351757189749</v>
      </c>
      <c r="L1454" s="83">
        <v>81.0338229722107</v>
      </c>
      <c r="M1454" s="83">
        <v>81.907623916257592</v>
      </c>
      <c r="N1454" s="83">
        <v>36684894.148706861</v>
      </c>
      <c r="O1454" s="83" t="s">
        <v>777</v>
      </c>
      <c r="P1454" s="84">
        <f t="shared" si="40"/>
        <v>-8.3196693954087353E-3</v>
      </c>
    </row>
    <row r="1455" spans="2:16" ht="15" customHeight="1">
      <c r="B1455" s="83">
        <v>299.9894379757431</v>
      </c>
      <c r="C1455" s="83">
        <v>300.11049533081632</v>
      </c>
      <c r="D1455" s="83">
        <v>297.94077504373433</v>
      </c>
      <c r="E1455" s="83">
        <v>299.04891544786636</v>
      </c>
      <c r="F1455" s="83">
        <v>3800156.1303040939</v>
      </c>
      <c r="G1455" s="83" t="s">
        <v>776</v>
      </c>
      <c r="H1455" s="84">
        <f t="shared" si="39"/>
        <v>3.1450457744284233E-3</v>
      </c>
      <c r="J1455" s="83">
        <v>81.734652097004741</v>
      </c>
      <c r="K1455" s="83">
        <v>81.871831672854142</v>
      </c>
      <c r="L1455" s="83">
        <v>81.055688001891539</v>
      </c>
      <c r="M1455" s="83">
        <v>81.191878457280282</v>
      </c>
      <c r="N1455" s="83">
        <v>30173940.37100672</v>
      </c>
      <c r="O1455" s="83" t="s">
        <v>776</v>
      </c>
      <c r="P1455" s="84">
        <f t="shared" si="40"/>
        <v>6.6850730644203438E-3</v>
      </c>
    </row>
    <row r="1456" spans="2:16" ht="15" customHeight="1">
      <c r="B1456" s="83">
        <v>298.05252029457114</v>
      </c>
      <c r="C1456" s="83">
        <v>299.38703795269021</v>
      </c>
      <c r="D1456" s="83">
        <v>296.56211801153472</v>
      </c>
      <c r="E1456" s="83">
        <v>298.19220185811724</v>
      </c>
      <c r="F1456" s="83">
        <v>2465529.7467833054</v>
      </c>
      <c r="G1456" s="83" t="s">
        <v>775</v>
      </c>
      <c r="H1456" s="84">
        <f t="shared" ref="H1456:H1519" si="41">B1456/E1456-1</f>
        <v>-4.684279557806148E-4</v>
      </c>
      <c r="J1456" s="83">
        <v>81.233630275720614</v>
      </c>
      <c r="K1456" s="83">
        <v>82.261023236627622</v>
      </c>
      <c r="L1456" s="83">
        <v>80.807165273079974</v>
      </c>
      <c r="M1456" s="83">
        <v>82.195418206675953</v>
      </c>
      <c r="N1456" s="83">
        <v>37453355.049298398</v>
      </c>
      <c r="O1456" s="83" t="s">
        <v>775</v>
      </c>
      <c r="P1456" s="84">
        <f t="shared" ref="P1456:P1519" si="42">J1456/M1456-1</f>
        <v>-1.1701235323567261E-2</v>
      </c>
    </row>
    <row r="1457" spans="2:16" ht="15" customHeight="1">
      <c r="B1457" s="83">
        <v>297.45654562344134</v>
      </c>
      <c r="C1457" s="83">
        <v>297.64278770816941</v>
      </c>
      <c r="D1457" s="83">
        <v>294.49529647626497</v>
      </c>
      <c r="E1457" s="83">
        <v>294.96090168808513</v>
      </c>
      <c r="F1457" s="83">
        <v>2798489.9372286657</v>
      </c>
      <c r="G1457" s="83" t="s">
        <v>774</v>
      </c>
      <c r="H1457" s="84">
        <f t="shared" si="41"/>
        <v>8.4609313338597225E-3</v>
      </c>
      <c r="J1457" s="83">
        <v>82.130797326730374</v>
      </c>
      <c r="K1457" s="83">
        <v>82.470776419744581</v>
      </c>
      <c r="L1457" s="83">
        <v>79.70620958444475</v>
      </c>
      <c r="M1457" s="83">
        <v>79.924909585798929</v>
      </c>
      <c r="N1457" s="83">
        <v>72047172.850642145</v>
      </c>
      <c r="O1457" s="83" t="s">
        <v>774</v>
      </c>
      <c r="P1457" s="84">
        <f t="shared" si="42"/>
        <v>2.7599502487562155E-2</v>
      </c>
    </row>
    <row r="1458" spans="2:16" ht="15" customHeight="1">
      <c r="B1458" s="83">
        <v>294.44873595508295</v>
      </c>
      <c r="C1458" s="83">
        <v>294.50460858050138</v>
      </c>
      <c r="D1458" s="83">
        <v>292.86567823489435</v>
      </c>
      <c r="E1458" s="83">
        <v>293.97381863902638</v>
      </c>
      <c r="F1458" s="83">
        <v>3104382.1316979253</v>
      </c>
      <c r="G1458" s="83" t="s">
        <v>773</v>
      </c>
      <c r="H1458" s="84">
        <f t="shared" si="41"/>
        <v>1.615508885298933E-3</v>
      </c>
      <c r="J1458" s="83">
        <v>79.935844585866633</v>
      </c>
      <c r="K1458" s="83">
        <v>80.104840041458488</v>
      </c>
      <c r="L1458" s="83">
        <v>78.636065743727571</v>
      </c>
      <c r="M1458" s="83">
        <v>78.636065743727571</v>
      </c>
      <c r="N1458" s="83">
        <v>42895151.083275758</v>
      </c>
      <c r="O1458" s="83" t="s">
        <v>773</v>
      </c>
      <c r="P1458" s="84">
        <f t="shared" si="42"/>
        <v>1.6529042111224079E-2</v>
      </c>
    </row>
    <row r="1459" spans="2:16" ht="15" customHeight="1">
      <c r="B1459" s="83">
        <v>293.4244044890786</v>
      </c>
      <c r="C1459" s="83">
        <v>293.48958921873339</v>
      </c>
      <c r="D1459" s="83">
        <v>291.81341045618075</v>
      </c>
      <c r="E1459" s="83">
        <v>292.73065272346651</v>
      </c>
      <c r="F1459" s="83">
        <v>2523120.3821955994</v>
      </c>
      <c r="G1459" s="83" t="s">
        <v>772</v>
      </c>
      <c r="H1459" s="84">
        <f t="shared" si="41"/>
        <v>2.3699320831545023E-3</v>
      </c>
      <c r="J1459" s="83">
        <v>78.94075957970513</v>
      </c>
      <c r="K1459" s="83">
        <v>80.231586633152403</v>
      </c>
      <c r="L1459" s="83">
        <v>78.561508925084112</v>
      </c>
      <c r="M1459" s="83">
        <v>79.228051854211301</v>
      </c>
      <c r="N1459" s="83">
        <v>28372233.934974838</v>
      </c>
      <c r="O1459" s="83" t="s">
        <v>772</v>
      </c>
      <c r="P1459" s="84">
        <f t="shared" si="42"/>
        <v>-3.626143364408585E-3</v>
      </c>
    </row>
    <row r="1460" spans="2:16" ht="15" customHeight="1">
      <c r="B1460" s="83">
        <v>290.47246744613858</v>
      </c>
      <c r="C1460" s="83">
        <v>290.63077321815746</v>
      </c>
      <c r="D1460" s="83">
        <v>288.8335371005316</v>
      </c>
      <c r="E1460" s="83">
        <v>289.12239857394485</v>
      </c>
      <c r="F1460" s="83">
        <v>2487325.0354578644</v>
      </c>
      <c r="G1460" s="83" t="s">
        <v>771</v>
      </c>
      <c r="H1460" s="84">
        <f t="shared" si="41"/>
        <v>4.669540924026494E-3</v>
      </c>
      <c r="J1460" s="83">
        <v>78.554058213674338</v>
      </c>
      <c r="K1460" s="83">
        <v>79.413946855362354</v>
      </c>
      <c r="L1460" s="83">
        <v>77.936976278035232</v>
      </c>
      <c r="M1460" s="83">
        <v>78.38555980354009</v>
      </c>
      <c r="N1460" s="83">
        <v>29101020.395940062</v>
      </c>
      <c r="O1460" s="83" t="s">
        <v>771</v>
      </c>
      <c r="P1460" s="84">
        <f t="shared" si="42"/>
        <v>2.149610343493924E-3</v>
      </c>
    </row>
    <row r="1461" spans="2:16" ht="15" customHeight="1">
      <c r="B1461" s="83">
        <v>289.43882387589781</v>
      </c>
      <c r="C1461" s="83">
        <v>289.85786856653596</v>
      </c>
      <c r="D1461" s="83">
        <v>286.83143468970474</v>
      </c>
      <c r="E1461" s="83">
        <v>286.91524362783241</v>
      </c>
      <c r="F1461" s="83">
        <v>2587244.4496287848</v>
      </c>
      <c r="G1461" s="83" t="s">
        <v>770</v>
      </c>
      <c r="H1461" s="84">
        <f t="shared" si="41"/>
        <v>8.7955600272631163E-3</v>
      </c>
      <c r="J1461" s="83">
        <v>78.620165259538211</v>
      </c>
      <c r="K1461" s="83">
        <v>78.824947988078932</v>
      </c>
      <c r="L1461" s="83">
        <v>76.455532291589492</v>
      </c>
      <c r="M1461" s="83">
        <v>76.716481156841638</v>
      </c>
      <c r="N1461" s="83">
        <v>34340460.692715898</v>
      </c>
      <c r="O1461" s="83" t="s">
        <v>770</v>
      </c>
      <c r="P1461" s="84">
        <f t="shared" si="42"/>
        <v>2.4814538857753643E-2</v>
      </c>
    </row>
    <row r="1462" spans="2:16" ht="15" customHeight="1">
      <c r="B1462" s="83">
        <v>288.5262376607302</v>
      </c>
      <c r="C1462" s="83">
        <v>290.79839109441269</v>
      </c>
      <c r="D1462" s="83">
        <v>288.03269613620085</v>
      </c>
      <c r="E1462" s="83">
        <v>290.11860748515528</v>
      </c>
      <c r="F1462" s="83">
        <v>2682850.1234269375</v>
      </c>
      <c r="G1462" s="83" t="s">
        <v>769</v>
      </c>
      <c r="H1462" s="84">
        <f t="shared" si="41"/>
        <v>-5.4886856042370979E-3</v>
      </c>
      <c r="J1462" s="83">
        <v>76.919275703551875</v>
      </c>
      <c r="K1462" s="83">
        <v>78.219054545690923</v>
      </c>
      <c r="L1462" s="83">
        <v>76.7413334297228</v>
      </c>
      <c r="M1462" s="83">
        <v>77.206572948512616</v>
      </c>
      <c r="N1462" s="83">
        <v>33409640.39669621</v>
      </c>
      <c r="O1462" s="83" t="s">
        <v>769</v>
      </c>
      <c r="P1462" s="84">
        <f t="shared" si="42"/>
        <v>-3.7211500781459961E-3</v>
      </c>
    </row>
    <row r="1463" spans="2:16" ht="15" customHeight="1">
      <c r="B1463" s="83">
        <v>289.75543541993557</v>
      </c>
      <c r="C1463" s="83">
        <v>290.11860748515528</v>
      </c>
      <c r="D1463" s="83">
        <v>288.00475982349161</v>
      </c>
      <c r="E1463" s="83">
        <v>289.54125702249826</v>
      </c>
      <c r="F1463" s="83">
        <v>2594278.3056013095</v>
      </c>
      <c r="G1463" s="83" t="s">
        <v>768</v>
      </c>
      <c r="H1463" s="84">
        <f t="shared" si="41"/>
        <v>7.3971633486635824E-4</v>
      </c>
      <c r="J1463" s="83">
        <v>77.469505025140677</v>
      </c>
      <c r="K1463" s="83">
        <v>77.661861617240831</v>
      </c>
      <c r="L1463" s="83">
        <v>75.735313423493579</v>
      </c>
      <c r="M1463" s="83">
        <v>75.858088621981068</v>
      </c>
      <c r="N1463" s="83">
        <v>40782708.480900906</v>
      </c>
      <c r="O1463" s="83" t="s">
        <v>768</v>
      </c>
      <c r="P1463" s="84">
        <f t="shared" si="42"/>
        <v>2.1242512597301033E-2</v>
      </c>
    </row>
    <row r="1464" spans="2:16" ht="15" customHeight="1">
      <c r="B1464" s="83">
        <v>289.1501486445693</v>
      </c>
      <c r="C1464" s="83">
        <v>289.48538439707983</v>
      </c>
      <c r="D1464" s="83">
        <v>288.75904026664028</v>
      </c>
      <c r="E1464" s="83">
        <v>289.08496391491445</v>
      </c>
      <c r="F1464" s="83">
        <v>2344647.2940719794</v>
      </c>
      <c r="G1464" s="83" t="s">
        <v>767</v>
      </c>
      <c r="H1464" s="84">
        <f t="shared" si="41"/>
        <v>2.2548640639108442E-4</v>
      </c>
      <c r="J1464" s="83">
        <v>75.450506376275527</v>
      </c>
      <c r="K1464" s="83">
        <v>75.829752060441976</v>
      </c>
      <c r="L1464" s="83">
        <v>74.952963873194776</v>
      </c>
      <c r="M1464" s="83">
        <v>75.285984329802275</v>
      </c>
      <c r="N1464" s="83">
        <v>27735893.746871121</v>
      </c>
      <c r="O1464" s="83" t="s">
        <v>767</v>
      </c>
      <c r="P1464" s="84">
        <f t="shared" si="42"/>
        <v>2.1852944865878854E-3</v>
      </c>
    </row>
    <row r="1465" spans="2:16" ht="15" customHeight="1">
      <c r="B1465" s="83">
        <v>288.21893822092892</v>
      </c>
      <c r="C1465" s="83">
        <v>288.6938555369855</v>
      </c>
      <c r="D1465" s="83">
        <v>287.12942202526966</v>
      </c>
      <c r="E1465" s="83">
        <v>287.88370246841839</v>
      </c>
      <c r="F1465" s="83">
        <v>2253014.9434949476</v>
      </c>
      <c r="G1465" s="83" t="s">
        <v>766</v>
      </c>
      <c r="H1465" s="84">
        <f t="shared" si="41"/>
        <v>1.1644832605530731E-3</v>
      </c>
      <c r="J1465" s="83">
        <v>74.94103478221183</v>
      </c>
      <c r="K1465" s="83">
        <v>75.6453481956638</v>
      </c>
      <c r="L1465" s="83">
        <v>74.699967735264607</v>
      </c>
      <c r="M1465" s="83">
        <v>75.335191830106965</v>
      </c>
      <c r="N1465" s="83">
        <v>27265111.856782056</v>
      </c>
      <c r="O1465" s="83" t="s">
        <v>766</v>
      </c>
      <c r="P1465" s="84">
        <f t="shared" si="42"/>
        <v>-5.2320441259912087E-3</v>
      </c>
    </row>
    <row r="1466" spans="2:16" ht="15" customHeight="1">
      <c r="B1466" s="83">
        <v>288.21893822092892</v>
      </c>
      <c r="C1466" s="83">
        <v>289.40157545895215</v>
      </c>
      <c r="D1466" s="83">
        <v>287.33428831847056</v>
      </c>
      <c r="E1466" s="83">
        <v>288.02338403196444</v>
      </c>
      <c r="F1466" s="83">
        <v>4375159.3587975847</v>
      </c>
      <c r="G1466" s="83" t="s">
        <v>765</v>
      </c>
      <c r="H1466" s="84">
        <f t="shared" si="41"/>
        <v>6.7895247332683262E-4</v>
      </c>
      <c r="J1466" s="83">
        <v>75.473867512783812</v>
      </c>
      <c r="K1466" s="83">
        <v>76.408312973115301</v>
      </c>
      <c r="L1466" s="83">
        <v>74.954703532296463</v>
      </c>
      <c r="M1466" s="83">
        <v>75.070763646651457</v>
      </c>
      <c r="N1466" s="83">
        <v>29277161.227039624</v>
      </c>
      <c r="O1466" s="83" t="s">
        <v>765</v>
      </c>
      <c r="P1466" s="84">
        <f t="shared" si="42"/>
        <v>5.3696518664672066E-3</v>
      </c>
    </row>
    <row r="1467" spans="2:16" ht="15" customHeight="1">
      <c r="B1467" s="83">
        <v>288.71247974545832</v>
      </c>
      <c r="C1467" s="83">
        <v>289.4295117716614</v>
      </c>
      <c r="D1467" s="83">
        <v>286.99905256596003</v>
      </c>
      <c r="E1467" s="83">
        <v>287.04561308714204</v>
      </c>
      <c r="F1467" s="83">
        <v>3171851.3077348382</v>
      </c>
      <c r="G1467" s="83" t="s">
        <v>764</v>
      </c>
      <c r="H1467" s="84">
        <f t="shared" si="41"/>
        <v>5.8069748580698022E-3</v>
      </c>
      <c r="J1467" s="83">
        <v>74.885862736415646</v>
      </c>
      <c r="K1467" s="83">
        <v>75.172454176826577</v>
      </c>
      <c r="L1467" s="83">
        <v>73.823676593475028</v>
      </c>
      <c r="M1467" s="83">
        <v>73.840079093576591</v>
      </c>
      <c r="N1467" s="83">
        <v>28924014.452820253</v>
      </c>
      <c r="O1467" s="83" t="s">
        <v>764</v>
      </c>
      <c r="P1467" s="84">
        <f t="shared" si="42"/>
        <v>1.4162818562446944E-2</v>
      </c>
    </row>
    <row r="1468" spans="2:16" ht="15" customHeight="1">
      <c r="B1468" s="83">
        <v>284.81070807040521</v>
      </c>
      <c r="C1468" s="83">
        <v>288.78287925348548</v>
      </c>
      <c r="D1468" s="83">
        <v>284.08436393996573</v>
      </c>
      <c r="E1468" s="83">
        <v>288.22825032516533</v>
      </c>
      <c r="F1468" s="83">
        <v>3835040.8343143938</v>
      </c>
      <c r="G1468" s="83" t="s">
        <v>763</v>
      </c>
      <c r="H1468" s="84">
        <f t="shared" si="41"/>
        <v>-1.1857069010080101E-2</v>
      </c>
      <c r="J1468" s="83">
        <v>73.578628212412255</v>
      </c>
      <c r="K1468" s="83">
        <v>75.053864101092273</v>
      </c>
      <c r="L1468" s="83">
        <v>73.463318636698261</v>
      </c>
      <c r="M1468" s="83">
        <v>74.181047307051486</v>
      </c>
      <c r="N1468" s="83">
        <v>29260201.007665906</v>
      </c>
      <c r="O1468" s="83" t="s">
        <v>763</v>
      </c>
      <c r="P1468" s="84">
        <f t="shared" si="42"/>
        <v>-8.1209300287401476E-3</v>
      </c>
    </row>
    <row r="1469" spans="2:16" ht="15" customHeight="1">
      <c r="B1469" s="83">
        <v>287.12942202526966</v>
      </c>
      <c r="C1469" s="83">
        <v>287.27841569305218</v>
      </c>
      <c r="D1469" s="83">
        <v>284.87589280006006</v>
      </c>
      <c r="E1469" s="83">
        <v>286.7010652303951</v>
      </c>
      <c r="F1469" s="83">
        <v>2274624.4524621405</v>
      </c>
      <c r="G1469" s="83" t="s">
        <v>762</v>
      </c>
      <c r="H1469" s="84">
        <f t="shared" si="41"/>
        <v>1.494088605950239E-3</v>
      </c>
      <c r="J1469" s="83">
        <v>74.362970914996126</v>
      </c>
      <c r="K1469" s="83">
        <v>74.759364667450569</v>
      </c>
      <c r="L1469" s="83">
        <v>73.218772271547678</v>
      </c>
      <c r="M1469" s="83">
        <v>73.919611337250871</v>
      </c>
      <c r="N1469" s="83">
        <v>25943904.731903899</v>
      </c>
      <c r="O1469" s="83" t="s">
        <v>762</v>
      </c>
      <c r="P1469" s="84">
        <f t="shared" si="42"/>
        <v>5.9978613215709853E-3</v>
      </c>
    </row>
    <row r="1470" spans="2:16" ht="15" customHeight="1">
      <c r="B1470" s="83">
        <v>286.21683581010217</v>
      </c>
      <c r="C1470" s="83">
        <v>286.44032631177583</v>
      </c>
      <c r="D1470" s="83">
        <v>284.31865648255359</v>
      </c>
      <c r="E1470" s="83">
        <v>285.16456803138857</v>
      </c>
      <c r="F1470" s="83">
        <v>3564841.968824489</v>
      </c>
      <c r="G1470" s="83" t="s">
        <v>761</v>
      </c>
      <c r="H1470" s="84">
        <f t="shared" si="41"/>
        <v>3.6900369003689537E-3</v>
      </c>
      <c r="J1470" s="83">
        <v>74.282946596318808</v>
      </c>
      <c r="K1470" s="83">
        <v>75.394091716835305</v>
      </c>
      <c r="L1470" s="83">
        <v>73.64424318327309</v>
      </c>
      <c r="M1470" s="83">
        <v>74.556818643469143</v>
      </c>
      <c r="N1470" s="83">
        <v>31744098.568874706</v>
      </c>
      <c r="O1470" s="83" t="s">
        <v>761</v>
      </c>
      <c r="P1470" s="84">
        <f t="shared" si="42"/>
        <v>-3.6733333333331952E-3</v>
      </c>
    </row>
    <row r="1471" spans="2:16" ht="15" customHeight="1">
      <c r="B1471" s="83">
        <v>286.06784214231965</v>
      </c>
      <c r="C1471" s="83">
        <v>286.15165108044732</v>
      </c>
      <c r="D1471" s="83">
        <v>283.32077139258058</v>
      </c>
      <c r="E1471" s="83">
        <v>283.62807083238192</v>
      </c>
      <c r="F1471" s="83">
        <v>4390154.895408323</v>
      </c>
      <c r="G1471" s="83" t="s">
        <v>760</v>
      </c>
      <c r="H1471" s="84">
        <f t="shared" si="41"/>
        <v>8.6020093243153184E-3</v>
      </c>
      <c r="J1471" s="83">
        <v>74.561789098045367</v>
      </c>
      <c r="K1471" s="83">
        <v>74.67561250784108</v>
      </c>
      <c r="L1471" s="83">
        <v>72.86686408755051</v>
      </c>
      <c r="M1471" s="83">
        <v>73.152665225683805</v>
      </c>
      <c r="N1471" s="83">
        <v>40144577.712104112</v>
      </c>
      <c r="O1471" s="83" t="s">
        <v>760</v>
      </c>
      <c r="P1471" s="84">
        <f t="shared" si="42"/>
        <v>1.926278240190249E-2</v>
      </c>
    </row>
    <row r="1472" spans="2:16" ht="15" customHeight="1">
      <c r="B1472" s="83">
        <v>284.15886077385693</v>
      </c>
      <c r="C1472" s="83">
        <v>284.39166337976701</v>
      </c>
      <c r="D1472" s="83">
        <v>283.37664401799901</v>
      </c>
      <c r="E1472" s="83">
        <v>283.65600714509117</v>
      </c>
      <c r="F1472" s="83">
        <v>2814341.3491386557</v>
      </c>
      <c r="G1472" s="83" t="s">
        <v>759</v>
      </c>
      <c r="H1472" s="84">
        <f t="shared" si="41"/>
        <v>1.7727586093692072E-3</v>
      </c>
      <c r="J1472" s="83">
        <v>73.245115680801703</v>
      </c>
      <c r="K1472" s="83">
        <v>73.682515683510076</v>
      </c>
      <c r="L1472" s="83">
        <v>72.740614541314244</v>
      </c>
      <c r="M1472" s="83">
        <v>73.030889088566141</v>
      </c>
      <c r="N1472" s="83">
        <v>39834525.587823659</v>
      </c>
      <c r="O1472" s="83" t="s">
        <v>759</v>
      </c>
      <c r="P1472" s="84">
        <f t="shared" si="42"/>
        <v>2.9333696317974667E-3</v>
      </c>
    </row>
    <row r="1473" spans="2:16" ht="15" customHeight="1">
      <c r="B1473" s="83">
        <v>282.39887307317662</v>
      </c>
      <c r="C1473" s="83">
        <v>282.39887307317662</v>
      </c>
      <c r="D1473" s="83">
        <v>280.49920380895031</v>
      </c>
      <c r="E1473" s="83">
        <v>280.49920380895031</v>
      </c>
      <c r="F1473" s="83">
        <v>2286502.5411510104</v>
      </c>
      <c r="G1473" s="83" t="s">
        <v>758</v>
      </c>
      <c r="H1473" s="84">
        <f t="shared" si="41"/>
        <v>6.7724586680830701E-3</v>
      </c>
      <c r="J1473" s="83">
        <v>72.815668405415337</v>
      </c>
      <c r="K1473" s="83">
        <v>73.839089973115918</v>
      </c>
      <c r="L1473" s="83">
        <v>72.50153567619752</v>
      </c>
      <c r="M1473" s="83">
        <v>73.392236165803581</v>
      </c>
      <c r="N1473" s="83">
        <v>38296074.751442015</v>
      </c>
      <c r="O1473" s="83" t="s">
        <v>758</v>
      </c>
      <c r="P1473" s="84">
        <f t="shared" si="42"/>
        <v>-7.8559775598837644E-3</v>
      </c>
    </row>
    <row r="1474" spans="2:16" ht="15" customHeight="1">
      <c r="B1474" s="83">
        <v>281.21623583515338</v>
      </c>
      <c r="C1474" s="83">
        <v>281.99118914970688</v>
      </c>
      <c r="D1474" s="83">
        <v>280.41539487082269</v>
      </c>
      <c r="E1474" s="83">
        <v>280.89962429111563</v>
      </c>
      <c r="F1474" s="83">
        <v>4047442.8811329631</v>
      </c>
      <c r="G1474" s="83" t="s">
        <v>757</v>
      </c>
      <c r="H1474" s="84">
        <f t="shared" si="41"/>
        <v>1.127134095806559E-3</v>
      </c>
      <c r="J1474" s="83">
        <v>73.286867499242064</v>
      </c>
      <c r="K1474" s="83">
        <v>74.083134322354312</v>
      </c>
      <c r="L1474" s="83">
        <v>72.848970451076084</v>
      </c>
      <c r="M1474" s="83">
        <v>73.892765912084656</v>
      </c>
      <c r="N1474" s="83">
        <v>46907460.157654487</v>
      </c>
      <c r="O1474" s="83" t="s">
        <v>757</v>
      </c>
      <c r="P1474" s="84">
        <f t="shared" si="42"/>
        <v>-8.1996986493031443E-3</v>
      </c>
    </row>
    <row r="1475" spans="2:16" ht="15" customHeight="1">
      <c r="B1475" s="83">
        <v>279.45624813447313</v>
      </c>
      <c r="C1475" s="83">
        <v>279.45624813447313</v>
      </c>
      <c r="D1475" s="83">
        <v>274.93056547558092</v>
      </c>
      <c r="E1475" s="83">
        <v>278.85096135910686</v>
      </c>
      <c r="F1475" s="83">
        <v>4790155.7873053988</v>
      </c>
      <c r="G1475" s="83" t="s">
        <v>756</v>
      </c>
      <c r="H1475" s="84">
        <f t="shared" si="41"/>
        <v>2.1706461846719982E-3</v>
      </c>
      <c r="J1475" s="83">
        <v>73.709853183679343</v>
      </c>
      <c r="K1475" s="83">
        <v>75.001674328041844</v>
      </c>
      <c r="L1475" s="83">
        <v>72.271900674775623</v>
      </c>
      <c r="M1475" s="83">
        <v>74.805838417738329</v>
      </c>
      <c r="N1475" s="83">
        <v>68988378.173651502</v>
      </c>
      <c r="O1475" s="83" t="s">
        <v>756</v>
      </c>
      <c r="P1475" s="84">
        <f t="shared" si="42"/>
        <v>-1.465106544142547E-2</v>
      </c>
    </row>
    <row r="1476" spans="2:16" ht="15" customHeight="1">
      <c r="B1476" s="83">
        <v>277.13753417960862</v>
      </c>
      <c r="C1476" s="83">
        <v>277.55657887024677</v>
      </c>
      <c r="D1476" s="83">
        <v>273.46856511046559</v>
      </c>
      <c r="E1476" s="83">
        <v>275.39617068740114</v>
      </c>
      <c r="F1476" s="83">
        <v>3169788.4012732781</v>
      </c>
      <c r="G1476" s="83" t="s">
        <v>755</v>
      </c>
      <c r="H1476" s="84">
        <f t="shared" si="41"/>
        <v>6.3231216609183072E-3</v>
      </c>
      <c r="J1476" s="83">
        <v>76.120026607693887</v>
      </c>
      <c r="K1476" s="83">
        <v>76.439129791487929</v>
      </c>
      <c r="L1476" s="83">
        <v>74.170117277438351</v>
      </c>
      <c r="M1476" s="83">
        <v>74.407705006182212</v>
      </c>
      <c r="N1476" s="83">
        <v>33626622.562705211</v>
      </c>
      <c r="O1476" s="83" t="s">
        <v>755</v>
      </c>
      <c r="P1476" s="84">
        <f t="shared" si="42"/>
        <v>2.301269205076828E-2</v>
      </c>
    </row>
    <row r="1477" spans="2:16" ht="15" customHeight="1">
      <c r="B1477" s="83">
        <v>278.15255354137656</v>
      </c>
      <c r="C1477" s="83">
        <v>278.67403137861521</v>
      </c>
      <c r="D1477" s="83">
        <v>275.54516435518354</v>
      </c>
      <c r="E1477" s="83">
        <v>275.63828539754763</v>
      </c>
      <c r="F1477" s="83">
        <v>2545984.1726552974</v>
      </c>
      <c r="G1477" s="83" t="s">
        <v>754</v>
      </c>
      <c r="H1477" s="84">
        <f t="shared" si="41"/>
        <v>9.1216216216214452E-3</v>
      </c>
      <c r="J1477" s="83">
        <v>75.651312741155266</v>
      </c>
      <c r="K1477" s="83">
        <v>76.110195048542096</v>
      </c>
      <c r="L1477" s="83">
        <v>74.622925689333016</v>
      </c>
      <c r="M1477" s="83">
        <v>74.870946402232391</v>
      </c>
      <c r="N1477" s="83">
        <v>22262229.400333881</v>
      </c>
      <c r="O1477" s="83" t="s">
        <v>754</v>
      </c>
      <c r="P1477" s="84">
        <f t="shared" si="42"/>
        <v>1.0422819216555412E-2</v>
      </c>
    </row>
    <row r="1478" spans="2:16" ht="15" customHeight="1">
      <c r="B1478" s="83">
        <v>274.82813232898047</v>
      </c>
      <c r="C1478" s="83">
        <v>276.8767952609893</v>
      </c>
      <c r="D1478" s="83">
        <v>274.51152078494277</v>
      </c>
      <c r="E1478" s="83">
        <v>275.80590327380287</v>
      </c>
      <c r="F1478" s="83">
        <v>3367188.468254264</v>
      </c>
      <c r="G1478" s="83" t="s">
        <v>753</v>
      </c>
      <c r="H1478" s="84">
        <f t="shared" si="41"/>
        <v>-3.5451414680262028E-3</v>
      </c>
      <c r="J1478" s="83">
        <v>74.573718189028327</v>
      </c>
      <c r="K1478" s="83">
        <v>75.872995015255185</v>
      </c>
      <c r="L1478" s="83">
        <v>74.440510006385338</v>
      </c>
      <c r="M1478" s="83">
        <v>75.808384076218758</v>
      </c>
      <c r="N1478" s="83">
        <v>34245841.580361672</v>
      </c>
      <c r="O1478" s="83" t="s">
        <v>753</v>
      </c>
      <c r="P1478" s="84">
        <f t="shared" si="42"/>
        <v>-1.6286666735292554E-2</v>
      </c>
    </row>
    <row r="1479" spans="2:16" ht="15" customHeight="1">
      <c r="B1479" s="83">
        <v>276.54155950847877</v>
      </c>
      <c r="C1479" s="83">
        <v>276.68124107202482</v>
      </c>
      <c r="D1479" s="83">
        <v>274.46496026376076</v>
      </c>
      <c r="E1479" s="83">
        <v>275.15405597725464</v>
      </c>
      <c r="F1479" s="83">
        <v>2419787.1316679372</v>
      </c>
      <c r="G1479" s="83" t="s">
        <v>752</v>
      </c>
      <c r="H1479" s="84">
        <f t="shared" si="41"/>
        <v>5.0426424800324998E-3</v>
      </c>
      <c r="J1479" s="83">
        <v>76.057895925490996</v>
      </c>
      <c r="K1479" s="83">
        <v>76.593213883351098</v>
      </c>
      <c r="L1479" s="83">
        <v>75.312824784513921</v>
      </c>
      <c r="M1479" s="83">
        <v>75.332209557361224</v>
      </c>
      <c r="N1479" s="83">
        <v>25067727.325349253</v>
      </c>
      <c r="O1479" s="83" t="s">
        <v>752</v>
      </c>
      <c r="P1479" s="84">
        <f t="shared" si="42"/>
        <v>9.6331485880181145E-3</v>
      </c>
    </row>
    <row r="1480" spans="2:16" ht="15" customHeight="1">
      <c r="B1480" s="83">
        <v>274.53945709765196</v>
      </c>
      <c r="C1480" s="83">
        <v>275.46135541705593</v>
      </c>
      <c r="D1480" s="83">
        <v>273.12401725371865</v>
      </c>
      <c r="E1480" s="83">
        <v>274.57670551459762</v>
      </c>
      <c r="F1480" s="83">
        <v>3061575.4802816235</v>
      </c>
      <c r="G1480" s="83" t="s">
        <v>751</v>
      </c>
      <c r="H1480" s="84">
        <f t="shared" si="41"/>
        <v>-1.35657600217165E-4</v>
      </c>
      <c r="J1480" s="83">
        <v>75.146811601667793</v>
      </c>
      <c r="K1480" s="83">
        <v>75.433417953442444</v>
      </c>
      <c r="L1480" s="83">
        <v>73.980245912626316</v>
      </c>
      <c r="M1480" s="83">
        <v>74.503639749958054</v>
      </c>
      <c r="N1480" s="83">
        <v>31071685.221415017</v>
      </c>
      <c r="O1480" s="83" t="s">
        <v>751</v>
      </c>
      <c r="P1480" s="84">
        <f t="shared" si="42"/>
        <v>8.6327574581361866E-3</v>
      </c>
    </row>
    <row r="1481" spans="2:16" ht="15" customHeight="1">
      <c r="B1481" s="83">
        <v>276.32738111104146</v>
      </c>
      <c r="C1481" s="83">
        <v>279.94047755476612</v>
      </c>
      <c r="D1481" s="83">
        <v>275.06093493489055</v>
      </c>
      <c r="E1481" s="83">
        <v>279.29794236245425</v>
      </c>
      <c r="F1481" s="83">
        <v>3744704.6462043603</v>
      </c>
      <c r="G1481" s="83" t="s">
        <v>750</v>
      </c>
      <c r="H1481" s="84">
        <f t="shared" si="41"/>
        <v>-1.0635815023505635E-2</v>
      </c>
      <c r="J1481" s="83">
        <v>75.336190891476789</v>
      </c>
      <c r="K1481" s="83">
        <v>78.129084347406561</v>
      </c>
      <c r="L1481" s="83">
        <v>74.924224704835012</v>
      </c>
      <c r="M1481" s="83">
        <v>77.885532073171234</v>
      </c>
      <c r="N1481" s="83">
        <v>32746179.952701893</v>
      </c>
      <c r="O1481" s="83" t="s">
        <v>750</v>
      </c>
      <c r="P1481" s="84">
        <f t="shared" si="42"/>
        <v>-3.2731896590234677E-2</v>
      </c>
    </row>
    <row r="1482" spans="2:16" ht="15" customHeight="1">
      <c r="B1482" s="83">
        <v>279.67042653191038</v>
      </c>
      <c r="C1482" s="83">
        <v>279.88460492934769</v>
      </c>
      <c r="D1482" s="83">
        <v>277.60313939142878</v>
      </c>
      <c r="E1482" s="83">
        <v>277.70557253802923</v>
      </c>
      <c r="F1482" s="83">
        <v>4425572.2395044807</v>
      </c>
      <c r="G1482" s="83" t="s">
        <v>749</v>
      </c>
      <c r="H1482" s="84">
        <f t="shared" si="41"/>
        <v>7.0753135269263634E-3</v>
      </c>
      <c r="J1482" s="83">
        <v>77.961082982729948</v>
      </c>
      <c r="K1482" s="83">
        <v>78.036136846831042</v>
      </c>
      <c r="L1482" s="83">
        <v>76.848198203111764</v>
      </c>
      <c r="M1482" s="83">
        <v>77.563943662089073</v>
      </c>
      <c r="N1482" s="83">
        <v>18750498.283532336</v>
      </c>
      <c r="O1482" s="83" t="s">
        <v>749</v>
      </c>
      <c r="P1482" s="84">
        <f t="shared" si="42"/>
        <v>5.1201537968599276E-3</v>
      </c>
    </row>
    <row r="1483" spans="2:16" ht="15" customHeight="1">
      <c r="B1483" s="83">
        <v>278.08736881172177</v>
      </c>
      <c r="C1483" s="83">
        <v>279.68905074038321</v>
      </c>
      <c r="D1483" s="83">
        <v>277.18409470079064</v>
      </c>
      <c r="E1483" s="83">
        <v>279.23275763279941</v>
      </c>
      <c r="F1483" s="83">
        <v>3555454.1873112353</v>
      </c>
      <c r="G1483" s="83" t="s">
        <v>748</v>
      </c>
      <c r="H1483" s="84">
        <f t="shared" si="41"/>
        <v>-4.1019142266390807E-3</v>
      </c>
      <c r="J1483" s="83">
        <v>77.460558206903457</v>
      </c>
      <c r="K1483" s="83">
        <v>78.880617079332737</v>
      </c>
      <c r="L1483" s="83">
        <v>77.25478138744748</v>
      </c>
      <c r="M1483" s="83">
        <v>78.880617079332737</v>
      </c>
      <c r="N1483" s="83">
        <v>24517777.625965293</v>
      </c>
      <c r="O1483" s="83" t="s">
        <v>748</v>
      </c>
      <c r="P1483" s="84">
        <f t="shared" si="42"/>
        <v>-1.8002633917037936E-2</v>
      </c>
    </row>
    <row r="1484" spans="2:16" ht="15" customHeight="1">
      <c r="B1484" s="83">
        <v>277.51001834906475</v>
      </c>
      <c r="C1484" s="83">
        <v>278.13392933290379</v>
      </c>
      <c r="D1484" s="83">
        <v>274.33459080445112</v>
      </c>
      <c r="E1484" s="83">
        <v>275.01437441370854</v>
      </c>
      <c r="F1484" s="83">
        <v>2727515.6457880395</v>
      </c>
      <c r="G1484" s="83" t="s">
        <v>747</v>
      </c>
      <c r="H1484" s="84">
        <f t="shared" si="41"/>
        <v>9.0745945213830392E-3</v>
      </c>
      <c r="J1484" s="83">
        <v>77.823401390968343</v>
      </c>
      <c r="K1484" s="83">
        <v>78.050551165102107</v>
      </c>
      <c r="L1484" s="83">
        <v>74.735755008213474</v>
      </c>
      <c r="M1484" s="83">
        <v>75.31531001180204</v>
      </c>
      <c r="N1484" s="83">
        <v>31330172.645511784</v>
      </c>
      <c r="O1484" s="83" t="s">
        <v>747</v>
      </c>
      <c r="P1484" s="84">
        <f t="shared" si="42"/>
        <v>3.3301215632960623E-2</v>
      </c>
    </row>
    <row r="1485" spans="2:16" ht="15" customHeight="1">
      <c r="B1485" s="83">
        <v>275.21924070690943</v>
      </c>
      <c r="C1485" s="83">
        <v>275.96420904582175</v>
      </c>
      <c r="D1485" s="83">
        <v>273.53840589223859</v>
      </c>
      <c r="E1485" s="83">
        <v>275.37754647892831</v>
      </c>
      <c r="F1485" s="83">
        <v>2411864.110390794</v>
      </c>
      <c r="G1485" s="83" t="s">
        <v>746</v>
      </c>
      <c r="H1485" s="84">
        <f t="shared" si="41"/>
        <v>-5.7486811849050135E-4</v>
      </c>
      <c r="J1485" s="83">
        <v>75.329724330073105</v>
      </c>
      <c r="K1485" s="83">
        <v>75.721888225683188</v>
      </c>
      <c r="L1485" s="83">
        <v>74.478285461164702</v>
      </c>
      <c r="M1485" s="83">
        <v>75.631430922850342</v>
      </c>
      <c r="N1485" s="83">
        <v>29313415.456353322</v>
      </c>
      <c r="O1485" s="83" t="s">
        <v>746</v>
      </c>
      <c r="P1485" s="84">
        <f t="shared" si="42"/>
        <v>-3.9891694378360043E-3</v>
      </c>
    </row>
    <row r="1486" spans="2:16" ht="15" customHeight="1">
      <c r="B1486" s="83">
        <v>274.49289657646995</v>
      </c>
      <c r="C1486" s="83">
        <v>274.8095081205077</v>
      </c>
      <c r="D1486" s="83">
        <v>272.98433569017254</v>
      </c>
      <c r="E1486" s="83">
        <v>273.58962246553881</v>
      </c>
      <c r="F1486" s="83">
        <v>3310604.0501009403</v>
      </c>
      <c r="G1486" s="83" t="s">
        <v>745</v>
      </c>
      <c r="H1486" s="84">
        <f t="shared" si="41"/>
        <v>3.3015656909460844E-3</v>
      </c>
      <c r="J1486" s="83">
        <v>75.451500467190783</v>
      </c>
      <c r="K1486" s="83">
        <v>75.485791633312203</v>
      </c>
      <c r="L1486" s="83">
        <v>73.876368382437661</v>
      </c>
      <c r="M1486" s="83">
        <v>74.556818643469143</v>
      </c>
      <c r="N1486" s="83">
        <v>30567526.10245169</v>
      </c>
      <c r="O1486" s="83" t="s">
        <v>745</v>
      </c>
      <c r="P1486" s="84">
        <f t="shared" si="42"/>
        <v>1.2000000000000233E-2</v>
      </c>
    </row>
    <row r="1487" spans="2:16" ht="15" customHeight="1">
      <c r="B1487" s="83">
        <v>275.29373754080069</v>
      </c>
      <c r="C1487" s="83">
        <v>276.33781066778624</v>
      </c>
      <c r="D1487" s="83">
        <v>273.17057777490066</v>
      </c>
      <c r="E1487" s="83">
        <v>275.81521537803928</v>
      </c>
      <c r="F1487" s="83">
        <v>7089083.0175559679</v>
      </c>
      <c r="G1487" s="83" t="s">
        <v>744</v>
      </c>
      <c r="H1487" s="84">
        <f t="shared" si="41"/>
        <v>-1.8906782808332245E-3</v>
      </c>
      <c r="J1487" s="83">
        <v>75.234788647667102</v>
      </c>
      <c r="K1487" s="83">
        <v>76.312880245251648</v>
      </c>
      <c r="L1487" s="83">
        <v>74.457409551944522</v>
      </c>
      <c r="M1487" s="83">
        <v>75.706484786951449</v>
      </c>
      <c r="N1487" s="83">
        <v>32405164.865650196</v>
      </c>
      <c r="O1487" s="83" t="s">
        <v>744</v>
      </c>
      <c r="P1487" s="84">
        <f t="shared" si="42"/>
        <v>-6.2305909541535698E-3</v>
      </c>
    </row>
    <row r="1488" spans="2:16" ht="15" customHeight="1">
      <c r="B1488" s="83">
        <v>272.87259043933568</v>
      </c>
      <c r="C1488" s="83">
        <v>273.14264146219142</v>
      </c>
      <c r="D1488" s="83">
        <v>266.91284372803739</v>
      </c>
      <c r="E1488" s="83">
        <v>267.99304781946023</v>
      </c>
      <c r="F1488" s="83">
        <v>4352508.1948237736</v>
      </c>
      <c r="G1488" s="83" t="s">
        <v>743</v>
      </c>
      <c r="H1488" s="84">
        <f t="shared" si="41"/>
        <v>1.820772090760614E-2</v>
      </c>
      <c r="J1488" s="83">
        <v>75.579738195257534</v>
      </c>
      <c r="K1488" s="83">
        <v>75.697537968714229</v>
      </c>
      <c r="L1488" s="83">
        <v>73.736693638390989</v>
      </c>
      <c r="M1488" s="83">
        <v>74.075186565486902</v>
      </c>
      <c r="N1488" s="83">
        <v>31888753.346214037</v>
      </c>
      <c r="O1488" s="83" t="s">
        <v>743</v>
      </c>
      <c r="P1488" s="84">
        <f t="shared" si="42"/>
        <v>2.0311141956294909E-2</v>
      </c>
    </row>
    <row r="1489" spans="2:16" ht="15" customHeight="1">
      <c r="B1489" s="83">
        <v>269.26880609984755</v>
      </c>
      <c r="C1489" s="83">
        <v>276.05733008818578</v>
      </c>
      <c r="D1489" s="83">
        <v>268.75664036684532</v>
      </c>
      <c r="E1489" s="83">
        <v>273.86898559263096</v>
      </c>
      <c r="F1489" s="83">
        <v>3928122.9109315644</v>
      </c>
      <c r="G1489" s="83" t="s">
        <v>742</v>
      </c>
      <c r="H1489" s="84">
        <f t="shared" si="41"/>
        <v>-1.6797007820469334E-2</v>
      </c>
      <c r="J1489" s="83">
        <v>75.120468192413767</v>
      </c>
      <c r="K1489" s="83">
        <v>78.390609785389543</v>
      </c>
      <c r="L1489" s="83">
        <v>74.817404665537225</v>
      </c>
      <c r="M1489" s="83">
        <v>77.042045931584781</v>
      </c>
      <c r="N1489" s="83">
        <v>37147990.625034645</v>
      </c>
      <c r="O1489" s="83" t="s">
        <v>742</v>
      </c>
      <c r="P1489" s="84">
        <f t="shared" si="42"/>
        <v>-2.4941935483871025E-2</v>
      </c>
    </row>
    <row r="1490" spans="2:16" ht="15" customHeight="1">
      <c r="B1490" s="83">
        <v>271.72720161825811</v>
      </c>
      <c r="C1490" s="83">
        <v>271.92275580722253</v>
      </c>
      <c r="D1490" s="83">
        <v>267.57400312882203</v>
      </c>
      <c r="E1490" s="83">
        <v>268.85907351344576</v>
      </c>
      <c r="F1490" s="83">
        <v>2912773.4517795085</v>
      </c>
      <c r="G1490" s="83" t="s">
        <v>741</v>
      </c>
      <c r="H1490" s="84">
        <f t="shared" si="41"/>
        <v>1.0667775006927283E-2</v>
      </c>
      <c r="J1490" s="83">
        <v>76.631486383588083</v>
      </c>
      <c r="K1490" s="83">
        <v>76.735368884231306</v>
      </c>
      <c r="L1490" s="83">
        <v>74.384840915131548</v>
      </c>
      <c r="M1490" s="83">
        <v>74.862501599907375</v>
      </c>
      <c r="N1490" s="83">
        <v>37354812.754526764</v>
      </c>
      <c r="O1490" s="83" t="s">
        <v>741</v>
      </c>
      <c r="P1490" s="84">
        <f t="shared" si="42"/>
        <v>2.3629784550011523E-2</v>
      </c>
    </row>
    <row r="1491" spans="2:16" ht="15" customHeight="1">
      <c r="B1491" s="83">
        <v>269.026691389701</v>
      </c>
      <c r="C1491" s="83">
        <v>271.26159640643789</v>
      </c>
      <c r="D1491" s="83">
        <v>265.77676701119617</v>
      </c>
      <c r="E1491" s="83">
        <v>271.00085748781856</v>
      </c>
      <c r="F1491" s="83">
        <v>3398379.0555400625</v>
      </c>
      <c r="G1491" s="83" t="s">
        <v>740</v>
      </c>
      <c r="H1491" s="84">
        <f t="shared" si="41"/>
        <v>-7.2847226994707803E-3</v>
      </c>
      <c r="J1491" s="83">
        <v>75.103071601396962</v>
      </c>
      <c r="K1491" s="83">
        <v>75.68610592318889</v>
      </c>
      <c r="L1491" s="83">
        <v>73.964588980711198</v>
      </c>
      <c r="M1491" s="83">
        <v>74.877412963636061</v>
      </c>
      <c r="N1491" s="83">
        <v>28635650.485698603</v>
      </c>
      <c r="O1491" s="83" t="s">
        <v>740</v>
      </c>
      <c r="P1491" s="84">
        <f t="shared" si="42"/>
        <v>3.0137077234557719E-3</v>
      </c>
    </row>
    <row r="1492" spans="2:16" ht="15" customHeight="1">
      <c r="B1492" s="83">
        <v>270.40488281668877</v>
      </c>
      <c r="C1492" s="83">
        <v>270.56318858870765</v>
      </c>
      <c r="D1492" s="83">
        <v>267.52744260764007</v>
      </c>
      <c r="E1492" s="83">
        <v>269.11981243206509</v>
      </c>
      <c r="F1492" s="83">
        <v>2614047.1994330967</v>
      </c>
      <c r="G1492" s="83" t="s">
        <v>739</v>
      </c>
      <c r="H1492" s="84">
        <f t="shared" si="41"/>
        <v>4.775086505190318E-3</v>
      </c>
      <c r="J1492" s="83">
        <v>74.358000460419902</v>
      </c>
      <c r="K1492" s="83">
        <v>74.849076402096969</v>
      </c>
      <c r="L1492" s="83">
        <v>73.842564320864724</v>
      </c>
      <c r="M1492" s="83">
        <v>74.274491853084626</v>
      </c>
      <c r="N1492" s="83">
        <v>25141724.581406839</v>
      </c>
      <c r="O1492" s="83" t="s">
        <v>739</v>
      </c>
      <c r="P1492" s="84">
        <f t="shared" si="42"/>
        <v>1.1243241825262817E-3</v>
      </c>
    </row>
    <row r="1493" spans="2:16" ht="15" customHeight="1">
      <c r="B1493" s="83">
        <v>268.41209251009838</v>
      </c>
      <c r="C1493" s="83">
        <v>271.61545636742125</v>
      </c>
      <c r="D1493" s="83">
        <v>268.08765879850205</v>
      </c>
      <c r="E1493" s="83">
        <v>269.74372341590413</v>
      </c>
      <c r="F1493" s="83">
        <v>3672915.2865678342</v>
      </c>
      <c r="G1493" s="83" t="s">
        <v>738</v>
      </c>
      <c r="H1493" s="84">
        <f t="shared" si="41"/>
        <v>-4.9366520523355106E-3</v>
      </c>
      <c r="J1493" s="83">
        <v>73.82020224572625</v>
      </c>
      <c r="K1493" s="83">
        <v>75.391855012275997</v>
      </c>
      <c r="L1493" s="83">
        <v>73.739178865679094</v>
      </c>
      <c r="M1493" s="83">
        <v>74.059773185846012</v>
      </c>
      <c r="N1493" s="83">
        <v>29336793.59978424</v>
      </c>
      <c r="O1493" s="83" t="s">
        <v>738</v>
      </c>
      <c r="P1493" s="84">
        <f t="shared" si="42"/>
        <v>-3.2348322147649489E-3</v>
      </c>
    </row>
    <row r="1494" spans="2:16" ht="15" customHeight="1">
      <c r="B1494" s="83">
        <v>271.22434798949229</v>
      </c>
      <c r="C1494" s="83">
        <v>271.52233532505721</v>
      </c>
      <c r="D1494" s="83">
        <v>269.95790181334138</v>
      </c>
      <c r="E1494" s="83">
        <v>270.67493383954451</v>
      </c>
      <c r="F1494" s="83">
        <v>3837811.4218577701</v>
      </c>
      <c r="G1494" s="83" t="s">
        <v>737</v>
      </c>
      <c r="H1494" s="84">
        <f t="shared" si="41"/>
        <v>2.0297932363160243E-3</v>
      </c>
      <c r="J1494" s="83">
        <v>74.343089096691202</v>
      </c>
      <c r="K1494" s="83">
        <v>74.884371600042783</v>
      </c>
      <c r="L1494" s="83">
        <v>73.207837271479974</v>
      </c>
      <c r="M1494" s="83">
        <v>73.565714971423205</v>
      </c>
      <c r="N1494" s="83">
        <v>31465874.519385748</v>
      </c>
      <c r="O1494" s="83" t="s">
        <v>737</v>
      </c>
      <c r="P1494" s="84">
        <f t="shared" si="42"/>
        <v>1.0567070891242869E-2</v>
      </c>
    </row>
    <row r="1495" spans="2:16" ht="15" customHeight="1">
      <c r="B1495" s="83">
        <v>267.08046160429268</v>
      </c>
      <c r="C1495" s="83">
        <v>270.09758337688748</v>
      </c>
      <c r="D1495" s="83">
        <v>266.49379903739924</v>
      </c>
      <c r="E1495" s="83">
        <v>268.89632193039137</v>
      </c>
      <c r="F1495" s="83">
        <v>3931508.8266386436</v>
      </c>
      <c r="G1495" s="83" t="s">
        <v>736</v>
      </c>
      <c r="H1495" s="84">
        <f t="shared" si="41"/>
        <v>-6.753012882670606E-3</v>
      </c>
      <c r="J1495" s="83">
        <v>72.802248178059514</v>
      </c>
      <c r="K1495" s="83">
        <v>73.709356138221722</v>
      </c>
      <c r="L1495" s="83">
        <v>71.89364908152443</v>
      </c>
      <c r="M1495" s="83">
        <v>71.919490474866265</v>
      </c>
      <c r="N1495" s="83">
        <v>37410662.777043313</v>
      </c>
      <c r="O1495" s="83" t="s">
        <v>736</v>
      </c>
      <c r="P1495" s="84">
        <f t="shared" si="42"/>
        <v>1.2274248571070512E-2</v>
      </c>
    </row>
    <row r="1496" spans="2:16" ht="15" customHeight="1">
      <c r="B1496" s="83">
        <v>265.73951859425057</v>
      </c>
      <c r="C1496" s="83">
        <v>266.80109847720053</v>
      </c>
      <c r="D1496" s="83">
        <v>264.41719979268123</v>
      </c>
      <c r="E1496" s="83">
        <v>264.80830817061019</v>
      </c>
      <c r="F1496" s="83">
        <v>3986803.5255518141</v>
      </c>
      <c r="G1496" s="83" t="s">
        <v>735</v>
      </c>
      <c r="H1496" s="84">
        <f t="shared" si="41"/>
        <v>3.5165453458523288E-3</v>
      </c>
      <c r="J1496" s="83">
        <v>71.477124988036252</v>
      </c>
      <c r="K1496" s="83">
        <v>71.723659535017319</v>
      </c>
      <c r="L1496" s="83">
        <v>70.074457736169208</v>
      </c>
      <c r="M1496" s="83">
        <v>70.138084525199531</v>
      </c>
      <c r="N1496" s="83">
        <v>35714379.294176675</v>
      </c>
      <c r="O1496" s="83" t="s">
        <v>735</v>
      </c>
      <c r="P1496" s="84">
        <f t="shared" si="42"/>
        <v>1.9091488909361631E-2</v>
      </c>
    </row>
    <row r="1497" spans="2:16" ht="15" customHeight="1">
      <c r="B1497" s="83">
        <v>263.93297037238824</v>
      </c>
      <c r="C1497" s="83">
        <v>265.34841021632161</v>
      </c>
      <c r="D1497" s="83">
        <v>259.94738975920745</v>
      </c>
      <c r="E1497" s="83">
        <v>260.07775921851714</v>
      </c>
      <c r="F1497" s="83">
        <v>5600982.1921992544</v>
      </c>
      <c r="G1497" s="83" t="s">
        <v>734</v>
      </c>
      <c r="H1497" s="84">
        <f t="shared" si="41"/>
        <v>1.4823301944215661E-2</v>
      </c>
      <c r="J1497" s="83">
        <v>70.262842935062935</v>
      </c>
      <c r="K1497" s="83">
        <v>70.513353845705012</v>
      </c>
      <c r="L1497" s="83">
        <v>68.789103153210377</v>
      </c>
      <c r="M1497" s="83">
        <v>69.111183639295589</v>
      </c>
      <c r="N1497" s="83">
        <v>41090426.814615108</v>
      </c>
      <c r="O1497" s="83" t="s">
        <v>734</v>
      </c>
      <c r="P1497" s="84">
        <f t="shared" si="42"/>
        <v>1.6663862997602141E-2</v>
      </c>
    </row>
    <row r="1498" spans="2:16" ht="15" customHeight="1">
      <c r="B1498" s="83">
        <v>260.45955549220969</v>
      </c>
      <c r="C1498" s="83">
        <v>260.47817970068252</v>
      </c>
      <c r="D1498" s="83">
        <v>255.8221275824807</v>
      </c>
      <c r="E1498" s="83">
        <v>257.84285420178026</v>
      </c>
      <c r="F1498" s="83">
        <v>3720531.806823974</v>
      </c>
      <c r="G1498" s="83" t="s">
        <v>733</v>
      </c>
      <c r="H1498" s="84">
        <f t="shared" si="41"/>
        <v>1.014843439633073E-2</v>
      </c>
      <c r="J1498" s="83">
        <v>69.336350202053438</v>
      </c>
      <c r="K1498" s="83">
        <v>69.367664065883687</v>
      </c>
      <c r="L1498" s="83">
        <v>66.952520187292919</v>
      </c>
      <c r="M1498" s="83">
        <v>67.507724933912527</v>
      </c>
      <c r="N1498" s="83">
        <v>36418801.786385581</v>
      </c>
      <c r="O1498" s="83" t="s">
        <v>733</v>
      </c>
      <c r="P1498" s="84">
        <f t="shared" si="42"/>
        <v>2.7087644709269387E-2</v>
      </c>
    </row>
    <row r="1499" spans="2:16" ht="15" customHeight="1">
      <c r="B1499" s="83">
        <v>256.71301659477746</v>
      </c>
      <c r="C1499" s="83">
        <v>262.09536521595919</v>
      </c>
      <c r="D1499" s="83">
        <v>256.16644418746296</v>
      </c>
      <c r="E1499" s="83">
        <v>261.91008643381866</v>
      </c>
      <c r="F1499" s="83">
        <v>4834900.0875916258</v>
      </c>
      <c r="G1499" s="83" t="s">
        <v>732</v>
      </c>
      <c r="H1499" s="84">
        <f t="shared" si="41"/>
        <v>-1.9842954159592585E-2</v>
      </c>
      <c r="J1499" s="83">
        <v>67.593211782169135</v>
      </c>
      <c r="K1499" s="83">
        <v>71.248981122987232</v>
      </c>
      <c r="L1499" s="83">
        <v>67.200048825189228</v>
      </c>
      <c r="M1499" s="83">
        <v>71.146589758716871</v>
      </c>
      <c r="N1499" s="83">
        <v>85861321.827748716</v>
      </c>
      <c r="O1499" s="83" t="s">
        <v>732</v>
      </c>
      <c r="P1499" s="84">
        <f t="shared" si="42"/>
        <v>-4.9944459581246159E-2</v>
      </c>
    </row>
    <row r="1500" spans="2:16" ht="15" customHeight="1">
      <c r="B1500" s="83">
        <v>262.87353610094925</v>
      </c>
      <c r="C1500" s="83">
        <v>263.18851003058813</v>
      </c>
      <c r="D1500" s="83">
        <v>257.74140647504834</v>
      </c>
      <c r="E1500" s="83">
        <v>259.63115741349043</v>
      </c>
      <c r="F1500" s="83">
        <v>4207096.9540855438</v>
      </c>
      <c r="G1500" s="83" t="s">
        <v>731</v>
      </c>
      <c r="H1500" s="84">
        <f t="shared" si="41"/>
        <v>1.2488403625205091E-2</v>
      </c>
      <c r="J1500" s="83">
        <v>71.640652943594247</v>
      </c>
      <c r="K1500" s="83">
        <v>71.718689080441095</v>
      </c>
      <c r="L1500" s="83">
        <v>70.580454982484127</v>
      </c>
      <c r="M1500" s="83">
        <v>71.07252998553102</v>
      </c>
      <c r="N1500" s="83">
        <v>24755763.907070573</v>
      </c>
      <c r="O1500" s="83" t="s">
        <v>731</v>
      </c>
      <c r="P1500" s="84">
        <f t="shared" si="42"/>
        <v>7.9935659836352091E-3</v>
      </c>
    </row>
    <row r="1501" spans="2:16" ht="15" customHeight="1">
      <c r="B1501" s="83">
        <v>260.12214618616281</v>
      </c>
      <c r="C1501" s="83">
        <v>265.59713419841472</v>
      </c>
      <c r="D1501" s="83">
        <v>258.43610926868416</v>
      </c>
      <c r="E1501" s="83">
        <v>265.02276997377913</v>
      </c>
      <c r="F1501" s="83">
        <v>4892458.7560845604</v>
      </c>
      <c r="G1501" s="83" t="s">
        <v>730</v>
      </c>
      <c r="H1501" s="84">
        <f t="shared" si="41"/>
        <v>-1.8491331096196717E-2</v>
      </c>
      <c r="J1501" s="83">
        <v>71.175418395259015</v>
      </c>
      <c r="K1501" s="83">
        <v>73.335080908631497</v>
      </c>
      <c r="L1501" s="83">
        <v>71.065074303666677</v>
      </c>
      <c r="M1501" s="83">
        <v>72.643690677077728</v>
      </c>
      <c r="N1501" s="83">
        <v>35329203.256323889</v>
      </c>
      <c r="O1501" s="83" t="s">
        <v>730</v>
      </c>
      <c r="P1501" s="84">
        <f t="shared" si="42"/>
        <v>-2.0211972548939028E-2</v>
      </c>
    </row>
    <row r="1502" spans="2:16" ht="15" customHeight="1">
      <c r="B1502" s="83">
        <v>266.94966930804043</v>
      </c>
      <c r="C1502" s="83">
        <v>269.05258348533516</v>
      </c>
      <c r="D1502" s="83">
        <v>266.57920438315045</v>
      </c>
      <c r="E1502" s="83">
        <v>268.20030108748881</v>
      </c>
      <c r="F1502" s="83">
        <v>2702474.5856775297</v>
      </c>
      <c r="G1502" s="83" t="s">
        <v>729</v>
      </c>
      <c r="H1502" s="84">
        <f t="shared" si="41"/>
        <v>-4.6630513626471082E-3</v>
      </c>
      <c r="J1502" s="83">
        <v>72.787833859788435</v>
      </c>
      <c r="K1502" s="83">
        <v>73.36097697697366</v>
      </c>
      <c r="L1502" s="83">
        <v>71.834997717524899</v>
      </c>
      <c r="M1502" s="83">
        <v>72.351924993452954</v>
      </c>
      <c r="N1502" s="83">
        <v>28765256.33766244</v>
      </c>
      <c r="O1502" s="83" t="s">
        <v>729</v>
      </c>
      <c r="P1502" s="84">
        <f t="shared" si="42"/>
        <v>6.0248413069166062E-3</v>
      </c>
    </row>
    <row r="1503" spans="2:16" ht="15" customHeight="1">
      <c r="B1503" s="83">
        <v>265.74535722412713</v>
      </c>
      <c r="C1503" s="83">
        <v>266.05171569039641</v>
      </c>
      <c r="D1503" s="83">
        <v>262.41033914559802</v>
      </c>
      <c r="E1503" s="83">
        <v>263.42010850826381</v>
      </c>
      <c r="F1503" s="83">
        <v>2718074.860930894</v>
      </c>
      <c r="G1503" s="83" t="s">
        <v>728</v>
      </c>
      <c r="H1503" s="84">
        <f t="shared" si="41"/>
        <v>8.8271496395286864E-3</v>
      </c>
      <c r="J1503" s="83">
        <v>72.164041810471403</v>
      </c>
      <c r="K1503" s="83">
        <v>72.208278856199868</v>
      </c>
      <c r="L1503" s="83">
        <v>70.740006574381155</v>
      </c>
      <c r="M1503" s="83">
        <v>71.027795894344933</v>
      </c>
      <c r="N1503" s="83">
        <v>31032171.732862245</v>
      </c>
      <c r="O1503" s="83" t="s">
        <v>728</v>
      </c>
      <c r="P1503" s="84">
        <f t="shared" si="42"/>
        <v>1.5997200839747983E-2</v>
      </c>
    </row>
    <row r="1504" spans="2:16" ht="15" customHeight="1">
      <c r="B1504" s="83">
        <v>263.99447273289934</v>
      </c>
      <c r="C1504" s="83">
        <v>268.90436045962269</v>
      </c>
      <c r="D1504" s="83">
        <v>262.79016064898605</v>
      </c>
      <c r="E1504" s="83">
        <v>268.69128986016119</v>
      </c>
      <c r="F1504" s="83">
        <v>3755996.1910385489</v>
      </c>
      <c r="G1504" s="83" t="s">
        <v>727</v>
      </c>
      <c r="H1504" s="84">
        <f t="shared" si="41"/>
        <v>-1.7480347538270768E-2</v>
      </c>
      <c r="J1504" s="83">
        <v>71.162992258818434</v>
      </c>
      <c r="K1504" s="83">
        <v>71.962241354676422</v>
      </c>
      <c r="L1504" s="83">
        <v>70.647561089717826</v>
      </c>
      <c r="M1504" s="83">
        <v>71.773364080779629</v>
      </c>
      <c r="N1504" s="83">
        <v>63532921.417307876</v>
      </c>
      <c r="O1504" s="83" t="s">
        <v>727</v>
      </c>
      <c r="P1504" s="84">
        <f t="shared" si="42"/>
        <v>-8.504155124653634E-3</v>
      </c>
    </row>
    <row r="1505" spans="2:16" ht="15" customHeight="1">
      <c r="B1505" s="83">
        <v>265.5600784419866</v>
      </c>
      <c r="C1505" s="83">
        <v>265.98621964090978</v>
      </c>
      <c r="D1505" s="83">
        <v>263.60075532085079</v>
      </c>
      <c r="E1505" s="83">
        <v>263.99447273289934</v>
      </c>
      <c r="F1505" s="83">
        <v>2975252.7171835601</v>
      </c>
      <c r="G1505" s="83" t="s">
        <v>726</v>
      </c>
      <c r="H1505" s="84">
        <f t="shared" si="41"/>
        <v>5.9304488191738169E-3</v>
      </c>
      <c r="J1505" s="83">
        <v>71.373739532850635</v>
      </c>
      <c r="K1505" s="83">
        <v>72.141674764878374</v>
      </c>
      <c r="L1505" s="83">
        <v>70.928883848277934</v>
      </c>
      <c r="M1505" s="83">
        <v>72.029839536913173</v>
      </c>
      <c r="N1505" s="83">
        <v>31826384.805219334</v>
      </c>
      <c r="O1505" s="83" t="s">
        <v>726</v>
      </c>
      <c r="P1505" s="84">
        <f t="shared" si="42"/>
        <v>-9.1087250545144327E-3</v>
      </c>
    </row>
    <row r="1506" spans="2:16" ht="15" customHeight="1">
      <c r="B1506" s="83">
        <v>265.3192160252039</v>
      </c>
      <c r="C1506" s="83">
        <v>267.74636807124455</v>
      </c>
      <c r="D1506" s="83">
        <v>264.83749119163861</v>
      </c>
      <c r="E1506" s="83">
        <v>267.47771383714087</v>
      </c>
      <c r="F1506" s="83">
        <v>2874369.0661574793</v>
      </c>
      <c r="G1506" s="83" t="s">
        <v>725</v>
      </c>
      <c r="H1506" s="84">
        <f t="shared" si="41"/>
        <v>-8.0698230180448194E-3</v>
      </c>
      <c r="J1506" s="83">
        <v>72.127260446607295</v>
      </c>
      <c r="K1506" s="83">
        <v>72.568636812976635</v>
      </c>
      <c r="L1506" s="83">
        <v>71.14609271325925</v>
      </c>
      <c r="M1506" s="83">
        <v>71.930430445388538</v>
      </c>
      <c r="N1506" s="83">
        <v>31176524.726938698</v>
      </c>
      <c r="O1506" s="83" t="s">
        <v>725</v>
      </c>
      <c r="P1506" s="84">
        <f t="shared" si="42"/>
        <v>2.7363940407418852E-3</v>
      </c>
    </row>
    <row r="1507" spans="2:16" ht="15" customHeight="1">
      <c r="B1507" s="83">
        <v>266.54205598733131</v>
      </c>
      <c r="C1507" s="83">
        <v>268.83858649196287</v>
      </c>
      <c r="D1507" s="83">
        <v>262.01198976399593</v>
      </c>
      <c r="E1507" s="83">
        <v>268.70055379926816</v>
      </c>
      <c r="F1507" s="83">
        <v>5715659.3311203774</v>
      </c>
      <c r="G1507" s="83" t="s">
        <v>724</v>
      </c>
      <c r="H1507" s="84">
        <f t="shared" si="41"/>
        <v>-8.0330977417685245E-3</v>
      </c>
      <c r="J1507" s="83">
        <v>71.709742262203875</v>
      </c>
      <c r="K1507" s="83">
        <v>72.321108175080312</v>
      </c>
      <c r="L1507" s="83">
        <v>70.873716772936348</v>
      </c>
      <c r="M1507" s="83">
        <v>71.834003626609658</v>
      </c>
      <c r="N1507" s="83">
        <v>34435763.847132646</v>
      </c>
      <c r="O1507" s="83" t="s">
        <v>724</v>
      </c>
      <c r="P1507" s="84">
        <f t="shared" si="42"/>
        <v>-1.729840439517849E-3</v>
      </c>
    </row>
    <row r="1508" spans="2:16" ht="15" customHeight="1">
      <c r="B1508" s="83">
        <v>261.42836160025331</v>
      </c>
      <c r="C1508" s="83">
        <v>262.49371459756128</v>
      </c>
      <c r="D1508" s="83">
        <v>252.69246702232849</v>
      </c>
      <c r="E1508" s="83">
        <v>253.7485560805294</v>
      </c>
      <c r="F1508" s="83">
        <v>4783472.7201946713</v>
      </c>
      <c r="G1508" s="83" t="s">
        <v>723</v>
      </c>
      <c r="H1508" s="84">
        <f t="shared" si="41"/>
        <v>3.0265415647475313E-2</v>
      </c>
      <c r="J1508" s="83">
        <v>70.57299930061977</v>
      </c>
      <c r="K1508" s="83">
        <v>70.819031831688648</v>
      </c>
      <c r="L1508" s="83">
        <v>68.985933154429134</v>
      </c>
      <c r="M1508" s="83">
        <v>69.129082246224584</v>
      </c>
      <c r="N1508" s="83">
        <v>30300971.005793996</v>
      </c>
      <c r="O1508" s="83" t="s">
        <v>723</v>
      </c>
      <c r="P1508" s="84">
        <f t="shared" si="42"/>
        <v>2.0887259131435076E-2</v>
      </c>
    </row>
    <row r="1509" spans="2:16" ht="15" customHeight="1">
      <c r="B1509" s="83">
        <v>259.06605712796187</v>
      </c>
      <c r="C1509" s="83">
        <v>263.23482972612322</v>
      </c>
      <c r="D1509" s="83">
        <v>254.29512848784387</v>
      </c>
      <c r="E1509" s="83">
        <v>262.49371459756128</v>
      </c>
      <c r="F1509" s="83">
        <v>6727358.5544985328</v>
      </c>
      <c r="G1509" s="83" t="s">
        <v>722</v>
      </c>
      <c r="H1509" s="84">
        <f t="shared" si="41"/>
        <v>-1.3058055408505576E-2</v>
      </c>
      <c r="J1509" s="83">
        <v>70.241474950839731</v>
      </c>
      <c r="K1509" s="83">
        <v>71.425432260443444</v>
      </c>
      <c r="L1509" s="83">
        <v>68.891494517480737</v>
      </c>
      <c r="M1509" s="83">
        <v>71.002446576006164</v>
      </c>
      <c r="N1509" s="83">
        <v>39158732.267819747</v>
      </c>
      <c r="O1509" s="83" t="s">
        <v>722</v>
      </c>
      <c r="P1509" s="84">
        <f t="shared" si="42"/>
        <v>-1.0717540899831346E-2</v>
      </c>
    </row>
    <row r="1510" spans="2:16" ht="15" customHeight="1">
      <c r="B1510" s="83">
        <v>255.98116540532246</v>
      </c>
      <c r="C1510" s="83">
        <v>272.82300670189443</v>
      </c>
      <c r="D1510" s="83">
        <v>255.49944057175716</v>
      </c>
      <c r="E1510" s="83">
        <v>265.28216026877584</v>
      </c>
      <c r="F1510" s="83">
        <v>8363825.4855584931</v>
      </c>
      <c r="G1510" s="83" t="s">
        <v>721</v>
      </c>
      <c r="H1510" s="84">
        <f t="shared" si="41"/>
        <v>-3.5060762676351498E-2</v>
      </c>
      <c r="J1510" s="83">
        <v>69.777229522965143</v>
      </c>
      <c r="K1510" s="83">
        <v>72.294019197639855</v>
      </c>
      <c r="L1510" s="83">
        <v>69.685773158762501</v>
      </c>
      <c r="M1510" s="83">
        <v>71.697813171220915</v>
      </c>
      <c r="N1510" s="83">
        <v>40063377.895505846</v>
      </c>
      <c r="O1510" s="83" t="s">
        <v>721</v>
      </c>
      <c r="P1510" s="84">
        <f t="shared" si="42"/>
        <v>-2.6787199822527974E-2</v>
      </c>
    </row>
    <row r="1511" spans="2:16" ht="15" customHeight="1">
      <c r="B1511" s="83">
        <v>271.63722249619519</v>
      </c>
      <c r="C1511" s="83">
        <v>274.57704093241858</v>
      </c>
      <c r="D1511" s="83">
        <v>271.05359433245258</v>
      </c>
      <c r="E1511" s="83">
        <v>273.77719242991799</v>
      </c>
      <c r="F1511" s="83">
        <v>6047743.7678225804</v>
      </c>
      <c r="G1511" s="83" t="s">
        <v>720</v>
      </c>
      <c r="H1511" s="84">
        <f t="shared" si="41"/>
        <v>-7.8164653334685807E-3</v>
      </c>
      <c r="J1511" s="83">
        <v>72.859408405686167</v>
      </c>
      <c r="K1511" s="83">
        <v>73.277373931001449</v>
      </c>
      <c r="L1511" s="83">
        <v>72.383238857283203</v>
      </c>
      <c r="M1511" s="83">
        <v>72.545772721925971</v>
      </c>
      <c r="N1511" s="83">
        <v>30684376.5818379</v>
      </c>
      <c r="O1511" s="83" t="s">
        <v>720</v>
      </c>
      <c r="P1511" s="84">
        <f t="shared" si="42"/>
        <v>4.3232799375145792E-3</v>
      </c>
    </row>
    <row r="1512" spans="2:16" ht="15" customHeight="1">
      <c r="B1512" s="83">
        <v>273.34178729188784</v>
      </c>
      <c r="C1512" s="83">
        <v>274.57111201139008</v>
      </c>
      <c r="D1512" s="83">
        <v>272.01713663897431</v>
      </c>
      <c r="E1512" s="83">
        <v>272.8137427627874</v>
      </c>
      <c r="F1512" s="83">
        <v>5058738.9941348983</v>
      </c>
      <c r="G1512" s="83" t="s">
        <v>719</v>
      </c>
      <c r="H1512" s="84">
        <f t="shared" si="41"/>
        <v>1.9355495942137146E-3</v>
      </c>
      <c r="J1512" s="83">
        <v>72.377771357249358</v>
      </c>
      <c r="K1512" s="83">
        <v>72.966273179075131</v>
      </c>
      <c r="L1512" s="83">
        <v>71.734097489627402</v>
      </c>
      <c r="M1512" s="83">
        <v>71.840962263016365</v>
      </c>
      <c r="N1512" s="83">
        <v>28352517.428466834</v>
      </c>
      <c r="O1512" s="83" t="s">
        <v>719</v>
      </c>
      <c r="P1512" s="84">
        <f t="shared" si="42"/>
        <v>7.4721868600211572E-3</v>
      </c>
    </row>
    <row r="1513" spans="2:16" ht="15" customHeight="1">
      <c r="B1513" s="83">
        <v>275.29647844347016</v>
      </c>
      <c r="C1513" s="83">
        <v>275.43543753007555</v>
      </c>
      <c r="D1513" s="83">
        <v>272.24864247725884</v>
      </c>
      <c r="E1513" s="83">
        <v>272.75815912814522</v>
      </c>
      <c r="F1513" s="83">
        <v>6001421.1403697971</v>
      </c>
      <c r="G1513" s="83" t="s">
        <v>718</v>
      </c>
      <c r="H1513" s="84">
        <f t="shared" si="41"/>
        <v>9.3061169038481939E-3</v>
      </c>
      <c r="J1513" s="83">
        <v>71.903092945219257</v>
      </c>
      <c r="K1513" s="83">
        <v>71.971685218371263</v>
      </c>
      <c r="L1513" s="83">
        <v>70.696763619567932</v>
      </c>
      <c r="M1513" s="83">
        <v>70.696763619567932</v>
      </c>
      <c r="N1513" s="83">
        <v>28250494.566730011</v>
      </c>
      <c r="O1513" s="83" t="s">
        <v>718</v>
      </c>
      <c r="P1513" s="84">
        <f t="shared" si="42"/>
        <v>1.7063430684646441E-2</v>
      </c>
    </row>
    <row r="1514" spans="2:16" ht="15" customHeight="1">
      <c r="B1514" s="83">
        <v>271.99851612136916</v>
      </c>
      <c r="C1514" s="83">
        <v>273.63823334331266</v>
      </c>
      <c r="D1514" s="83">
        <v>270.14572829996411</v>
      </c>
      <c r="E1514" s="83">
        <v>270.16425617817816</v>
      </c>
      <c r="F1514" s="83">
        <v>6493477.4835017556</v>
      </c>
      <c r="G1514" s="83" t="s">
        <v>717</v>
      </c>
      <c r="H1514" s="84">
        <f t="shared" si="41"/>
        <v>6.789424956280099E-3</v>
      </c>
      <c r="J1514" s="83">
        <v>71.494521579053057</v>
      </c>
      <c r="K1514" s="83">
        <v>71.825553853830058</v>
      </c>
      <c r="L1514" s="83">
        <v>69.884591341811742</v>
      </c>
      <c r="M1514" s="83">
        <v>70.240972934927527</v>
      </c>
      <c r="N1514" s="83">
        <v>34911173.08058583</v>
      </c>
      <c r="O1514" s="83" t="s">
        <v>717</v>
      </c>
      <c r="P1514" s="84">
        <f t="shared" si="42"/>
        <v>1.7846402060615496E-2</v>
      </c>
    </row>
    <row r="1515" spans="2:16" ht="15" customHeight="1">
      <c r="B1515" s="83">
        <v>265.21731269502669</v>
      </c>
      <c r="C1515" s="83">
        <v>266.56984780465234</v>
      </c>
      <c r="D1515" s="83">
        <v>263.28114942165837</v>
      </c>
      <c r="E1515" s="83">
        <v>264.94865846092296</v>
      </c>
      <c r="F1515" s="83">
        <v>4122024.0719243973</v>
      </c>
      <c r="G1515" s="83" t="s">
        <v>716</v>
      </c>
      <c r="H1515" s="84">
        <f t="shared" si="41"/>
        <v>1.0139860139859458E-3</v>
      </c>
      <c r="J1515" s="83">
        <v>70.19177040507742</v>
      </c>
      <c r="K1515" s="83">
        <v>71.52285317013758</v>
      </c>
      <c r="L1515" s="83">
        <v>69.821466568693609</v>
      </c>
      <c r="M1515" s="83">
        <v>71.097382258412182</v>
      </c>
      <c r="N1515" s="83">
        <v>29861896.477191273</v>
      </c>
      <c r="O1515" s="83" t="s">
        <v>716</v>
      </c>
      <c r="P1515" s="84">
        <f t="shared" si="42"/>
        <v>-1.2737625838926125E-2</v>
      </c>
    </row>
    <row r="1516" spans="2:16" ht="15" customHeight="1">
      <c r="B1516" s="83">
        <v>265.89358024983949</v>
      </c>
      <c r="C1516" s="83">
        <v>266.73659870857881</v>
      </c>
      <c r="D1516" s="83">
        <v>263.95741697647122</v>
      </c>
      <c r="E1516" s="83">
        <v>264.2075433323609</v>
      </c>
      <c r="F1516" s="83">
        <v>6010483.1602114793</v>
      </c>
      <c r="G1516" s="83" t="s">
        <v>715</v>
      </c>
      <c r="H1516" s="84">
        <f t="shared" si="41"/>
        <v>6.3814866760167899E-3</v>
      </c>
      <c r="J1516" s="83">
        <v>71.394615442070815</v>
      </c>
      <c r="K1516" s="83">
        <v>71.900220022474215</v>
      </c>
      <c r="L1516" s="83">
        <v>71.066426267311414</v>
      </c>
      <c r="M1516" s="83">
        <v>71.49004816993444</v>
      </c>
      <c r="N1516" s="83">
        <v>25273060.657411173</v>
      </c>
      <c r="O1516" s="83" t="s">
        <v>715</v>
      </c>
      <c r="P1516" s="84">
        <f t="shared" si="42"/>
        <v>-1.3349092678854868E-3</v>
      </c>
    </row>
    <row r="1517" spans="2:16" ht="15" customHeight="1">
      <c r="B1517" s="83">
        <v>262.42886702381202</v>
      </c>
      <c r="C1517" s="83">
        <v>262.42886702381202</v>
      </c>
      <c r="D1517" s="83">
        <v>259.8164361956309</v>
      </c>
      <c r="E1517" s="83">
        <v>261.04854009686534</v>
      </c>
      <c r="F1517" s="83">
        <v>4689044.2065900629</v>
      </c>
      <c r="G1517" s="83" t="s">
        <v>714</v>
      </c>
      <c r="H1517" s="84">
        <f t="shared" si="41"/>
        <v>5.2876255367468872E-3</v>
      </c>
      <c r="J1517" s="83">
        <v>71.535776352035782</v>
      </c>
      <c r="K1517" s="83">
        <v>71.555161124883071</v>
      </c>
      <c r="L1517" s="83">
        <v>70.522300663942218</v>
      </c>
      <c r="M1517" s="83">
        <v>71.104837940276525</v>
      </c>
      <c r="N1517" s="83">
        <v>25714509.214348536</v>
      </c>
      <c r="O1517" s="83" t="s">
        <v>714</v>
      </c>
      <c r="P1517" s="84">
        <f t="shared" si="42"/>
        <v>6.0606060606060996E-3</v>
      </c>
    </row>
    <row r="1518" spans="2:16" ht="15" customHeight="1">
      <c r="B1518" s="83">
        <v>260.28889709008922</v>
      </c>
      <c r="C1518" s="83">
        <v>260.77062192365452</v>
      </c>
      <c r="D1518" s="83">
        <v>258.06555170440316</v>
      </c>
      <c r="E1518" s="83">
        <v>258.5287486597544</v>
      </c>
      <c r="F1518" s="83">
        <v>4217548.2317635864</v>
      </c>
      <c r="G1518" s="83" t="s">
        <v>713</v>
      </c>
      <c r="H1518" s="84">
        <f t="shared" si="41"/>
        <v>6.8083276597270537E-3</v>
      </c>
      <c r="J1518" s="83">
        <v>71.167957742940089</v>
      </c>
      <c r="K1518" s="83">
        <v>71.47314862437527</v>
      </c>
      <c r="L1518" s="83">
        <v>70.481045890959493</v>
      </c>
      <c r="M1518" s="83">
        <v>70.50043066380681</v>
      </c>
      <c r="N1518" s="83">
        <v>24487498.705256574</v>
      </c>
      <c r="O1518" s="83" t="s">
        <v>713</v>
      </c>
      <c r="P1518" s="84">
        <f t="shared" si="42"/>
        <v>9.4684113678182857E-3</v>
      </c>
    </row>
    <row r="1519" spans="2:16" ht="15" customHeight="1">
      <c r="B1519" s="83">
        <v>259.15869651903216</v>
      </c>
      <c r="C1519" s="83">
        <v>259.71453286545369</v>
      </c>
      <c r="D1519" s="83">
        <v>255.09182725104804</v>
      </c>
      <c r="E1519" s="83">
        <v>257.56529899262375</v>
      </c>
      <c r="F1519" s="83">
        <v>7611667.0441546757</v>
      </c>
      <c r="G1519" s="83" t="s">
        <v>712</v>
      </c>
      <c r="H1519" s="84">
        <f t="shared" si="41"/>
        <v>6.1863827644501601E-3</v>
      </c>
      <c r="J1519" s="83">
        <v>71.023819530683966</v>
      </c>
      <c r="K1519" s="83">
        <v>71.205236152261818</v>
      </c>
      <c r="L1519" s="83">
        <v>70.249919753164747</v>
      </c>
      <c r="M1519" s="83">
        <v>70.428354101996874</v>
      </c>
      <c r="N1519" s="83">
        <v>36979696.158769898</v>
      </c>
      <c r="O1519" s="83" t="s">
        <v>712</v>
      </c>
      <c r="P1519" s="84">
        <f t="shared" si="42"/>
        <v>8.4549104729143565E-3</v>
      </c>
    </row>
    <row r="1520" spans="2:16" ht="15" customHeight="1">
      <c r="B1520" s="83">
        <v>258.00070413065396</v>
      </c>
      <c r="C1520" s="83">
        <v>261.28013857454096</v>
      </c>
      <c r="D1520" s="83">
        <v>257.36149233226922</v>
      </c>
      <c r="E1520" s="83">
        <v>259.41808681402881</v>
      </c>
      <c r="F1520" s="83">
        <v>5003158.9655907191</v>
      </c>
      <c r="G1520" s="83" t="s">
        <v>711</v>
      </c>
      <c r="H1520" s="84">
        <f t="shared" ref="H1520:H1583" si="43">B1520/E1520-1</f>
        <v>-5.4637003178230614E-3</v>
      </c>
      <c r="J1520" s="83">
        <v>70.41792111784136</v>
      </c>
      <c r="K1520" s="83">
        <v>71.61629771617072</v>
      </c>
      <c r="L1520" s="83">
        <v>69.387545884188626</v>
      </c>
      <c r="M1520" s="83">
        <v>69.4302917935442</v>
      </c>
      <c r="N1520" s="83">
        <v>34080906.967756964</v>
      </c>
      <c r="O1520" s="83" t="s">
        <v>711</v>
      </c>
      <c r="P1520" s="84">
        <f t="shared" ref="P1520:P1583" si="44">J1520/M1520-1</f>
        <v>1.4224761250232643E-2</v>
      </c>
    </row>
    <row r="1521" spans="2:16" ht="15" customHeight="1">
      <c r="B1521" s="83">
        <v>258.5102207815404</v>
      </c>
      <c r="C1521" s="83">
        <v>258.5102207815404</v>
      </c>
      <c r="D1521" s="83">
        <v>252.77584247429172</v>
      </c>
      <c r="E1521" s="83">
        <v>257.33370051494813</v>
      </c>
      <c r="F1521" s="83">
        <v>5561764.7530656867</v>
      </c>
      <c r="G1521" s="83" t="s">
        <v>710</v>
      </c>
      <c r="H1521" s="84">
        <f t="shared" si="43"/>
        <v>4.5719634242928908E-3</v>
      </c>
      <c r="J1521" s="83">
        <v>70.473093163637529</v>
      </c>
      <c r="K1521" s="83">
        <v>70.666940892110546</v>
      </c>
      <c r="L1521" s="83">
        <v>69.153437473648125</v>
      </c>
      <c r="M1521" s="83">
        <v>70.443767481637764</v>
      </c>
      <c r="N1521" s="83">
        <v>33923295.628998086</v>
      </c>
      <c r="O1521" s="83" t="s">
        <v>710</v>
      </c>
      <c r="P1521" s="84">
        <f t="shared" si="44"/>
        <v>4.1629917092955715E-4</v>
      </c>
    </row>
    <row r="1522" spans="2:16" ht="15" customHeight="1">
      <c r="B1522" s="83">
        <v>254.79538119962325</v>
      </c>
      <c r="C1522" s="83">
        <v>257.29201278896653</v>
      </c>
      <c r="D1522" s="83">
        <v>254.34144818337901</v>
      </c>
      <c r="E1522" s="83">
        <v>257.10210203727252</v>
      </c>
      <c r="F1522" s="83">
        <v>5302025.3514783792</v>
      </c>
      <c r="G1522" s="83" t="s">
        <v>709</v>
      </c>
      <c r="H1522" s="84">
        <f t="shared" si="43"/>
        <v>-8.9720030266997597E-3</v>
      </c>
      <c r="J1522" s="83">
        <v>70.432335436112439</v>
      </c>
      <c r="K1522" s="83">
        <v>71.624250443492699</v>
      </c>
      <c r="L1522" s="83">
        <v>70.189280207334733</v>
      </c>
      <c r="M1522" s="83">
        <v>71.438852487799267</v>
      </c>
      <c r="N1522" s="83">
        <v>41457837.877726495</v>
      </c>
      <c r="O1522" s="83" t="s">
        <v>709</v>
      </c>
      <c r="P1522" s="84">
        <f t="shared" si="44"/>
        <v>-1.4089210795466323E-2</v>
      </c>
    </row>
    <row r="1523" spans="2:16" ht="15" customHeight="1">
      <c r="B1523" s="83">
        <v>251.56226645127143</v>
      </c>
      <c r="C1523" s="83">
        <v>251.71975341609087</v>
      </c>
      <c r="D1523" s="83">
        <v>249.66315893433122</v>
      </c>
      <c r="E1523" s="83">
        <v>250.8304152618164</v>
      </c>
      <c r="F1523" s="83">
        <v>2478826.7425662973</v>
      </c>
      <c r="G1523" s="83" t="s">
        <v>708</v>
      </c>
      <c r="H1523" s="84">
        <f t="shared" si="43"/>
        <v>2.9177131038560233E-3</v>
      </c>
      <c r="J1523" s="83">
        <v>70.104285434081177</v>
      </c>
      <c r="K1523" s="83">
        <v>70.220594071164982</v>
      </c>
      <c r="L1523" s="83">
        <v>69.180277928359772</v>
      </c>
      <c r="M1523" s="83">
        <v>69.422836111679857</v>
      </c>
      <c r="N1523" s="83">
        <v>26343827.911869302</v>
      </c>
      <c r="O1523" s="83" t="s">
        <v>708</v>
      </c>
      <c r="P1523" s="84">
        <f t="shared" si="44"/>
        <v>9.8159245655864424E-3</v>
      </c>
    </row>
    <row r="1524" spans="2:16" ht="15" customHeight="1">
      <c r="B1524" s="83">
        <v>250.99716616574287</v>
      </c>
      <c r="C1524" s="83">
        <v>253.45211002910455</v>
      </c>
      <c r="D1524" s="83">
        <v>250.08003619414737</v>
      </c>
      <c r="E1524" s="83">
        <v>252.72025883964957</v>
      </c>
      <c r="F1524" s="83">
        <v>3865865.2206426123</v>
      </c>
      <c r="G1524" s="83" t="s">
        <v>707</v>
      </c>
      <c r="H1524" s="84">
        <f t="shared" si="43"/>
        <v>-6.8181818181818343E-3</v>
      </c>
      <c r="J1524" s="83">
        <v>69.725536795372349</v>
      </c>
      <c r="K1524" s="83">
        <v>70.356287481096089</v>
      </c>
      <c r="L1524" s="83">
        <v>69.260799292494724</v>
      </c>
      <c r="M1524" s="83">
        <v>69.984000433336377</v>
      </c>
      <c r="N1524" s="83">
        <v>27868557.669232115</v>
      </c>
      <c r="O1524" s="83" t="s">
        <v>707</v>
      </c>
      <c r="P1524" s="84">
        <f t="shared" si="44"/>
        <v>-3.6931818181817899E-3</v>
      </c>
    </row>
    <row r="1525" spans="2:16" ht="15" customHeight="1">
      <c r="B1525" s="83">
        <v>252.81289823071981</v>
      </c>
      <c r="C1525" s="83">
        <v>253.6373888112451</v>
      </c>
      <c r="D1525" s="83">
        <v>251.69196159876975</v>
      </c>
      <c r="E1525" s="83">
        <v>251.90503219823137</v>
      </c>
      <c r="F1525" s="83">
        <v>5285266.8216341725</v>
      </c>
      <c r="G1525" s="83" t="s">
        <v>706</v>
      </c>
      <c r="H1525" s="84">
        <f t="shared" si="43"/>
        <v>3.6040011768165847E-3</v>
      </c>
      <c r="J1525" s="83">
        <v>69.920378614760608</v>
      </c>
      <c r="K1525" s="83">
        <v>70.104285434081177</v>
      </c>
      <c r="L1525" s="83">
        <v>68.952631108768387</v>
      </c>
      <c r="M1525" s="83">
        <v>69.06844270039457</v>
      </c>
      <c r="N1525" s="83">
        <v>33304297.919067737</v>
      </c>
      <c r="O1525" s="83" t="s">
        <v>706</v>
      </c>
      <c r="P1525" s="84">
        <f t="shared" si="44"/>
        <v>1.2334662272053487E-2</v>
      </c>
    </row>
    <row r="1526" spans="2:16" ht="15" customHeight="1">
      <c r="B1526" s="83">
        <v>248.75529290184272</v>
      </c>
      <c r="C1526" s="83">
        <v>252.21074218876319</v>
      </c>
      <c r="D1526" s="83">
        <v>248.58854199791628</v>
      </c>
      <c r="E1526" s="83">
        <v>250.69145617521104</v>
      </c>
      <c r="F1526" s="83">
        <v>5312121.4886527993</v>
      </c>
      <c r="G1526" s="83" t="s">
        <v>705</v>
      </c>
      <c r="H1526" s="84">
        <f t="shared" si="43"/>
        <v>-7.7232918221796787E-3</v>
      </c>
      <c r="J1526" s="83">
        <v>68.268448036350136</v>
      </c>
      <c r="K1526" s="83">
        <v>69.188727701139371</v>
      </c>
      <c r="L1526" s="83">
        <v>68.268448036350136</v>
      </c>
      <c r="M1526" s="83">
        <v>68.940031006417641</v>
      </c>
      <c r="N1526" s="83">
        <v>25765228.921396166</v>
      </c>
      <c r="O1526" s="83" t="s">
        <v>705</v>
      </c>
      <c r="P1526" s="84">
        <f t="shared" si="44"/>
        <v>-9.741553060876762E-3</v>
      </c>
    </row>
    <row r="1527" spans="2:16" ht="15" customHeight="1">
      <c r="B1527" s="83">
        <v>251.12686131324119</v>
      </c>
      <c r="C1527" s="83">
        <v>252.62761944857931</v>
      </c>
      <c r="D1527" s="83">
        <v>249.2555456136221</v>
      </c>
      <c r="E1527" s="83">
        <v>249.49640803040478</v>
      </c>
      <c r="F1527" s="83">
        <v>7307000.7496774551</v>
      </c>
      <c r="G1527" s="83" t="s">
        <v>704</v>
      </c>
      <c r="H1527" s="84">
        <f t="shared" si="43"/>
        <v>6.534976979058138E-3</v>
      </c>
      <c r="J1527" s="83">
        <v>68.788104091840552</v>
      </c>
      <c r="K1527" s="83">
        <v>69.204881678512123</v>
      </c>
      <c r="L1527" s="83">
        <v>67.312381098612065</v>
      </c>
      <c r="M1527" s="83">
        <v>67.685165191829412</v>
      </c>
      <c r="N1527" s="83">
        <v>36696120.486085907</v>
      </c>
      <c r="O1527" s="83" t="s">
        <v>704</v>
      </c>
      <c r="P1527" s="84">
        <f t="shared" si="44"/>
        <v>1.6295134936662237E-2</v>
      </c>
    </row>
    <row r="1528" spans="2:16" ht="15" customHeight="1">
      <c r="B1528" s="83">
        <v>243.67865427119293</v>
      </c>
      <c r="C1528" s="83">
        <v>243.74350184494207</v>
      </c>
      <c r="D1528" s="83">
        <v>239.52840955124557</v>
      </c>
      <c r="E1528" s="83">
        <v>240.43627558373407</v>
      </c>
      <c r="F1528" s="83">
        <v>3655206.452546861</v>
      </c>
      <c r="G1528" s="83" t="s">
        <v>703</v>
      </c>
      <c r="H1528" s="84">
        <f t="shared" si="43"/>
        <v>1.3485397241272956E-2</v>
      </c>
      <c r="J1528" s="83">
        <v>68.253780224895692</v>
      </c>
      <c r="K1528" s="83">
        <v>68.31790405938365</v>
      </c>
      <c r="L1528" s="83">
        <v>66.554386775736788</v>
      </c>
      <c r="M1528" s="83">
        <v>67.101136779122228</v>
      </c>
      <c r="N1528" s="83">
        <v>34357964.121962801</v>
      </c>
      <c r="O1528" s="83" t="s">
        <v>703</v>
      </c>
      <c r="P1528" s="84">
        <f t="shared" si="44"/>
        <v>1.7177703703703751E-2</v>
      </c>
    </row>
    <row r="1529" spans="2:16" ht="15" customHeight="1">
      <c r="B1529" s="83">
        <v>242.58550945656393</v>
      </c>
      <c r="C1529" s="83">
        <v>242.71520460406228</v>
      </c>
      <c r="D1529" s="83">
        <v>235.27626150112098</v>
      </c>
      <c r="E1529" s="83">
        <v>237.46255113037893</v>
      </c>
      <c r="F1529" s="83">
        <v>8352373.5536346799</v>
      </c>
      <c r="G1529" s="83" t="s">
        <v>702</v>
      </c>
      <c r="H1529" s="84">
        <f t="shared" si="43"/>
        <v>2.1573752584558958E-2</v>
      </c>
      <c r="J1529" s="83">
        <v>67.405825644645219</v>
      </c>
      <c r="K1529" s="83">
        <v>67.469944508678594</v>
      </c>
      <c r="L1529" s="83">
        <v>65.804345180183489</v>
      </c>
      <c r="M1529" s="83">
        <v>66.356562683602789</v>
      </c>
      <c r="N1529" s="83">
        <v>32252120.513602868</v>
      </c>
      <c r="O1529" s="83" t="s">
        <v>702</v>
      </c>
      <c r="P1529" s="84">
        <f t="shared" si="44"/>
        <v>1.5812497191053376E-2</v>
      </c>
    </row>
    <row r="1530" spans="2:16" ht="15" customHeight="1">
      <c r="B1530" s="83">
        <v>239.69516045517204</v>
      </c>
      <c r="C1530" s="83">
        <v>244.47535303439705</v>
      </c>
      <c r="D1530" s="83">
        <v>237.49034294770001</v>
      </c>
      <c r="E1530" s="83">
        <v>243.52116730637348</v>
      </c>
      <c r="F1530" s="83">
        <v>6063801.7317493064</v>
      </c>
      <c r="G1530" s="83" t="s">
        <v>701</v>
      </c>
      <c r="H1530" s="84">
        <f t="shared" si="43"/>
        <v>-1.5711188039715496E-2</v>
      </c>
      <c r="J1530" s="83">
        <v>67.067834733461481</v>
      </c>
      <c r="K1530" s="83">
        <v>68.864763412769761</v>
      </c>
      <c r="L1530" s="83">
        <v>66.027518590656285</v>
      </c>
      <c r="M1530" s="83">
        <v>68.445644741992794</v>
      </c>
      <c r="N1530" s="83">
        <v>36467187.702866957</v>
      </c>
      <c r="O1530" s="83" t="s">
        <v>701</v>
      </c>
      <c r="P1530" s="84">
        <f t="shared" si="44"/>
        <v>-2.0129988017864364E-2</v>
      </c>
    </row>
    <row r="1531" spans="2:16" ht="15" customHeight="1">
      <c r="B1531" s="83">
        <v>244.02142001815287</v>
      </c>
      <c r="C1531" s="83">
        <v>250.49691345396349</v>
      </c>
      <c r="D1531" s="83">
        <v>243.9473085052966</v>
      </c>
      <c r="E1531" s="83">
        <v>250.10782801146846</v>
      </c>
      <c r="F1531" s="83">
        <v>5569830.4364792723</v>
      </c>
      <c r="G1531" s="83" t="s">
        <v>700</v>
      </c>
      <c r="H1531" s="84">
        <f t="shared" si="43"/>
        <v>-2.4335135935995234E-2</v>
      </c>
      <c r="J1531" s="83">
        <v>68.380531787044163</v>
      </c>
      <c r="K1531" s="83">
        <v>70.331932253672562</v>
      </c>
      <c r="L1531" s="83">
        <v>68.332318377654715</v>
      </c>
      <c r="M1531" s="83">
        <v>69.940260433065532</v>
      </c>
      <c r="N1531" s="83">
        <v>27977320.357173204</v>
      </c>
      <c r="O1531" s="83" t="s">
        <v>700</v>
      </c>
      <c r="P1531" s="84">
        <f t="shared" si="44"/>
        <v>-2.2300869861845429E-2</v>
      </c>
    </row>
    <row r="1532" spans="2:16" ht="15" customHeight="1">
      <c r="B1532" s="83">
        <v>249.03321107505352</v>
      </c>
      <c r="C1532" s="83">
        <v>250.31163467182299</v>
      </c>
      <c r="D1532" s="83">
        <v>246.81912962847449</v>
      </c>
      <c r="E1532" s="83">
        <v>247.14336749722034</v>
      </c>
      <c r="F1532" s="83">
        <v>3744951.2134304377</v>
      </c>
      <c r="G1532" s="83" t="s">
        <v>699</v>
      </c>
      <c r="H1532" s="84">
        <f t="shared" si="43"/>
        <v>7.6467501311943131E-3</v>
      </c>
      <c r="J1532" s="83">
        <v>69.748400886423013</v>
      </c>
      <c r="K1532" s="83">
        <v>70.407980208688898</v>
      </c>
      <c r="L1532" s="83">
        <v>68.450714605660551</v>
      </c>
      <c r="M1532" s="83">
        <v>68.506781333280429</v>
      </c>
      <c r="N1532" s="83">
        <v>28410198.269444842</v>
      </c>
      <c r="O1532" s="83" t="s">
        <v>699</v>
      </c>
      <c r="P1532" s="84">
        <f t="shared" si="44"/>
        <v>1.812403865687684E-2</v>
      </c>
    </row>
    <row r="1533" spans="2:16" ht="15" customHeight="1">
      <c r="B1533" s="83">
        <v>248.99615531862537</v>
      </c>
      <c r="C1533" s="83">
        <v>249.32965712647831</v>
      </c>
      <c r="D1533" s="83">
        <v>246.77280993293934</v>
      </c>
      <c r="E1533" s="83">
        <v>247.83816293024722</v>
      </c>
      <c r="F1533" s="83">
        <v>3461762.8235142604</v>
      </c>
      <c r="G1533" s="83" t="s">
        <v>698</v>
      </c>
      <c r="H1533" s="84">
        <f t="shared" si="43"/>
        <v>4.672373191791479E-3</v>
      </c>
      <c r="J1533" s="83">
        <v>69.008300200022163</v>
      </c>
      <c r="K1533" s="83">
        <v>69.524730430492596</v>
      </c>
      <c r="L1533" s="83">
        <v>68.367608605145961</v>
      </c>
      <c r="M1533" s="83">
        <v>68.747848380227666</v>
      </c>
      <c r="N1533" s="83">
        <v>27926379.342399463</v>
      </c>
      <c r="O1533" s="83" t="s">
        <v>698</v>
      </c>
      <c r="P1533" s="84">
        <f t="shared" si="44"/>
        <v>3.7885086723588035E-3</v>
      </c>
    </row>
    <row r="1534" spans="2:16" ht="15" customHeight="1">
      <c r="B1534" s="83">
        <v>244.90149423332025</v>
      </c>
      <c r="C1534" s="83">
        <v>246.69869842008316</v>
      </c>
      <c r="D1534" s="83">
        <v>244.47535303439705</v>
      </c>
      <c r="E1534" s="83">
        <v>244.98486968528346</v>
      </c>
      <c r="F1534" s="83">
        <v>3681164.0929438751</v>
      </c>
      <c r="G1534" s="83" t="s">
        <v>697</v>
      </c>
      <c r="H1534" s="84">
        <f t="shared" si="43"/>
        <v>-3.4032898468505657E-4</v>
      </c>
      <c r="J1534" s="83">
        <v>68.222476301974581</v>
      </c>
      <c r="K1534" s="83">
        <v>68.472982242162061</v>
      </c>
      <c r="L1534" s="83">
        <v>67.363079735289617</v>
      </c>
      <c r="M1534" s="83">
        <v>67.893422268118925</v>
      </c>
      <c r="N1534" s="83">
        <v>28161589.21748627</v>
      </c>
      <c r="O1534" s="83" t="s">
        <v>697</v>
      </c>
      <c r="P1534" s="84">
        <f t="shared" si="44"/>
        <v>4.8466261216908446E-3</v>
      </c>
    </row>
    <row r="1535" spans="2:16" ht="15" customHeight="1">
      <c r="B1535" s="83">
        <v>242.0389370492494</v>
      </c>
      <c r="C1535" s="83">
        <v>245.59165769679365</v>
      </c>
      <c r="D1535" s="83">
        <v>241.91850584085807</v>
      </c>
      <c r="E1535" s="83">
        <v>245.2257321020661</v>
      </c>
      <c r="F1535" s="83">
        <v>3261479.7712872704</v>
      </c>
      <c r="G1535" s="83" t="s">
        <v>696</v>
      </c>
      <c r="H1535" s="84">
        <f t="shared" si="43"/>
        <v>-1.2995353405613752E-2</v>
      </c>
      <c r="J1535" s="83">
        <v>66.966934505563984</v>
      </c>
      <c r="K1535" s="83">
        <v>68.150891815167697</v>
      </c>
      <c r="L1535" s="83">
        <v>66.966437460106363</v>
      </c>
      <c r="M1535" s="83">
        <v>67.682177948629089</v>
      </c>
      <c r="N1535" s="83">
        <v>24452954.581099186</v>
      </c>
      <c r="O1535" s="83" t="s">
        <v>696</v>
      </c>
      <c r="P1535" s="84">
        <f t="shared" si="44"/>
        <v>-1.0567677706943446E-2</v>
      </c>
    </row>
    <row r="1536" spans="2:16" ht="15" customHeight="1">
      <c r="B1536" s="83">
        <v>243.67865427119293</v>
      </c>
      <c r="C1536" s="83">
        <v>246.2447654038389</v>
      </c>
      <c r="D1536" s="83">
        <v>243.27104095048381</v>
      </c>
      <c r="E1536" s="83">
        <v>244.05847577458093</v>
      </c>
      <c r="F1536" s="83">
        <v>4789711.9667324824</v>
      </c>
      <c r="G1536" s="83" t="s">
        <v>695</v>
      </c>
      <c r="H1536" s="84">
        <f t="shared" si="43"/>
        <v>-1.5562725374832498E-3</v>
      </c>
      <c r="J1536" s="83">
        <v>67.156308824918398</v>
      </c>
      <c r="K1536" s="83">
        <v>68.291058634217421</v>
      </c>
      <c r="L1536" s="83">
        <v>66.477841775262831</v>
      </c>
      <c r="M1536" s="83">
        <v>66.500705866313496</v>
      </c>
      <c r="N1536" s="83">
        <v>33227001.166002683</v>
      </c>
      <c r="O1536" s="83" t="s">
        <v>695</v>
      </c>
      <c r="P1536" s="84">
        <f t="shared" si="44"/>
        <v>9.8585864625686526E-3</v>
      </c>
    </row>
    <row r="1537" spans="2:16" ht="15" customHeight="1">
      <c r="B1537" s="83">
        <v>241.45530888550681</v>
      </c>
      <c r="C1537" s="83">
        <v>241.69617130228946</v>
      </c>
      <c r="D1537" s="83">
        <v>237.64782991251943</v>
      </c>
      <c r="E1537" s="83">
        <v>238.93551744839598</v>
      </c>
      <c r="F1537" s="83">
        <v>4456969.0628351122</v>
      </c>
      <c r="G1537" s="83" t="s">
        <v>694</v>
      </c>
      <c r="H1537" s="84">
        <f t="shared" si="43"/>
        <v>1.0545905707195713E-2</v>
      </c>
      <c r="J1537" s="83">
        <v>65.947991317436575</v>
      </c>
      <c r="K1537" s="83">
        <v>65.990737226792163</v>
      </c>
      <c r="L1537" s="83">
        <v>64.56620494524428</v>
      </c>
      <c r="M1537" s="83">
        <v>65.024977902630425</v>
      </c>
      <c r="N1537" s="83">
        <v>30259143.845559161</v>
      </c>
      <c r="O1537" s="83" t="s">
        <v>694</v>
      </c>
      <c r="P1537" s="84">
        <f t="shared" si="44"/>
        <v>1.4194751687394369E-2</v>
      </c>
    </row>
    <row r="1538" spans="2:16" ht="15" customHeight="1">
      <c r="B1538" s="83">
        <v>240.69566587873075</v>
      </c>
      <c r="C1538" s="83">
        <v>243.50263942815943</v>
      </c>
      <c r="D1538" s="83">
        <v>239.69516045517204</v>
      </c>
      <c r="E1538" s="83">
        <v>242.8448997515606</v>
      </c>
      <c r="F1538" s="83">
        <v>5171292.6268772893</v>
      </c>
      <c r="G1538" s="83" t="s">
        <v>693</v>
      </c>
      <c r="H1538" s="84">
        <f t="shared" si="43"/>
        <v>-8.8502327000838932E-3</v>
      </c>
      <c r="J1538" s="83">
        <v>65.640320179167858</v>
      </c>
      <c r="K1538" s="83">
        <v>67.204000336577337</v>
      </c>
      <c r="L1538" s="83">
        <v>65.162659494392031</v>
      </c>
      <c r="M1538" s="83">
        <v>66.032489045232509</v>
      </c>
      <c r="N1538" s="83">
        <v>41699184.012491807</v>
      </c>
      <c r="O1538" s="83" t="s">
        <v>693</v>
      </c>
      <c r="P1538" s="84">
        <f t="shared" si="44"/>
        <v>-5.9390289800527185E-3</v>
      </c>
    </row>
    <row r="1539" spans="2:16" ht="15" customHeight="1">
      <c r="B1539" s="83">
        <v>247.43981354864519</v>
      </c>
      <c r="C1539" s="83">
        <v>248.8108765364849</v>
      </c>
      <c r="D1539" s="83">
        <v>245.70745693563146</v>
      </c>
      <c r="E1539" s="83">
        <v>248.34767958113363</v>
      </c>
      <c r="F1539" s="83">
        <v>7973469.9404472727</v>
      </c>
      <c r="G1539" s="83" t="s">
        <v>692</v>
      </c>
      <c r="H1539" s="84">
        <f t="shared" si="43"/>
        <v>-3.6556251865113021E-3</v>
      </c>
      <c r="J1539" s="83">
        <v>67.034532687800734</v>
      </c>
      <c r="K1539" s="83">
        <v>67.24129862771737</v>
      </c>
      <c r="L1539" s="83">
        <v>65.733764725201013</v>
      </c>
      <c r="M1539" s="83">
        <v>65.852558589572936</v>
      </c>
      <c r="N1539" s="83">
        <v>53695410.732907884</v>
      </c>
      <c r="O1539" s="83" t="s">
        <v>692</v>
      </c>
      <c r="P1539" s="84">
        <f t="shared" si="44"/>
        <v>1.7948795362598968E-2</v>
      </c>
    </row>
    <row r="1540" spans="2:16" ht="15" customHeight="1">
      <c r="B1540" s="83">
        <v>249.6168392387961</v>
      </c>
      <c r="C1540" s="83">
        <v>251.05274980038502</v>
      </c>
      <c r="D1540" s="83">
        <v>247.26379870561169</v>
      </c>
      <c r="E1540" s="83">
        <v>248.2550401900634</v>
      </c>
      <c r="F1540" s="83">
        <v>7311279.7069916222</v>
      </c>
      <c r="G1540" s="83" t="s">
        <v>691</v>
      </c>
      <c r="H1540" s="84">
        <f t="shared" si="43"/>
        <v>5.4854839913425213E-3</v>
      </c>
      <c r="J1540" s="83">
        <v>66.677654049227328</v>
      </c>
      <c r="K1540" s="83">
        <v>67.597685191287738</v>
      </c>
      <c r="L1540" s="83">
        <v>65.875422680623601</v>
      </c>
      <c r="M1540" s="83">
        <v>66.676659958312086</v>
      </c>
      <c r="N1540" s="83">
        <v>76323602.636691347</v>
      </c>
      <c r="O1540" s="83" t="s">
        <v>691</v>
      </c>
      <c r="P1540" s="84">
        <f t="shared" si="44"/>
        <v>1.4909128859486032E-5</v>
      </c>
    </row>
    <row r="1541" spans="2:16" ht="15" customHeight="1">
      <c r="B1541" s="83">
        <v>243.34515246333999</v>
      </c>
      <c r="C1541" s="83">
        <v>248.07902534702993</v>
      </c>
      <c r="D1541" s="83">
        <v>242.99312277727304</v>
      </c>
      <c r="E1541" s="83">
        <v>247.79184323471213</v>
      </c>
      <c r="F1541" s="83">
        <v>6314291.2884261459</v>
      </c>
      <c r="G1541" s="83" t="s">
        <v>690</v>
      </c>
      <c r="H1541" s="84">
        <f t="shared" si="43"/>
        <v>-1.794526693584575E-2</v>
      </c>
      <c r="J1541" s="83">
        <v>61.31900697059239</v>
      </c>
      <c r="K1541" s="83">
        <v>64.021940169146959</v>
      </c>
      <c r="L1541" s="83">
        <v>61.245941288321788</v>
      </c>
      <c r="M1541" s="83">
        <v>64.015980594110061</v>
      </c>
      <c r="N1541" s="83">
        <v>59377043.985336177</v>
      </c>
      <c r="O1541" s="83" t="s">
        <v>690</v>
      </c>
      <c r="P1541" s="84">
        <f t="shared" si="44"/>
        <v>-4.2129693218599384E-2</v>
      </c>
    </row>
    <row r="1542" spans="2:16" ht="15" customHeight="1">
      <c r="B1542" s="83">
        <v>244.47535303439705</v>
      </c>
      <c r="C1542" s="83">
        <v>245.41101088420666</v>
      </c>
      <c r="D1542" s="83">
        <v>242.31685522246016</v>
      </c>
      <c r="E1542" s="83">
        <v>242.72446854316928</v>
      </c>
      <c r="F1542" s="83">
        <v>4201469.7582029132</v>
      </c>
      <c r="G1542" s="83" t="s">
        <v>689</v>
      </c>
      <c r="H1542" s="84">
        <f t="shared" si="43"/>
        <v>7.2134651349184953E-3</v>
      </c>
      <c r="J1542" s="83">
        <v>63.417035847219616</v>
      </c>
      <c r="K1542" s="83">
        <v>64.424546989821692</v>
      </c>
      <c r="L1542" s="83">
        <v>63.075068572374896</v>
      </c>
      <c r="M1542" s="83">
        <v>64.417091307957349</v>
      </c>
      <c r="N1542" s="83">
        <v>32201541.638744581</v>
      </c>
      <c r="O1542" s="83" t="s">
        <v>689</v>
      </c>
      <c r="P1542" s="84">
        <f t="shared" si="44"/>
        <v>-1.55246913580247E-2</v>
      </c>
    </row>
    <row r="1543" spans="2:16" ht="15" customHeight="1">
      <c r="B1543" s="83">
        <v>240.99211193015554</v>
      </c>
      <c r="C1543" s="83">
        <v>241.51089252014899</v>
      </c>
      <c r="D1543" s="83">
        <v>237.10125750520496</v>
      </c>
      <c r="E1543" s="83">
        <v>239.00962896125216</v>
      </c>
      <c r="F1543" s="83">
        <v>5149208.0689331591</v>
      </c>
      <c r="G1543" s="83" t="s">
        <v>688</v>
      </c>
      <c r="H1543" s="84">
        <f t="shared" si="43"/>
        <v>8.2945736434107964E-3</v>
      </c>
      <c r="J1543" s="83">
        <v>63.587527409638916</v>
      </c>
      <c r="K1543" s="83">
        <v>63.641700394065268</v>
      </c>
      <c r="L1543" s="83">
        <v>62.103344702721685</v>
      </c>
      <c r="M1543" s="83">
        <v>62.685881979055992</v>
      </c>
      <c r="N1543" s="83">
        <v>33002896.914989773</v>
      </c>
      <c r="O1543" s="83" t="s">
        <v>688</v>
      </c>
      <c r="P1543" s="84">
        <f t="shared" si="44"/>
        <v>1.4383548609624208E-2</v>
      </c>
    </row>
    <row r="1544" spans="2:16" ht="15" customHeight="1">
      <c r="B1544" s="83">
        <v>237.54592658234219</v>
      </c>
      <c r="C1544" s="83">
        <v>241.69607866289843</v>
      </c>
      <c r="D1544" s="83">
        <v>237.3421199219876</v>
      </c>
      <c r="E1544" s="83">
        <v>238.77803048357652</v>
      </c>
      <c r="F1544" s="83">
        <v>8274425.0706343558</v>
      </c>
      <c r="G1544" s="83" t="s">
        <v>687</v>
      </c>
      <c r="H1544" s="84">
        <f t="shared" si="43"/>
        <v>-5.1600387972839945E-3</v>
      </c>
      <c r="J1544" s="83">
        <v>63.438413772351979</v>
      </c>
      <c r="K1544" s="83">
        <v>64.283391050311295</v>
      </c>
      <c r="L1544" s="83">
        <v>62.909552434986402</v>
      </c>
      <c r="M1544" s="83">
        <v>63.20181516406879</v>
      </c>
      <c r="N1544" s="83">
        <v>31510256.777912948</v>
      </c>
      <c r="O1544" s="83" t="s">
        <v>687</v>
      </c>
      <c r="P1544" s="84">
        <f t="shared" si="44"/>
        <v>3.7435413471746948E-3</v>
      </c>
    </row>
    <row r="1545" spans="2:16" ht="15" customHeight="1">
      <c r="B1545" s="83">
        <v>237.59224627787731</v>
      </c>
      <c r="C1545" s="83">
        <v>239.22269956071375</v>
      </c>
      <c r="D1545" s="83">
        <v>235.74409042602574</v>
      </c>
      <c r="E1545" s="83">
        <v>236.99935417502769</v>
      </c>
      <c r="F1545" s="83">
        <v>6081818.9054452591</v>
      </c>
      <c r="G1545" s="83" t="s">
        <v>686</v>
      </c>
      <c r="H1545" s="84">
        <f t="shared" si="43"/>
        <v>2.5016612594301879E-3</v>
      </c>
      <c r="J1545" s="83">
        <v>62.787279252411111</v>
      </c>
      <c r="K1545" s="83">
        <v>63.900825102487929</v>
      </c>
      <c r="L1545" s="83">
        <v>61.733045836792456</v>
      </c>
      <c r="M1545" s="83">
        <v>61.90899992879104</v>
      </c>
      <c r="N1545" s="83">
        <v>42111641.257308729</v>
      </c>
      <c r="O1545" s="83" t="s">
        <v>686</v>
      </c>
      <c r="P1545" s="84">
        <f t="shared" si="44"/>
        <v>1.4186617852497863E-2</v>
      </c>
    </row>
    <row r="1546" spans="2:16" ht="15" customHeight="1">
      <c r="B1546" s="83">
        <v>232.47855189079934</v>
      </c>
      <c r="C1546" s="83">
        <v>236.68438024538881</v>
      </c>
      <c r="D1546" s="83">
        <v>231.59847767563193</v>
      </c>
      <c r="E1546" s="83">
        <v>235.53565179611769</v>
      </c>
      <c r="F1546" s="83">
        <v>7044585.3805871662</v>
      </c>
      <c r="G1546" s="83" t="s">
        <v>685</v>
      </c>
      <c r="H1546" s="84">
        <f t="shared" si="43"/>
        <v>-1.2979351032448405E-2</v>
      </c>
      <c r="J1546" s="83">
        <v>60.457627192531504</v>
      </c>
      <c r="K1546" s="83">
        <v>62.34292061329603</v>
      </c>
      <c r="L1546" s="83">
        <v>60.128086054127373</v>
      </c>
      <c r="M1546" s="83">
        <v>61.981568565604015</v>
      </c>
      <c r="N1546" s="83">
        <v>43316018.02168487</v>
      </c>
      <c r="O1546" s="83" t="s">
        <v>685</v>
      </c>
      <c r="P1546" s="84">
        <f t="shared" si="44"/>
        <v>-2.4587008821170819E-2</v>
      </c>
    </row>
    <row r="1547" spans="2:16" ht="15" customHeight="1">
      <c r="B1547" s="83">
        <v>239.80632772445634</v>
      </c>
      <c r="C1547" s="83">
        <v>243.73423790583507</v>
      </c>
      <c r="D1547" s="83">
        <v>239.5469374294596</v>
      </c>
      <c r="E1547" s="83">
        <v>240.53817891391131</v>
      </c>
      <c r="F1547" s="83">
        <v>7015064.4611553224</v>
      </c>
      <c r="G1547" s="83" t="s">
        <v>684</v>
      </c>
      <c r="H1547" s="84">
        <f t="shared" si="43"/>
        <v>-3.0425572886576546E-3</v>
      </c>
      <c r="J1547" s="83">
        <v>62.956274708002965</v>
      </c>
      <c r="K1547" s="83">
        <v>63.701345848980033</v>
      </c>
      <c r="L1547" s="83">
        <v>62.695822888208447</v>
      </c>
      <c r="M1547" s="83">
        <v>63.174477663899523</v>
      </c>
      <c r="N1547" s="83">
        <v>34111326.720655024</v>
      </c>
      <c r="O1547" s="83" t="s">
        <v>684</v>
      </c>
      <c r="P1547" s="84">
        <f t="shared" si="44"/>
        <v>-3.4539732494099917E-3</v>
      </c>
    </row>
    <row r="1548" spans="2:16" ht="15" customHeight="1">
      <c r="B1548" s="83">
        <v>244.20669880029334</v>
      </c>
      <c r="C1548" s="83">
        <v>244.56799242546734</v>
      </c>
      <c r="D1548" s="83">
        <v>240.39921982730596</v>
      </c>
      <c r="E1548" s="83">
        <v>243.00238671638004</v>
      </c>
      <c r="F1548" s="83">
        <v>7274216.6395390714</v>
      </c>
      <c r="G1548" s="83" t="s">
        <v>683</v>
      </c>
      <c r="H1548" s="84">
        <f t="shared" si="43"/>
        <v>4.95596812931276E-3</v>
      </c>
      <c r="J1548" s="83">
        <v>63.783358349487855</v>
      </c>
      <c r="K1548" s="83">
        <v>64.339060141565085</v>
      </c>
      <c r="L1548" s="83">
        <v>63.185909709424855</v>
      </c>
      <c r="M1548" s="83">
        <v>63.862885622707552</v>
      </c>
      <c r="N1548" s="83">
        <v>39212550.283032916</v>
      </c>
      <c r="O1548" s="83" t="s">
        <v>683</v>
      </c>
      <c r="P1548" s="84">
        <f t="shared" si="44"/>
        <v>-1.2452815503755099E-3</v>
      </c>
    </row>
    <row r="1549" spans="2:16" ht="15" customHeight="1">
      <c r="B1549" s="83">
        <v>237.64782991251943</v>
      </c>
      <c r="C1549" s="83">
        <v>238.36106058436931</v>
      </c>
      <c r="D1549" s="83">
        <v>234.74821697202054</v>
      </c>
      <c r="E1549" s="83">
        <v>237.63300760994821</v>
      </c>
      <c r="F1549" s="83">
        <v>6655581.3124076659</v>
      </c>
      <c r="G1549" s="83" t="s">
        <v>682</v>
      </c>
      <c r="H1549" s="84">
        <f t="shared" si="43"/>
        <v>6.2374763170724989E-5</v>
      </c>
      <c r="J1549" s="83">
        <v>62.800202434309313</v>
      </c>
      <c r="K1549" s="83">
        <v>63.572114029998026</v>
      </c>
      <c r="L1549" s="83">
        <v>61.763862655165084</v>
      </c>
      <c r="M1549" s="83">
        <v>63.328561755762685</v>
      </c>
      <c r="N1549" s="83">
        <v>50661342.164589018</v>
      </c>
      <c r="O1549" s="83" t="s">
        <v>682</v>
      </c>
      <c r="P1549" s="84">
        <f t="shared" si="44"/>
        <v>-8.3431441802054307E-3</v>
      </c>
    </row>
    <row r="1550" spans="2:16" ht="15" customHeight="1">
      <c r="B1550" s="83">
        <v>236.45278176771319</v>
      </c>
      <c r="C1550" s="83">
        <v>237.99059565947937</v>
      </c>
      <c r="D1550" s="83">
        <v>234.47956273791681</v>
      </c>
      <c r="E1550" s="83">
        <v>236.30455874200078</v>
      </c>
      <c r="F1550" s="83">
        <v>5277291.8123917244</v>
      </c>
      <c r="G1550" s="83" t="s">
        <v>681</v>
      </c>
      <c r="H1550" s="84">
        <f t="shared" si="43"/>
        <v>6.2725419476250543E-4</v>
      </c>
      <c r="J1550" s="83">
        <v>62.750497888546995</v>
      </c>
      <c r="K1550" s="83">
        <v>63.644682666811001</v>
      </c>
      <c r="L1550" s="83">
        <v>61.65351856357276</v>
      </c>
      <c r="M1550" s="83">
        <v>61.912479246994394</v>
      </c>
      <c r="N1550" s="83">
        <v>33632799.060152106</v>
      </c>
      <c r="O1550" s="83" t="s">
        <v>681</v>
      </c>
      <c r="P1550" s="84">
        <f t="shared" si="44"/>
        <v>1.3535536805260096E-2</v>
      </c>
    </row>
    <row r="1551" spans="2:16" ht="15" customHeight="1">
      <c r="B1551" s="83">
        <v>241.71469918050354</v>
      </c>
      <c r="C1551" s="83">
        <v>242.37243885710234</v>
      </c>
      <c r="D1551" s="83">
        <v>238.27777777179713</v>
      </c>
      <c r="E1551" s="83">
        <v>239.23196349982078</v>
      </c>
      <c r="F1551" s="83">
        <v>7157991.7823200198</v>
      </c>
      <c r="G1551" s="83" t="s">
        <v>680</v>
      </c>
      <c r="H1551" s="84">
        <f t="shared" si="43"/>
        <v>1.0377942998760714E-2</v>
      </c>
      <c r="J1551" s="83">
        <v>63.086500617900228</v>
      </c>
      <c r="K1551" s="83">
        <v>63.724702015033749</v>
      </c>
      <c r="L1551" s="83">
        <v>61.481048760232106</v>
      </c>
      <c r="M1551" s="83">
        <v>61.886632883197997</v>
      </c>
      <c r="N1551" s="83">
        <v>49700745.919965409</v>
      </c>
      <c r="O1551" s="83" t="s">
        <v>680</v>
      </c>
      <c r="P1551" s="84">
        <f t="shared" si="44"/>
        <v>1.9388156679436941E-2</v>
      </c>
    </row>
    <row r="1552" spans="2:16" ht="15" customHeight="1">
      <c r="B1552" s="83">
        <v>234.55367425077299</v>
      </c>
      <c r="C1552" s="83">
        <v>236.18292322152553</v>
      </c>
      <c r="D1552" s="83">
        <v>231.02096371169998</v>
      </c>
      <c r="E1552" s="83">
        <v>235.89694542129166</v>
      </c>
      <c r="F1552" s="83">
        <v>8275492.651054061</v>
      </c>
      <c r="G1552" s="83" t="s">
        <v>679</v>
      </c>
      <c r="H1552" s="84">
        <f t="shared" si="43"/>
        <v>-5.6943135406849477E-3</v>
      </c>
      <c r="J1552" s="83">
        <v>60.518271708816101</v>
      </c>
      <c r="K1552" s="83">
        <v>60.664895148360351</v>
      </c>
      <c r="L1552" s="83">
        <v>59.029039020049424</v>
      </c>
      <c r="M1552" s="83">
        <v>60.101747615327923</v>
      </c>
      <c r="N1552" s="83">
        <v>35003398.045721225</v>
      </c>
      <c r="O1552" s="83" t="s">
        <v>679</v>
      </c>
      <c r="P1552" s="84">
        <f t="shared" si="44"/>
        <v>6.9303158396336606E-3</v>
      </c>
    </row>
    <row r="1553" spans="2:16" ht="15" customHeight="1">
      <c r="B1553" s="83">
        <v>236.85113114931525</v>
      </c>
      <c r="C1553" s="83">
        <v>239.37082994703508</v>
      </c>
      <c r="D1553" s="83">
        <v>234.50735455523787</v>
      </c>
      <c r="E1553" s="83">
        <v>236.3416144984289</v>
      </c>
      <c r="F1553" s="83">
        <v>9512795.6889494192</v>
      </c>
      <c r="G1553" s="83" t="s">
        <v>678</v>
      </c>
      <c r="H1553" s="84">
        <f t="shared" si="43"/>
        <v>2.1558482282846292E-3</v>
      </c>
      <c r="J1553" s="83">
        <v>60.214571963753798</v>
      </c>
      <c r="K1553" s="83">
        <v>60.916395179463073</v>
      </c>
      <c r="L1553" s="83">
        <v>59.483174543315947</v>
      </c>
      <c r="M1553" s="83">
        <v>60.842340376731805</v>
      </c>
      <c r="N1553" s="83">
        <v>43767043.167497545</v>
      </c>
      <c r="O1553" s="83" t="s">
        <v>678</v>
      </c>
      <c r="P1553" s="84">
        <f t="shared" si="44"/>
        <v>-1.0317953074962416E-2</v>
      </c>
    </row>
    <row r="1554" spans="2:16" ht="15" customHeight="1">
      <c r="B1554" s="83">
        <v>233.38641792328781</v>
      </c>
      <c r="C1554" s="83">
        <v>234.42397910327466</v>
      </c>
      <c r="D1554" s="83">
        <v>226.0864339069519</v>
      </c>
      <c r="E1554" s="83">
        <v>228.11523657139045</v>
      </c>
      <c r="F1554" s="83">
        <v>7511473.1645018924</v>
      </c>
      <c r="G1554" s="83" t="s">
        <v>677</v>
      </c>
      <c r="H1554" s="84">
        <f t="shared" si="43"/>
        <v>2.3107537361923169E-2</v>
      </c>
      <c r="J1554" s="83">
        <v>60.156417645211889</v>
      </c>
      <c r="K1554" s="83">
        <v>60.593315632008043</v>
      </c>
      <c r="L1554" s="83">
        <v>59.056953092949541</v>
      </c>
      <c r="M1554" s="83">
        <v>59.968534462230352</v>
      </c>
      <c r="N1554" s="83">
        <v>39737512.328250609</v>
      </c>
      <c r="O1554" s="83" t="s">
        <v>677</v>
      </c>
      <c r="P1554" s="84">
        <f t="shared" si="44"/>
        <v>3.1330294239535483E-3</v>
      </c>
    </row>
    <row r="1555" spans="2:16" ht="15" customHeight="1">
      <c r="B1555" s="83">
        <v>225.7251402817779</v>
      </c>
      <c r="C1555" s="83">
        <v>234.19238062559901</v>
      </c>
      <c r="D1555" s="83">
        <v>225.53522953008391</v>
      </c>
      <c r="E1555" s="83">
        <v>233.37715398418078</v>
      </c>
      <c r="F1555" s="83">
        <v>13964453.836046465</v>
      </c>
      <c r="G1555" s="83" t="s">
        <v>676</v>
      </c>
      <c r="H1555" s="84">
        <f t="shared" si="43"/>
        <v>-3.2788186725944746E-2</v>
      </c>
      <c r="J1555" s="83">
        <v>58.974940592441719</v>
      </c>
      <c r="K1555" s="83">
        <v>60.888068558833133</v>
      </c>
      <c r="L1555" s="83">
        <v>58.76220513657902</v>
      </c>
      <c r="M1555" s="83">
        <v>60.689250375783885</v>
      </c>
      <c r="N1555" s="83">
        <v>48030395.678822055</v>
      </c>
      <c r="O1555" s="83" t="s">
        <v>676</v>
      </c>
      <c r="P1555" s="84">
        <f t="shared" si="44"/>
        <v>-2.8247338247338272E-2</v>
      </c>
    </row>
    <row r="1556" spans="2:16" ht="15" customHeight="1">
      <c r="B1556" s="83">
        <v>225.60470907338657</v>
      </c>
      <c r="C1556" s="83">
        <v>227.24442629533007</v>
      </c>
      <c r="D1556" s="83">
        <v>218.56411535204737</v>
      </c>
      <c r="E1556" s="83">
        <v>219.51830108007098</v>
      </c>
      <c r="F1556" s="83">
        <v>8229799.3455271497</v>
      </c>
      <c r="G1556" s="83" t="s">
        <v>675</v>
      </c>
      <c r="H1556" s="84">
        <f t="shared" si="43"/>
        <v>2.7726198514517186E-2</v>
      </c>
      <c r="J1556" s="83">
        <v>58.995319456204271</v>
      </c>
      <c r="K1556" s="83">
        <v>59.380032640404572</v>
      </c>
      <c r="L1556" s="83">
        <v>56.212854013975424</v>
      </c>
      <c r="M1556" s="83">
        <v>56.563773077511925</v>
      </c>
      <c r="N1556" s="83">
        <v>53611253.440333419</v>
      </c>
      <c r="O1556" s="83" t="s">
        <v>675</v>
      </c>
      <c r="P1556" s="84">
        <f t="shared" si="44"/>
        <v>4.2987697715290096E-2</v>
      </c>
    </row>
    <row r="1557" spans="2:16" ht="15" customHeight="1">
      <c r="B1557" s="83">
        <v>211.23633951839039</v>
      </c>
      <c r="C1557" s="83">
        <v>215.58112695958525</v>
      </c>
      <c r="D1557" s="83">
        <v>208.75471551040044</v>
      </c>
      <c r="E1557" s="83">
        <v>213.46894884318348</v>
      </c>
      <c r="F1557" s="83">
        <v>5926379.6281179721</v>
      </c>
      <c r="G1557" s="83" t="s">
        <v>674</v>
      </c>
      <c r="H1557" s="84">
        <f t="shared" si="43"/>
        <v>-1.0458707633554609E-2</v>
      </c>
      <c r="J1557" s="83">
        <v>54.569626701527945</v>
      </c>
      <c r="K1557" s="83">
        <v>55.845045345788883</v>
      </c>
      <c r="L1557" s="83">
        <v>53.671465559602943</v>
      </c>
      <c r="M1557" s="83">
        <v>55.62013227621442</v>
      </c>
      <c r="N1557" s="83">
        <v>46543026.689403489</v>
      </c>
      <c r="O1557" s="83" t="s">
        <v>674</v>
      </c>
      <c r="P1557" s="84">
        <f t="shared" si="44"/>
        <v>-1.888714628490229E-2</v>
      </c>
    </row>
    <row r="1558" spans="2:16" ht="15" customHeight="1">
      <c r="B1558" s="83">
        <v>214.40460669299301</v>
      </c>
      <c r="C1558" s="83">
        <v>215.0901381869129</v>
      </c>
      <c r="D1558" s="83">
        <v>208.17923961307204</v>
      </c>
      <c r="E1558" s="83">
        <v>208.74850867119872</v>
      </c>
      <c r="F1558" s="83">
        <v>7067197.7917418489</v>
      </c>
      <c r="G1558" s="83" t="s">
        <v>673</v>
      </c>
      <c r="H1558" s="84">
        <f t="shared" si="43"/>
        <v>2.7095273915001883E-2</v>
      </c>
      <c r="J1558" s="83">
        <v>55.710843072230638</v>
      </c>
      <c r="K1558" s="83">
        <v>56.010064437719755</v>
      </c>
      <c r="L1558" s="83">
        <v>54.496063973799721</v>
      </c>
      <c r="M1558" s="83">
        <v>54.588514428917613</v>
      </c>
      <c r="N1558" s="83">
        <v>39531213.289747477</v>
      </c>
      <c r="O1558" s="83" t="s">
        <v>673</v>
      </c>
      <c r="P1558" s="84">
        <f t="shared" si="44"/>
        <v>2.0559794584160462E-2</v>
      </c>
    </row>
    <row r="1559" spans="2:16" ht="15" customHeight="1">
      <c r="B1559" s="83">
        <v>209.50398290537666</v>
      </c>
      <c r="C1559" s="83">
        <v>214.04331306781904</v>
      </c>
      <c r="D1559" s="83">
        <v>207.63266720575754</v>
      </c>
      <c r="E1559" s="83">
        <v>211.1437001273201</v>
      </c>
      <c r="F1559" s="83">
        <v>14799472.2780539</v>
      </c>
      <c r="G1559" s="83" t="s">
        <v>672</v>
      </c>
      <c r="H1559" s="84">
        <f t="shared" si="43"/>
        <v>-7.7658827658826368E-3</v>
      </c>
      <c r="J1559" s="83">
        <v>54.954339885728231</v>
      </c>
      <c r="K1559" s="83">
        <v>56.150728302227108</v>
      </c>
      <c r="L1559" s="83">
        <v>54.548253746850143</v>
      </c>
      <c r="M1559" s="83">
        <v>55.768500345314919</v>
      </c>
      <c r="N1559" s="83">
        <v>47162145.112638988</v>
      </c>
      <c r="O1559" s="83" t="s">
        <v>672</v>
      </c>
      <c r="P1559" s="84">
        <f t="shared" si="44"/>
        <v>-1.4598930481283467E-2</v>
      </c>
    </row>
    <row r="1560" spans="2:16" ht="15" customHeight="1">
      <c r="B1560" s="83">
        <v>219.3886059325726</v>
      </c>
      <c r="C1560" s="83">
        <v>224.13174275536957</v>
      </c>
      <c r="D1560" s="83">
        <v>218.11018233580313</v>
      </c>
      <c r="E1560" s="83">
        <v>221.82502191772025</v>
      </c>
      <c r="F1560" s="83">
        <v>11211532.027583804</v>
      </c>
      <c r="G1560" s="83" t="s">
        <v>671</v>
      </c>
      <c r="H1560" s="84">
        <f t="shared" si="43"/>
        <v>-1.0983503863019384E-2</v>
      </c>
      <c r="J1560" s="83">
        <v>57.796942857874903</v>
      </c>
      <c r="K1560" s="83">
        <v>58.418249679903809</v>
      </c>
      <c r="L1560" s="83">
        <v>56.570731713918654</v>
      </c>
      <c r="M1560" s="83">
        <v>57.026025353101431</v>
      </c>
      <c r="N1560" s="83">
        <v>50055441.848267555</v>
      </c>
      <c r="O1560" s="83" t="s">
        <v>671</v>
      </c>
      <c r="P1560" s="84">
        <f t="shared" si="44"/>
        <v>1.3518696069031666E-2</v>
      </c>
    </row>
    <row r="1561" spans="2:16" ht="15" customHeight="1">
      <c r="B1561" s="83">
        <v>222.69583219378063</v>
      </c>
      <c r="C1561" s="83">
        <v>223.35357187037943</v>
      </c>
      <c r="D1561" s="83">
        <v>215.8219893763679</v>
      </c>
      <c r="E1561" s="83">
        <v>217.62845750223781</v>
      </c>
      <c r="F1561" s="83">
        <v>9421311.9269979522</v>
      </c>
      <c r="G1561" s="83" t="s">
        <v>670</v>
      </c>
      <c r="H1561" s="84">
        <f t="shared" si="43"/>
        <v>2.3284522390601081E-2</v>
      </c>
      <c r="J1561" s="83">
        <v>57.002167171135518</v>
      </c>
      <c r="K1561" s="83">
        <v>57.241246036252257</v>
      </c>
      <c r="L1561" s="83">
        <v>54.500040337460703</v>
      </c>
      <c r="M1561" s="83">
        <v>55.919602164432348</v>
      </c>
      <c r="N1561" s="83">
        <v>51787235.161732785</v>
      </c>
      <c r="O1561" s="83" t="s">
        <v>670</v>
      </c>
      <c r="P1561" s="84">
        <f t="shared" si="44"/>
        <v>1.9359311668918355E-2</v>
      </c>
    </row>
    <row r="1562" spans="2:16" ht="15" customHeight="1">
      <c r="B1562" s="83">
        <v>215.72008604619063</v>
      </c>
      <c r="C1562" s="83">
        <v>222.00103676075375</v>
      </c>
      <c r="D1562" s="83">
        <v>213.68294583655575</v>
      </c>
      <c r="E1562" s="83">
        <v>215.57186302047819</v>
      </c>
      <c r="F1562" s="83">
        <v>12058152.445679197</v>
      </c>
      <c r="G1562" s="83" t="s">
        <v>669</v>
      </c>
      <c r="H1562" s="84">
        <f t="shared" si="43"/>
        <v>6.8758057584883403E-4</v>
      </c>
      <c r="J1562" s="83">
        <v>55.207336023658414</v>
      </c>
      <c r="K1562" s="83">
        <v>57.193539613229582</v>
      </c>
      <c r="L1562" s="83">
        <v>54.96875420399931</v>
      </c>
      <c r="M1562" s="83">
        <v>55.950916028262611</v>
      </c>
      <c r="N1562" s="83">
        <v>64551339.335098833</v>
      </c>
      <c r="O1562" s="83" t="s">
        <v>669</v>
      </c>
      <c r="P1562" s="84">
        <f t="shared" si="44"/>
        <v>-1.3289862926079588E-2</v>
      </c>
    </row>
    <row r="1563" spans="2:16" ht="15" customHeight="1">
      <c r="B1563" s="83">
        <v>222.55687310717528</v>
      </c>
      <c r="C1563" s="83">
        <v>223.66854580001831</v>
      </c>
      <c r="D1563" s="83">
        <v>212.00524646427348</v>
      </c>
      <c r="E1563" s="83">
        <v>212.39618469458992</v>
      </c>
      <c r="F1563" s="83">
        <v>13397252.353038523</v>
      </c>
      <c r="G1563" s="83" t="s">
        <v>668</v>
      </c>
      <c r="H1563" s="84">
        <f t="shared" si="43"/>
        <v>4.7838375379462006E-2</v>
      </c>
      <c r="J1563" s="83">
        <v>57.744256039366853</v>
      </c>
      <c r="K1563" s="83">
        <v>58.152827405533067</v>
      </c>
      <c r="L1563" s="83">
        <v>54.353411927461877</v>
      </c>
      <c r="M1563" s="83">
        <v>55.261513978539327</v>
      </c>
      <c r="N1563" s="83">
        <v>71899962.97501044</v>
      </c>
      <c r="O1563" s="83" t="s">
        <v>668</v>
      </c>
      <c r="P1563" s="84">
        <f t="shared" si="44"/>
        <v>4.4927145169994631E-2</v>
      </c>
    </row>
    <row r="1564" spans="2:16" ht="15" customHeight="1">
      <c r="B1564" s="83">
        <v>209.93938804340684</v>
      </c>
      <c r="C1564" s="83">
        <v>218.17502990955231</v>
      </c>
      <c r="D1564" s="83">
        <v>204.1031064059809</v>
      </c>
      <c r="E1564" s="83">
        <v>208.43862990806875</v>
      </c>
      <c r="F1564" s="83">
        <v>12819986.037034294</v>
      </c>
      <c r="G1564" s="83" t="s">
        <v>667</v>
      </c>
      <c r="H1564" s="84">
        <f t="shared" si="43"/>
        <v>7.1999999999998732E-3</v>
      </c>
      <c r="J1564" s="83">
        <v>54.7987646574922</v>
      </c>
      <c r="K1564" s="83">
        <v>57.105552626321142</v>
      </c>
      <c r="L1564" s="83">
        <v>53.979633743329288</v>
      </c>
      <c r="M1564" s="83">
        <v>55.990679664872459</v>
      </c>
      <c r="N1564" s="83">
        <v>82115789.157753795</v>
      </c>
      <c r="O1564" s="83" t="s">
        <v>667</v>
      </c>
      <c r="P1564" s="84">
        <f t="shared" si="44"/>
        <v>-2.1287739575843068E-2</v>
      </c>
    </row>
    <row r="1565" spans="2:16" ht="15" customHeight="1">
      <c r="B1565" s="83">
        <v>207.28063751969057</v>
      </c>
      <c r="C1565" s="83">
        <v>207.79015417057698</v>
      </c>
      <c r="D1565" s="83">
        <v>199.01720383622404</v>
      </c>
      <c r="E1565" s="83">
        <v>200.46237833691995</v>
      </c>
      <c r="F1565" s="83">
        <v>14206452.404268907</v>
      </c>
      <c r="G1565" s="83" t="s">
        <v>666</v>
      </c>
      <c r="H1565" s="84">
        <f t="shared" si="43"/>
        <v>3.4012662322658205E-2</v>
      </c>
      <c r="J1565" s="83">
        <v>56.387818985513341</v>
      </c>
      <c r="K1565" s="83">
        <v>56.414659440224987</v>
      </c>
      <c r="L1565" s="83">
        <v>54.208771699293543</v>
      </c>
      <c r="M1565" s="83">
        <v>54.862386476067961</v>
      </c>
      <c r="N1565" s="83">
        <v>67286602.235400483</v>
      </c>
      <c r="O1565" s="83" t="s">
        <v>666</v>
      </c>
      <c r="P1565" s="84">
        <f t="shared" si="44"/>
        <v>2.7804705690497089E-2</v>
      </c>
    </row>
    <row r="1566" spans="2:16" ht="15" customHeight="1">
      <c r="B1566" s="83">
        <v>189.23448413920536</v>
      </c>
      <c r="C1566" s="83">
        <v>195.26521585848772</v>
      </c>
      <c r="D1566" s="83">
        <v>185.78829879139195</v>
      </c>
      <c r="E1566" s="83">
        <v>194.19995550057089</v>
      </c>
      <c r="F1566" s="83">
        <v>15250696.098904582</v>
      </c>
      <c r="G1566" s="83" t="s">
        <v>665</v>
      </c>
      <c r="H1566" s="84">
        <f t="shared" si="43"/>
        <v>-2.5568859418976242E-2</v>
      </c>
      <c r="J1566" s="83">
        <v>52.51881714337491</v>
      </c>
      <c r="K1566" s="83">
        <v>53.249473966080906</v>
      </c>
      <c r="L1566" s="83">
        <v>50.377351464206008</v>
      </c>
      <c r="M1566" s="83">
        <v>52.752428508457783</v>
      </c>
      <c r="N1566" s="83">
        <v>81363523.958936691</v>
      </c>
      <c r="O1566" s="83" t="s">
        <v>665</v>
      </c>
      <c r="P1566" s="84">
        <f t="shared" si="44"/>
        <v>-4.4284475935627565E-3</v>
      </c>
    </row>
    <row r="1567" spans="2:16" ht="15" customHeight="1">
      <c r="B1567" s="83">
        <v>195.22825274145072</v>
      </c>
      <c r="C1567" s="83">
        <v>208.03379576909174</v>
      </c>
      <c r="D1567" s="83">
        <v>194.58904094306595</v>
      </c>
      <c r="E1567" s="83">
        <v>206.40056330452319</v>
      </c>
      <c r="F1567" s="83">
        <v>12449612.272660343</v>
      </c>
      <c r="G1567" s="83" t="s">
        <v>664</v>
      </c>
      <c r="H1567" s="84">
        <f t="shared" si="43"/>
        <v>-5.4129263913823999E-2</v>
      </c>
      <c r="J1567" s="83">
        <v>53.299178511843223</v>
      </c>
      <c r="K1567" s="83">
        <v>56.86150330662818</v>
      </c>
      <c r="L1567" s="83">
        <v>52.95969646428663</v>
      </c>
      <c r="M1567" s="83">
        <v>56.450446713173854</v>
      </c>
      <c r="N1567" s="83">
        <v>72463191.137961015</v>
      </c>
      <c r="O1567" s="83" t="s">
        <v>664</v>
      </c>
      <c r="P1567" s="84">
        <f t="shared" si="44"/>
        <v>-5.5823618497517047E-2</v>
      </c>
    </row>
    <row r="1568" spans="2:16" ht="15" customHeight="1">
      <c r="B1568" s="83">
        <v>204.12163428419495</v>
      </c>
      <c r="C1568" s="83">
        <v>209.36502381877128</v>
      </c>
      <c r="D1568" s="83">
        <v>196.49741239911316</v>
      </c>
      <c r="E1568" s="83">
        <v>202.35222191475313</v>
      </c>
      <c r="F1568" s="83">
        <v>13429669.448674684</v>
      </c>
      <c r="G1568" s="83" t="s">
        <v>663</v>
      </c>
      <c r="H1568" s="84">
        <f t="shared" si="43"/>
        <v>8.7442201162843958E-3</v>
      </c>
      <c r="J1568" s="83">
        <v>55.434982843249799</v>
      </c>
      <c r="K1568" s="83">
        <v>57.55636788593074</v>
      </c>
      <c r="L1568" s="83">
        <v>52.692161746720984</v>
      </c>
      <c r="M1568" s="83">
        <v>54.329553745495964</v>
      </c>
      <c r="N1568" s="83">
        <v>73456178.786133483</v>
      </c>
      <c r="O1568" s="83" t="s">
        <v>663</v>
      </c>
      <c r="P1568" s="84">
        <f t="shared" si="44"/>
        <v>2.0346736196880322E-2</v>
      </c>
    </row>
    <row r="1569" spans="2:16" ht="15" customHeight="1">
      <c r="B1569" s="83">
        <v>203.94561944116148</v>
      </c>
      <c r="C1569" s="83">
        <v>208.1977674912861</v>
      </c>
      <c r="D1569" s="83">
        <v>192.97711553844357</v>
      </c>
      <c r="E1569" s="83">
        <v>200.17519622460222</v>
      </c>
      <c r="F1569" s="83">
        <v>21780689.366468806</v>
      </c>
      <c r="G1569" s="83" t="s">
        <v>662</v>
      </c>
      <c r="H1569" s="84">
        <f t="shared" si="43"/>
        <v>1.8835616438356073E-2</v>
      </c>
      <c r="J1569" s="83">
        <v>54.515945792104638</v>
      </c>
      <c r="K1569" s="83">
        <v>54.998079885999076</v>
      </c>
      <c r="L1569" s="83">
        <v>51.557531228331783</v>
      </c>
      <c r="M1569" s="83">
        <v>52.513349643341058</v>
      </c>
      <c r="N1569" s="83">
        <v>85171988.498683691</v>
      </c>
      <c r="O1569" s="83" t="s">
        <v>662</v>
      </c>
      <c r="P1569" s="84">
        <f t="shared" si="44"/>
        <v>3.8134991623363756E-2</v>
      </c>
    </row>
    <row r="1570" spans="2:16" ht="15" customHeight="1">
      <c r="B1570" s="83">
        <v>215.73861392440466</v>
      </c>
      <c r="C1570" s="83">
        <v>216.72985540885637</v>
      </c>
      <c r="D1570" s="83">
        <v>200.65692105816751</v>
      </c>
      <c r="E1570" s="83">
        <v>207.28063751969057</v>
      </c>
      <c r="F1570" s="83">
        <v>16316482.465366399</v>
      </c>
      <c r="G1570" s="83" t="s">
        <v>661</v>
      </c>
      <c r="H1570" s="84">
        <f t="shared" si="43"/>
        <v>4.0804469273743038E-2</v>
      </c>
      <c r="J1570" s="83">
        <v>55.65915034463783</v>
      </c>
      <c r="K1570" s="83">
        <v>56.20888262076901</v>
      </c>
      <c r="L1570" s="83">
        <v>52.488497370459903</v>
      </c>
      <c r="M1570" s="83">
        <v>54.332536018241704</v>
      </c>
      <c r="N1570" s="83">
        <v>77688849.999065444</v>
      </c>
      <c r="O1570" s="83" t="s">
        <v>661</v>
      </c>
      <c r="P1570" s="84">
        <f t="shared" si="44"/>
        <v>2.4416572897512534E-2</v>
      </c>
    </row>
    <row r="1571" spans="2:16" ht="15" customHeight="1">
      <c r="B1571" s="83">
        <v>202.48191706225148</v>
      </c>
      <c r="C1571" s="83">
        <v>217.48949841563245</v>
      </c>
      <c r="D1571" s="83">
        <v>202.08764381385649</v>
      </c>
      <c r="E1571" s="83">
        <v>206.44688300005831</v>
      </c>
      <c r="F1571" s="83">
        <v>18643836.925592687</v>
      </c>
      <c r="G1571" s="83" t="s">
        <v>660</v>
      </c>
      <c r="H1571" s="84">
        <f t="shared" si="43"/>
        <v>-1.9205743773838879E-2</v>
      </c>
      <c r="J1571" s="83">
        <v>53.896130106448595</v>
      </c>
      <c r="K1571" s="83">
        <v>57.272882979629955</v>
      </c>
      <c r="L1571" s="83">
        <v>53.404552148859331</v>
      </c>
      <c r="M1571" s="83">
        <v>54.47618215549479</v>
      </c>
      <c r="N1571" s="83">
        <v>85552838.976435229</v>
      </c>
      <c r="O1571" s="83" t="s">
        <v>660</v>
      </c>
      <c r="P1571" s="84">
        <f t="shared" si="44"/>
        <v>-1.0647810218978204E-2</v>
      </c>
    </row>
    <row r="1572" spans="2:16" ht="15" customHeight="1">
      <c r="B1572" s="83">
        <v>229.41218804637396</v>
      </c>
      <c r="C1572" s="83">
        <v>229.54188319387234</v>
      </c>
      <c r="D1572" s="83">
        <v>211.31045103124657</v>
      </c>
      <c r="E1572" s="83">
        <v>222.94595854967034</v>
      </c>
      <c r="F1572" s="83">
        <v>21085641.619974326</v>
      </c>
      <c r="G1572" s="83" t="s">
        <v>659</v>
      </c>
      <c r="H1572" s="84">
        <f t="shared" si="43"/>
        <v>2.9003573506191094E-2</v>
      </c>
      <c r="J1572" s="83">
        <v>60.626125602665752</v>
      </c>
      <c r="K1572" s="83">
        <v>60.627616739038615</v>
      </c>
      <c r="L1572" s="83">
        <v>55.52709530745652</v>
      </c>
      <c r="M1572" s="83">
        <v>58.60165945376675</v>
      </c>
      <c r="N1572" s="83">
        <v>74442386.370333314</v>
      </c>
      <c r="O1572" s="83" t="s">
        <v>659</v>
      </c>
      <c r="P1572" s="84">
        <f t="shared" si="44"/>
        <v>3.4546225614928039E-2</v>
      </c>
    </row>
    <row r="1573" spans="2:16" ht="15" customHeight="1">
      <c r="B1573" s="83">
        <v>209.80969289590848</v>
      </c>
      <c r="C1573" s="83">
        <v>225.73903619043847</v>
      </c>
      <c r="D1573" s="83">
        <v>209.18900897573781</v>
      </c>
      <c r="E1573" s="83">
        <v>217.64698538045187</v>
      </c>
      <c r="F1573" s="83">
        <v>26629339.544440821</v>
      </c>
      <c r="G1573" s="83" t="s">
        <v>658</v>
      </c>
      <c r="H1573" s="84">
        <f t="shared" si="43"/>
        <v>-3.6009193836724296E-2</v>
      </c>
      <c r="J1573" s="83">
        <v>55.416095115860131</v>
      </c>
      <c r="K1573" s="83">
        <v>59.340766049252338</v>
      </c>
      <c r="L1573" s="83">
        <v>55.336070797182799</v>
      </c>
      <c r="M1573" s="83">
        <v>55.967318528364174</v>
      </c>
      <c r="N1573" s="83">
        <v>85037453.52009286</v>
      </c>
      <c r="O1573" s="83" t="s">
        <v>658</v>
      </c>
      <c r="P1573" s="84">
        <f t="shared" si="44"/>
        <v>-9.8490230905861065E-3</v>
      </c>
    </row>
    <row r="1574" spans="2:16" ht="15" customHeight="1">
      <c r="B1574" s="83">
        <v>232.27474523044478</v>
      </c>
      <c r="C1574" s="83">
        <v>238.75023866625548</v>
      </c>
      <c r="D1574" s="83">
        <v>229.39366016815993</v>
      </c>
      <c r="E1574" s="83">
        <v>237.76826112091081</v>
      </c>
      <c r="F1574" s="83">
        <v>12433602.884182442</v>
      </c>
      <c r="G1574" s="83" t="s">
        <v>657</v>
      </c>
      <c r="H1574" s="84">
        <f t="shared" si="43"/>
        <v>-2.3104496220681225E-2</v>
      </c>
      <c r="J1574" s="83">
        <v>60.411401964972562</v>
      </c>
      <c r="K1574" s="83">
        <v>62.675444024445902</v>
      </c>
      <c r="L1574" s="83">
        <v>59.450116049929427</v>
      </c>
      <c r="M1574" s="83">
        <v>62.115770839162266</v>
      </c>
      <c r="N1574" s="83">
        <v>52535013.849375106</v>
      </c>
      <c r="O1574" s="83" t="s">
        <v>657</v>
      </c>
      <c r="P1574" s="84">
        <f t="shared" si="44"/>
        <v>-2.74385852604625E-2</v>
      </c>
    </row>
    <row r="1575" spans="2:16" ht="15" customHeight="1">
      <c r="B1575" s="83">
        <v>244.39197758243384</v>
      </c>
      <c r="C1575" s="83">
        <v>244.39197758243384</v>
      </c>
      <c r="D1575" s="83">
        <v>231.59847767563193</v>
      </c>
      <c r="E1575" s="83">
        <v>241.30708585979446</v>
      </c>
      <c r="F1575" s="83">
        <v>11743449.384020563</v>
      </c>
      <c r="G1575" s="83" t="s">
        <v>656</v>
      </c>
      <c r="H1575" s="84">
        <f t="shared" si="43"/>
        <v>1.2784090909090828E-2</v>
      </c>
      <c r="J1575" s="83">
        <v>63.641203348607647</v>
      </c>
      <c r="K1575" s="83">
        <v>63.678978803387004</v>
      </c>
      <c r="L1575" s="83">
        <v>60.578409238733926</v>
      </c>
      <c r="M1575" s="83">
        <v>62.627727660514083</v>
      </c>
      <c r="N1575" s="83">
        <v>52537910.968698733</v>
      </c>
      <c r="O1575" s="83" t="s">
        <v>656</v>
      </c>
      <c r="P1575" s="84">
        <f t="shared" si="44"/>
        <v>1.6182539682539687E-2</v>
      </c>
    </row>
    <row r="1576" spans="2:16" ht="15" customHeight="1">
      <c r="B1576" s="83">
        <v>232.46187680040669</v>
      </c>
      <c r="C1576" s="83">
        <v>240.64981645368346</v>
      </c>
      <c r="D1576" s="83">
        <v>231.57669413518755</v>
      </c>
      <c r="E1576" s="83">
        <v>234.10315299216708</v>
      </c>
      <c r="F1576" s="83">
        <v>17814258.298988126</v>
      </c>
      <c r="G1576" s="83" t="s">
        <v>655</v>
      </c>
      <c r="H1576" s="84">
        <f t="shared" si="43"/>
        <v>-7.0109102367165166E-3</v>
      </c>
      <c r="J1576" s="83">
        <v>60.418857646836898</v>
      </c>
      <c r="K1576" s="83">
        <v>62.367270870264989</v>
      </c>
      <c r="L1576" s="83">
        <v>59.645454914775314</v>
      </c>
      <c r="M1576" s="83">
        <v>59.908889007315572</v>
      </c>
      <c r="N1576" s="83">
        <v>67707388.698272824</v>
      </c>
      <c r="O1576" s="83" t="s">
        <v>655</v>
      </c>
      <c r="P1576" s="84">
        <f t="shared" si="44"/>
        <v>8.5124035509831497E-3</v>
      </c>
    </row>
    <row r="1577" spans="2:16" ht="15" customHeight="1">
      <c r="B1577" s="83">
        <v>251.89901282417634</v>
      </c>
      <c r="C1577" s="83">
        <v>253.07003572503911</v>
      </c>
      <c r="D1577" s="83">
        <v>245.82260265355765</v>
      </c>
      <c r="E1577" s="83">
        <v>248.3306202050118</v>
      </c>
      <c r="F1577" s="83">
        <v>7232798.1235547634</v>
      </c>
      <c r="G1577" s="83" t="s">
        <v>654</v>
      </c>
      <c r="H1577" s="84">
        <f t="shared" si="43"/>
        <v>1.4369523243724869E-2</v>
      </c>
      <c r="J1577" s="83">
        <v>64.536879263244515</v>
      </c>
      <c r="K1577" s="83">
        <v>64.925071765648184</v>
      </c>
      <c r="L1577" s="83">
        <v>62.679917433564512</v>
      </c>
      <c r="M1577" s="83">
        <v>63.475687211219139</v>
      </c>
      <c r="N1577" s="83">
        <v>53528866.609567828</v>
      </c>
      <c r="O1577" s="83" t="s">
        <v>654</v>
      </c>
      <c r="P1577" s="84">
        <f t="shared" si="44"/>
        <v>1.6718086855746828E-2</v>
      </c>
    </row>
    <row r="1578" spans="2:16" ht="15" customHeight="1">
      <c r="B1578" s="83">
        <v>256.19583701159416</v>
      </c>
      <c r="C1578" s="83">
        <v>261.32251994765483</v>
      </c>
      <c r="D1578" s="83">
        <v>254.13041079274953</v>
      </c>
      <c r="E1578" s="83">
        <v>258.45489693845542</v>
      </c>
      <c r="F1578" s="83">
        <v>6745678.5978992693</v>
      </c>
      <c r="G1578" s="83" t="s">
        <v>653</v>
      </c>
      <c r="H1578" s="84">
        <f t="shared" si="43"/>
        <v>-8.740635033892219E-3</v>
      </c>
      <c r="J1578" s="83">
        <v>65.562284042321025</v>
      </c>
      <c r="K1578" s="83">
        <v>67.544004281864446</v>
      </c>
      <c r="L1578" s="83">
        <v>64.869402674394379</v>
      </c>
      <c r="M1578" s="83">
        <v>67.11107768827469</v>
      </c>
      <c r="N1578" s="83">
        <v>51530256.653950408</v>
      </c>
      <c r="O1578" s="83" t="s">
        <v>653</v>
      </c>
      <c r="P1578" s="84">
        <f t="shared" si="44"/>
        <v>-2.3078062509257924E-2</v>
      </c>
    </row>
    <row r="1579" spans="2:16" ht="15" customHeight="1">
      <c r="B1579" s="83">
        <v>265.07532562207336</v>
      </c>
      <c r="C1579" s="83">
        <v>265.22746639265785</v>
      </c>
      <c r="D1579" s="83">
        <v>256.97959249642355</v>
      </c>
      <c r="E1579" s="83">
        <v>259.3124176453864</v>
      </c>
      <c r="F1579" s="83">
        <v>5697997.89148774</v>
      </c>
      <c r="G1579" s="83" t="s">
        <v>652</v>
      </c>
      <c r="H1579" s="84">
        <f t="shared" si="43"/>
        <v>2.2223802581517127E-2</v>
      </c>
      <c r="J1579" s="83">
        <v>68.916346790361899</v>
      </c>
      <c r="K1579" s="83">
        <v>68.994382927208719</v>
      </c>
      <c r="L1579" s="83">
        <v>66.758672458819888</v>
      </c>
      <c r="M1579" s="83">
        <v>67.559909736508374</v>
      </c>
      <c r="N1579" s="83">
        <v>38493762.907511041</v>
      </c>
      <c r="O1579" s="83" t="s">
        <v>652</v>
      </c>
      <c r="P1579" s="84">
        <f t="shared" si="44"/>
        <v>2.0077543903533668E-2</v>
      </c>
    </row>
    <row r="1580" spans="2:16" ht="15" customHeight="1">
      <c r="B1580" s="83">
        <v>254.52689886154559</v>
      </c>
      <c r="C1580" s="83">
        <v>265.84958383455717</v>
      </c>
      <c r="D1580" s="83">
        <v>252.05576392114224</v>
      </c>
      <c r="E1580" s="83">
        <v>262.18004065458581</v>
      </c>
      <c r="F1580" s="83">
        <v>10634687.426543547</v>
      </c>
      <c r="G1580" s="83" t="s">
        <v>651</v>
      </c>
      <c r="H1580" s="84">
        <f t="shared" si="43"/>
        <v>-2.9190405852148715E-2</v>
      </c>
      <c r="J1580" s="83">
        <v>66.673180640108725</v>
      </c>
      <c r="K1580" s="83">
        <v>70.090865206725354</v>
      </c>
      <c r="L1580" s="83">
        <v>66.206454955400602</v>
      </c>
      <c r="M1580" s="83">
        <v>69.557535430695737</v>
      </c>
      <c r="N1580" s="83">
        <v>48332118.585047081</v>
      </c>
      <c r="O1580" s="83" t="s">
        <v>651</v>
      </c>
      <c r="P1580" s="84">
        <f t="shared" si="44"/>
        <v>-4.1467179259979114E-2</v>
      </c>
    </row>
    <row r="1581" spans="2:16" ht="15" customHeight="1">
      <c r="B1581" s="83">
        <v>261.74666997473895</v>
      </c>
      <c r="C1581" s="83">
        <v>261.90342107170488</v>
      </c>
      <c r="D1581" s="83">
        <v>249.40943657824761</v>
      </c>
      <c r="E1581" s="83">
        <v>252.64588569795498</v>
      </c>
      <c r="F1581" s="83">
        <v>13479118.365977671</v>
      </c>
      <c r="G1581" s="83" t="s">
        <v>650</v>
      </c>
      <c r="H1581" s="84">
        <f t="shared" si="43"/>
        <v>3.6021897810218917E-2</v>
      </c>
      <c r="J1581" s="83">
        <v>69.045081563886285</v>
      </c>
      <c r="K1581" s="83">
        <v>69.132561564427945</v>
      </c>
      <c r="L1581" s="83">
        <v>65.948736885623006</v>
      </c>
      <c r="M1581" s="83">
        <v>67.181161097799546</v>
      </c>
      <c r="N1581" s="83">
        <v>48918423.108165696</v>
      </c>
      <c r="O1581" s="83" t="s">
        <v>650</v>
      </c>
      <c r="P1581" s="84">
        <f t="shared" si="44"/>
        <v>2.7744689666397981E-2</v>
      </c>
    </row>
    <row r="1582" spans="2:16" ht="15" customHeight="1">
      <c r="B1582" s="83">
        <v>250.56201817358499</v>
      </c>
      <c r="C1582" s="83">
        <v>251.65005519958348</v>
      </c>
      <c r="D1582" s="83">
        <v>241.81161870178354</v>
      </c>
      <c r="E1582" s="83">
        <v>244.64235909993215</v>
      </c>
      <c r="F1582" s="83">
        <v>25295480.266163424</v>
      </c>
      <c r="G1582" s="83" t="s">
        <v>649</v>
      </c>
      <c r="H1582" s="84">
        <f t="shared" si="43"/>
        <v>2.4197195838987051E-2</v>
      </c>
      <c r="J1582" s="83">
        <v>66.570789275838351</v>
      </c>
      <c r="K1582" s="83">
        <v>66.660754503668144</v>
      </c>
      <c r="L1582" s="83">
        <v>63.174477663899523</v>
      </c>
      <c r="M1582" s="83">
        <v>63.497557211354554</v>
      </c>
      <c r="N1582" s="83">
        <v>76263004.557505518</v>
      </c>
      <c r="O1582" s="83" t="s">
        <v>649</v>
      </c>
      <c r="P1582" s="84">
        <f t="shared" si="44"/>
        <v>4.8399217221134938E-2</v>
      </c>
    </row>
    <row r="1583" spans="2:16" ht="15" customHeight="1">
      <c r="B1583" s="83">
        <v>252.08342587943031</v>
      </c>
      <c r="C1583" s="83">
        <v>262.30866876062544</v>
      </c>
      <c r="D1583" s="83">
        <v>252.05576392114224</v>
      </c>
      <c r="E1583" s="83">
        <v>258.70385456304825</v>
      </c>
      <c r="F1583" s="83">
        <v>16156160.939346893</v>
      </c>
      <c r="G1583" s="83" t="s">
        <v>648</v>
      </c>
      <c r="H1583" s="84">
        <f t="shared" si="43"/>
        <v>-2.5590761663755957E-2</v>
      </c>
      <c r="J1583" s="83">
        <v>65.515064723846834</v>
      </c>
      <c r="K1583" s="83">
        <v>68.17990932898374</v>
      </c>
      <c r="L1583" s="83">
        <v>65.469336541745506</v>
      </c>
      <c r="M1583" s="83">
        <v>67.700573601015719</v>
      </c>
      <c r="N1583" s="83">
        <v>59920072.78855814</v>
      </c>
      <c r="O1583" s="83" t="s">
        <v>648</v>
      </c>
      <c r="P1583" s="84">
        <f t="shared" si="44"/>
        <v>-3.2281984640911476E-2</v>
      </c>
    </row>
    <row r="1584" spans="2:16" ht="15" customHeight="1">
      <c r="B1584" s="83">
        <v>263.77521358253279</v>
      </c>
      <c r="C1584" s="83">
        <v>269.50123894816886</v>
      </c>
      <c r="D1584" s="83">
        <v>263.23119506953356</v>
      </c>
      <c r="E1584" s="83">
        <v>266.11725938425832</v>
      </c>
      <c r="F1584" s="83">
        <v>11153953.266308069</v>
      </c>
      <c r="G1584" s="83" t="s">
        <v>647</v>
      </c>
      <c r="H1584" s="84">
        <f t="shared" ref="H1584:H1647" si="45">B1584/E1584-1</f>
        <v>-8.8008038529502342E-3</v>
      </c>
      <c r="J1584" s="83">
        <v>69.247379065138901</v>
      </c>
      <c r="K1584" s="83">
        <v>70.366725435706186</v>
      </c>
      <c r="L1584" s="83">
        <v>68.542568606229295</v>
      </c>
      <c r="M1584" s="83">
        <v>69.394504520595348</v>
      </c>
      <c r="N1584" s="83">
        <v>44342765.157531247</v>
      </c>
      <c r="O1584" s="83" t="s">
        <v>647</v>
      </c>
      <c r="P1584" s="84">
        <f t="shared" ref="P1584:P1647" si="46">J1584/M1584-1</f>
        <v>-2.1201312189321753E-3</v>
      </c>
    </row>
    <row r="1585" spans="2:16" ht="15" customHeight="1">
      <c r="B1585" s="83">
        <v>264.94623648339552</v>
      </c>
      <c r="C1585" s="83">
        <v>274.9875273419749</v>
      </c>
      <c r="D1585" s="83">
        <v>264.04261251265103</v>
      </c>
      <c r="E1585" s="83">
        <v>274.52649470383994</v>
      </c>
      <c r="F1585" s="83">
        <v>9181382.5093244985</v>
      </c>
      <c r="G1585" s="83" t="s">
        <v>646</v>
      </c>
      <c r="H1585" s="84">
        <f t="shared" si="45"/>
        <v>-3.489739025291394E-2</v>
      </c>
      <c r="J1585" s="83">
        <v>69.012276563683159</v>
      </c>
      <c r="K1585" s="83">
        <v>71.48209544261249</v>
      </c>
      <c r="L1585" s="83">
        <v>68.711564061821164</v>
      </c>
      <c r="M1585" s="83">
        <v>71.226614077394188</v>
      </c>
      <c r="N1585" s="83">
        <v>49860188.077185743</v>
      </c>
      <c r="O1585" s="83" t="s">
        <v>646</v>
      </c>
      <c r="P1585" s="84">
        <f t="shared" si="46"/>
        <v>-3.1088625261688763E-2</v>
      </c>
    </row>
    <row r="1586" spans="2:16" ht="15" customHeight="1">
      <c r="B1586" s="83">
        <v>273.15261744219777</v>
      </c>
      <c r="C1586" s="83">
        <v>276.04605827913269</v>
      </c>
      <c r="D1586" s="83">
        <v>272.16600759658894</v>
      </c>
      <c r="E1586" s="83">
        <v>273.81650444111204</v>
      </c>
      <c r="F1586" s="83">
        <v>7696824.9240551172</v>
      </c>
      <c r="G1586" s="83" t="s">
        <v>645</v>
      </c>
      <c r="H1586" s="84">
        <f t="shared" si="45"/>
        <v>-2.4245689655170155E-3</v>
      </c>
      <c r="J1586" s="83">
        <v>70.659485210246203</v>
      </c>
      <c r="K1586" s="83">
        <v>71.423941124070581</v>
      </c>
      <c r="L1586" s="83">
        <v>70.15249884347061</v>
      </c>
      <c r="M1586" s="83">
        <v>70.884149757091848</v>
      </c>
      <c r="N1586" s="83">
        <v>57681907.278868482</v>
      </c>
      <c r="O1586" s="83" t="s">
        <v>645</v>
      </c>
      <c r="P1586" s="84">
        <f t="shared" si="46"/>
        <v>-3.1694609812705776E-3</v>
      </c>
    </row>
    <row r="1587" spans="2:16" ht="15" customHeight="1">
      <c r="B1587" s="83">
        <v>282.60378652396429</v>
      </c>
      <c r="C1587" s="83">
        <v>284.53090295136838</v>
      </c>
      <c r="D1587" s="83">
        <v>281.80158973360949</v>
      </c>
      <c r="E1587" s="83">
        <v>284.27272467401286</v>
      </c>
      <c r="F1587" s="83">
        <v>2904973.2908670153</v>
      </c>
      <c r="G1587" s="83" t="s">
        <v>644</v>
      </c>
      <c r="H1587" s="84">
        <f t="shared" si="45"/>
        <v>-5.8709049626988197E-3</v>
      </c>
      <c r="J1587" s="83">
        <v>73.816717957068306</v>
      </c>
      <c r="K1587" s="83">
        <v>75.163959669955787</v>
      </c>
      <c r="L1587" s="83">
        <v>73.584597728358318</v>
      </c>
      <c r="M1587" s="83">
        <v>74.955946145940516</v>
      </c>
      <c r="N1587" s="83">
        <v>34851399.875651874</v>
      </c>
      <c r="O1587" s="83" t="s">
        <v>644</v>
      </c>
      <c r="P1587" s="84">
        <f t="shared" si="46"/>
        <v>-1.5198636631897244E-2</v>
      </c>
    </row>
    <row r="1588" spans="2:16" ht="15" customHeight="1">
      <c r="B1588" s="83">
        <v>285.56361606079071</v>
      </c>
      <c r="C1588" s="83">
        <v>286.93472712660406</v>
      </c>
      <c r="D1588" s="83">
        <v>282.7697582736929</v>
      </c>
      <c r="E1588" s="83">
        <v>286.16295849036618</v>
      </c>
      <c r="F1588" s="83">
        <v>5007541.3518211925</v>
      </c>
      <c r="G1588" s="83" t="s">
        <v>643</v>
      </c>
      <c r="H1588" s="84">
        <f t="shared" si="45"/>
        <v>-2.0944095376189686E-3</v>
      </c>
      <c r="J1588" s="83">
        <v>75.458956149055126</v>
      </c>
      <c r="K1588" s="83">
        <v>76.030061379864108</v>
      </c>
      <c r="L1588" s="83">
        <v>74.895803645568122</v>
      </c>
      <c r="M1588" s="83">
        <v>75.650318650240024</v>
      </c>
      <c r="N1588" s="83">
        <v>22061402.698330931</v>
      </c>
      <c r="O1588" s="83" t="s">
        <v>643</v>
      </c>
      <c r="P1588" s="84">
        <f t="shared" si="46"/>
        <v>-2.5295663600525264E-3</v>
      </c>
    </row>
    <row r="1589" spans="2:16" ht="15" customHeight="1">
      <c r="B1589" s="83">
        <v>286.68853569784</v>
      </c>
      <c r="C1589" s="83">
        <v>287.30631943294082</v>
      </c>
      <c r="D1589" s="83">
        <v>285.95088347682406</v>
      </c>
      <c r="E1589" s="83">
        <v>286.22750305970504</v>
      </c>
      <c r="F1589" s="83">
        <v>2448357.0286179688</v>
      </c>
      <c r="G1589" s="83" t="s">
        <v>642</v>
      </c>
      <c r="H1589" s="84">
        <f t="shared" si="45"/>
        <v>1.6107209587010729E-3</v>
      </c>
      <c r="J1589" s="83">
        <v>75.883432969865282</v>
      </c>
      <c r="K1589" s="83">
        <v>76.152647701077683</v>
      </c>
      <c r="L1589" s="83">
        <v>75.620495922782638</v>
      </c>
      <c r="M1589" s="83">
        <v>75.80291160573033</v>
      </c>
      <c r="N1589" s="83">
        <v>19098212.959019914</v>
      </c>
      <c r="O1589" s="83" t="s">
        <v>642</v>
      </c>
      <c r="P1589" s="84">
        <f t="shared" si="46"/>
        <v>1.0622463231195756E-3</v>
      </c>
    </row>
    <row r="1590" spans="2:16" ht="15" customHeight="1">
      <c r="B1590" s="83">
        <v>285.31465843619782</v>
      </c>
      <c r="C1590" s="83">
        <v>285.67426389394308</v>
      </c>
      <c r="D1590" s="83">
        <v>284.02671765830405</v>
      </c>
      <c r="E1590" s="83">
        <v>285.13946603370658</v>
      </c>
      <c r="F1590" s="83">
        <v>3256803.0456023384</v>
      </c>
      <c r="G1590" s="83" t="s">
        <v>641</v>
      </c>
      <c r="H1590" s="84">
        <f t="shared" si="45"/>
        <v>6.144095201137123E-4</v>
      </c>
      <c r="J1590" s="83">
        <v>75.534507058613841</v>
      </c>
      <c r="K1590" s="83">
        <v>76.128973425931107</v>
      </c>
      <c r="L1590" s="83">
        <v>75.182598874616659</v>
      </c>
      <c r="M1590" s="83">
        <v>75.302386829903838</v>
      </c>
      <c r="N1590" s="83">
        <v>22556085.822839901</v>
      </c>
      <c r="O1590" s="83" t="s">
        <v>641</v>
      </c>
      <c r="P1590" s="84">
        <f t="shared" si="46"/>
        <v>3.0825082508250112E-3</v>
      </c>
    </row>
    <row r="1591" spans="2:16" ht="15" customHeight="1">
      <c r="B1591" s="83">
        <v>286.0984139210272</v>
      </c>
      <c r="C1591" s="83">
        <v>286.14451718484071</v>
      </c>
      <c r="D1591" s="83">
        <v>284.91817036740179</v>
      </c>
      <c r="E1591" s="83">
        <v>285.94166282406138</v>
      </c>
      <c r="F1591" s="83">
        <v>1775589.0413996603</v>
      </c>
      <c r="G1591" s="83" t="s">
        <v>640</v>
      </c>
      <c r="H1591" s="84">
        <f t="shared" si="45"/>
        <v>5.4819257682736655E-4</v>
      </c>
      <c r="J1591" s="83">
        <v>75.587690922579512</v>
      </c>
      <c r="K1591" s="83">
        <v>75.587690922579512</v>
      </c>
      <c r="L1591" s="83">
        <v>74.921650009364512</v>
      </c>
      <c r="M1591" s="83">
        <v>75.332209557361224</v>
      </c>
      <c r="N1591" s="83">
        <v>24099123.76481729</v>
      </c>
      <c r="O1591" s="83" t="s">
        <v>640</v>
      </c>
      <c r="P1591" s="84">
        <f t="shared" si="46"/>
        <v>3.3913961467406661E-3</v>
      </c>
    </row>
    <row r="1592" spans="2:16" ht="15" customHeight="1">
      <c r="B1592" s="83">
        <v>285.61893997736689</v>
      </c>
      <c r="C1592" s="83">
        <v>286.50412264258603</v>
      </c>
      <c r="D1592" s="83">
        <v>284.32804859058905</v>
      </c>
      <c r="E1592" s="83">
        <v>284.54934425689385</v>
      </c>
      <c r="F1592" s="83">
        <v>2216141.3650304778</v>
      </c>
      <c r="G1592" s="83" t="s">
        <v>639</v>
      </c>
      <c r="H1592" s="84">
        <f t="shared" si="45"/>
        <v>3.7589112119247314E-3</v>
      </c>
      <c r="J1592" s="83">
        <v>75.285487284344654</v>
      </c>
      <c r="K1592" s="83">
        <v>75.907788197288809</v>
      </c>
      <c r="L1592" s="83">
        <v>74.785459553975784</v>
      </c>
      <c r="M1592" s="83">
        <v>75.187569329192897</v>
      </c>
      <c r="N1592" s="83">
        <v>18705130.199679736</v>
      </c>
      <c r="O1592" s="83" t="s">
        <v>639</v>
      </c>
      <c r="P1592" s="84">
        <f t="shared" si="46"/>
        <v>1.3023157421547804E-3</v>
      </c>
    </row>
    <row r="1593" spans="2:16" ht="15" customHeight="1">
      <c r="B1593" s="83">
        <v>285.89555956024788</v>
      </c>
      <c r="C1593" s="83">
        <v>286.08919326826452</v>
      </c>
      <c r="D1593" s="83">
        <v>285.07492146436766</v>
      </c>
      <c r="E1593" s="83">
        <v>285.43452692211292</v>
      </c>
      <c r="F1593" s="83">
        <v>2294577.243553713</v>
      </c>
      <c r="G1593" s="83" t="s">
        <v>638</v>
      </c>
      <c r="H1593" s="84">
        <f t="shared" si="45"/>
        <v>1.6151957617263069E-3</v>
      </c>
      <c r="J1593" s="83">
        <v>75.464920694546606</v>
      </c>
      <c r="K1593" s="83">
        <v>75.585454218020203</v>
      </c>
      <c r="L1593" s="83">
        <v>74.959922509601498</v>
      </c>
      <c r="M1593" s="83">
        <v>75.276540466107434</v>
      </c>
      <c r="N1593" s="83">
        <v>23490105.02144609</v>
      </c>
      <c r="O1593" s="83" t="s">
        <v>638</v>
      </c>
      <c r="P1593" s="84">
        <f t="shared" si="46"/>
        <v>2.5025091120385312E-3</v>
      </c>
    </row>
    <row r="1594" spans="2:16" ht="15" customHeight="1">
      <c r="B1594" s="83">
        <v>284.06987031323342</v>
      </c>
      <c r="C1594" s="83">
        <v>285.55439540802803</v>
      </c>
      <c r="D1594" s="83">
        <v>283.63188930700528</v>
      </c>
      <c r="E1594" s="83">
        <v>284.85362579806286</v>
      </c>
      <c r="F1594" s="83">
        <v>2644984.1055353829</v>
      </c>
      <c r="G1594" s="83" t="s">
        <v>637</v>
      </c>
      <c r="H1594" s="84">
        <f t="shared" si="45"/>
        <v>-2.751432363318651E-3</v>
      </c>
      <c r="J1594" s="83">
        <v>74.99372160071988</v>
      </c>
      <c r="K1594" s="83">
        <v>76.029564334406473</v>
      </c>
      <c r="L1594" s="83">
        <v>74.837042931567908</v>
      </c>
      <c r="M1594" s="83">
        <v>75.143829328922052</v>
      </c>
      <c r="N1594" s="83">
        <v>27052515.60752688</v>
      </c>
      <c r="O1594" s="83" t="s">
        <v>637</v>
      </c>
      <c r="P1594" s="84">
        <f t="shared" si="46"/>
        <v>-1.9976055192119091E-3</v>
      </c>
    </row>
    <row r="1595" spans="2:16" ht="15" customHeight="1">
      <c r="B1595" s="83">
        <v>283.55351375852229</v>
      </c>
      <c r="C1595" s="83">
        <v>283.59039636957311</v>
      </c>
      <c r="D1595" s="83">
        <v>280.63056683274669</v>
      </c>
      <c r="E1595" s="83">
        <v>280.66744944379747</v>
      </c>
      <c r="F1595" s="83">
        <v>2436855.673699908</v>
      </c>
      <c r="G1595" s="83" t="s">
        <v>636</v>
      </c>
      <c r="H1595" s="84">
        <f t="shared" si="45"/>
        <v>1.0282860803574323E-2</v>
      </c>
      <c r="J1595" s="83">
        <v>74.988254100686021</v>
      </c>
      <c r="K1595" s="83">
        <v>75.029011828211111</v>
      </c>
      <c r="L1595" s="83">
        <v>73.280405908292948</v>
      </c>
      <c r="M1595" s="83">
        <v>73.280405908292948</v>
      </c>
      <c r="N1595" s="83">
        <v>28566320.810773522</v>
      </c>
      <c r="O1595" s="83" t="s">
        <v>636</v>
      </c>
      <c r="P1595" s="84">
        <f t="shared" si="46"/>
        <v>2.3305659558304992E-2</v>
      </c>
    </row>
    <row r="1596" spans="2:16" ht="15" customHeight="1">
      <c r="B1596" s="83">
        <v>281.53419080349119</v>
      </c>
      <c r="C1596" s="83">
        <v>282.69599305159124</v>
      </c>
      <c r="D1596" s="83">
        <v>280.99017229049196</v>
      </c>
      <c r="E1596" s="83">
        <v>281.99522344162614</v>
      </c>
      <c r="F1596" s="83">
        <v>2439392.370461185</v>
      </c>
      <c r="G1596" s="83" t="s">
        <v>635</v>
      </c>
      <c r="H1596" s="84">
        <f t="shared" si="45"/>
        <v>-1.634895203217468E-3</v>
      </c>
      <c r="J1596" s="83">
        <v>73.524455227985911</v>
      </c>
      <c r="K1596" s="83">
        <v>73.853002275474793</v>
      </c>
      <c r="L1596" s="83">
        <v>72.884260678567315</v>
      </c>
      <c r="M1596" s="83">
        <v>72.931479997041521</v>
      </c>
      <c r="N1596" s="83">
        <v>23584764.371568698</v>
      </c>
      <c r="O1596" s="83" t="s">
        <v>635</v>
      </c>
      <c r="P1596" s="84">
        <f t="shared" si="46"/>
        <v>8.1305799768280895E-3</v>
      </c>
    </row>
    <row r="1597" spans="2:16" ht="15" customHeight="1">
      <c r="B1597" s="83">
        <v>282.97261263447223</v>
      </c>
      <c r="C1597" s="83">
        <v>283.14780503696352</v>
      </c>
      <c r="D1597" s="83">
        <v>281.97678213610078</v>
      </c>
      <c r="E1597" s="83">
        <v>282.88962675960801</v>
      </c>
      <c r="F1597" s="83">
        <v>2088283.8227999317</v>
      </c>
      <c r="G1597" s="83" t="s">
        <v>634</v>
      </c>
      <c r="H1597" s="84">
        <f t="shared" si="45"/>
        <v>2.9335071707925486E-4</v>
      </c>
      <c r="J1597" s="83">
        <v>73.375341590698966</v>
      </c>
      <c r="K1597" s="83">
        <v>73.662121908383796</v>
      </c>
      <c r="L1597" s="83">
        <v>72.050218400675718</v>
      </c>
      <c r="M1597" s="83">
        <v>72.087993855455068</v>
      </c>
      <c r="N1597" s="83">
        <v>33787332.209629633</v>
      </c>
      <c r="O1597" s="83" t="s">
        <v>634</v>
      </c>
      <c r="P1597" s="84">
        <f t="shared" si="46"/>
        <v>1.785800472995791E-2</v>
      </c>
    </row>
    <row r="1598" spans="2:16" ht="15" customHeight="1">
      <c r="B1598" s="83">
        <v>282.01366474715155</v>
      </c>
      <c r="C1598" s="83">
        <v>282.22573976069361</v>
      </c>
      <c r="D1598" s="83">
        <v>280.18797550013716</v>
      </c>
      <c r="E1598" s="83">
        <v>281.59873537283011</v>
      </c>
      <c r="F1598" s="83">
        <v>3307728.9412069949</v>
      </c>
      <c r="G1598" s="83" t="s">
        <v>633</v>
      </c>
      <c r="H1598" s="84">
        <f t="shared" si="45"/>
        <v>1.4734774066798018E-3</v>
      </c>
      <c r="J1598" s="83">
        <v>71.983614309354209</v>
      </c>
      <c r="K1598" s="83">
        <v>72.759502268703912</v>
      </c>
      <c r="L1598" s="83">
        <v>71.105334985734146</v>
      </c>
      <c r="M1598" s="83">
        <v>72.688921813721436</v>
      </c>
      <c r="N1598" s="83">
        <v>39959262.669813074</v>
      </c>
      <c r="O1598" s="83" t="s">
        <v>633</v>
      </c>
      <c r="P1598" s="84">
        <f t="shared" si="46"/>
        <v>-9.7030948701468667E-3</v>
      </c>
    </row>
    <row r="1599" spans="2:16" ht="15" customHeight="1">
      <c r="B1599" s="83">
        <v>278.86020150230848</v>
      </c>
      <c r="C1599" s="83">
        <v>279.59324339694308</v>
      </c>
      <c r="D1599" s="83">
        <v>277.68917860144569</v>
      </c>
      <c r="E1599" s="83">
        <v>278.00268079537744</v>
      </c>
      <c r="F1599" s="83">
        <v>2486562.566671099</v>
      </c>
      <c r="G1599" s="83" t="s">
        <v>632</v>
      </c>
      <c r="H1599" s="84">
        <f t="shared" si="45"/>
        <v>3.0845771144278888E-3</v>
      </c>
      <c r="J1599" s="83">
        <v>71.925957036269935</v>
      </c>
      <c r="K1599" s="83">
        <v>73.040829997718603</v>
      </c>
      <c r="L1599" s="83">
        <v>70.893593620786689</v>
      </c>
      <c r="M1599" s="83">
        <v>72.423002493893051</v>
      </c>
      <c r="N1599" s="83">
        <v>79126646.057835311</v>
      </c>
      <c r="O1599" s="83" t="s">
        <v>632</v>
      </c>
      <c r="P1599" s="84">
        <f t="shared" si="46"/>
        <v>-6.8630882524516323E-3</v>
      </c>
    </row>
    <row r="1600" spans="2:16" ht="15" customHeight="1">
      <c r="B1600" s="83">
        <v>274.62792188422958</v>
      </c>
      <c r="C1600" s="83">
        <v>276.31530133980351</v>
      </c>
      <c r="D1600" s="83">
        <v>273.88547492377705</v>
      </c>
      <c r="E1600" s="83">
        <v>273.96403488531524</v>
      </c>
      <c r="F1600" s="83">
        <v>3542804.4890866992</v>
      </c>
      <c r="G1600" s="83" t="s">
        <v>631</v>
      </c>
      <c r="H1600" s="84">
        <f t="shared" si="45"/>
        <v>2.4232633279483995E-3</v>
      </c>
      <c r="J1600" s="83">
        <v>73.857972730051031</v>
      </c>
      <c r="K1600" s="83">
        <v>74.059773185846012</v>
      </c>
      <c r="L1600" s="83">
        <v>72.518435221756704</v>
      </c>
      <c r="M1600" s="83">
        <v>72.668045904501255</v>
      </c>
      <c r="N1600" s="83">
        <v>61467536.885057732</v>
      </c>
      <c r="O1600" s="83" t="s">
        <v>631</v>
      </c>
      <c r="P1600" s="84">
        <f t="shared" si="46"/>
        <v>1.6374829001368107E-2</v>
      </c>
    </row>
    <row r="1601" spans="2:16" ht="15" customHeight="1">
      <c r="B1601" s="83">
        <v>272.64548154024931</v>
      </c>
      <c r="C1601" s="83">
        <v>277.17282204673455</v>
      </c>
      <c r="D1601" s="83">
        <v>271.75107822226749</v>
      </c>
      <c r="E1601" s="83">
        <v>277.02529160253135</v>
      </c>
      <c r="F1601" s="83">
        <v>6707432.9325352516</v>
      </c>
      <c r="G1601" s="83" t="s">
        <v>630</v>
      </c>
      <c r="H1601" s="84">
        <f t="shared" si="45"/>
        <v>-1.5810145120489838E-2</v>
      </c>
      <c r="J1601" s="83">
        <v>71.287750668681838</v>
      </c>
      <c r="K1601" s="83">
        <v>73.072143861548867</v>
      </c>
      <c r="L1601" s="83">
        <v>71.004434757836648</v>
      </c>
      <c r="M1601" s="83">
        <v>73.011007270261217</v>
      </c>
      <c r="N1601" s="83">
        <v>48631648.5328952</v>
      </c>
      <c r="O1601" s="83" t="s">
        <v>630</v>
      </c>
      <c r="P1601" s="84">
        <f t="shared" si="46"/>
        <v>-2.3602695894887282E-2</v>
      </c>
    </row>
    <row r="1602" spans="2:16" ht="15" customHeight="1">
      <c r="B1602" s="83">
        <v>277.62463403210677</v>
      </c>
      <c r="C1602" s="83">
        <v>277.8090470873608</v>
      </c>
      <c r="D1602" s="83">
        <v>274.13000663504386</v>
      </c>
      <c r="E1602" s="83">
        <v>274.81233493948361</v>
      </c>
      <c r="F1602" s="83">
        <v>4807313.6621430088</v>
      </c>
      <c r="G1602" s="83" t="s">
        <v>629</v>
      </c>
      <c r="H1602" s="84">
        <f t="shared" si="45"/>
        <v>1.0233525701248025E-2</v>
      </c>
      <c r="J1602" s="83">
        <v>72.361865902605416</v>
      </c>
      <c r="K1602" s="83">
        <v>72.433440448503148</v>
      </c>
      <c r="L1602" s="83">
        <v>71.395609532986057</v>
      </c>
      <c r="M1602" s="83">
        <v>71.57255771589989</v>
      </c>
      <c r="N1602" s="83">
        <v>26947655.983119007</v>
      </c>
      <c r="O1602" s="83" t="s">
        <v>629</v>
      </c>
      <c r="P1602" s="84">
        <f t="shared" si="46"/>
        <v>1.1028084113447578E-2</v>
      </c>
    </row>
    <row r="1603" spans="2:16" ht="15" customHeight="1">
      <c r="B1603" s="83">
        <v>276.75789267241305</v>
      </c>
      <c r="C1603" s="83">
        <v>278.40377919055487</v>
      </c>
      <c r="D1603" s="83">
        <v>276.54766178942356</v>
      </c>
      <c r="E1603" s="83">
        <v>278.26085907273301</v>
      </c>
      <c r="F1603" s="83">
        <v>2984874.3584986241</v>
      </c>
      <c r="G1603" s="83" t="s">
        <v>628</v>
      </c>
      <c r="H1603" s="84">
        <f t="shared" si="45"/>
        <v>-5.4012857048181262E-3</v>
      </c>
      <c r="J1603" s="83">
        <v>72.500541585282278</v>
      </c>
      <c r="K1603" s="83">
        <v>72.838532496466001</v>
      </c>
      <c r="L1603" s="83">
        <v>71.909554536168372</v>
      </c>
      <c r="M1603" s="83">
        <v>72.508991358061863</v>
      </c>
      <c r="N1603" s="83">
        <v>21701576.454559866</v>
      </c>
      <c r="O1603" s="83" t="s">
        <v>628</v>
      </c>
      <c r="P1603" s="84">
        <f t="shared" si="46"/>
        <v>-1.1653413764722842E-4</v>
      </c>
    </row>
    <row r="1604" spans="2:16" ht="15" customHeight="1">
      <c r="B1604" s="83">
        <v>277.03451225529403</v>
      </c>
      <c r="C1604" s="83">
        <v>277.74450251802193</v>
      </c>
      <c r="D1604" s="83">
        <v>274.97839889573976</v>
      </c>
      <c r="E1604" s="83">
        <v>275.4208980218217</v>
      </c>
      <c r="F1604" s="83">
        <v>3863638.6074657589</v>
      </c>
      <c r="G1604" s="83" t="s">
        <v>627</v>
      </c>
      <c r="H1604" s="84">
        <f t="shared" si="45"/>
        <v>5.8587211248743998E-3</v>
      </c>
      <c r="J1604" s="83">
        <v>72.198834992505027</v>
      </c>
      <c r="K1604" s="83">
        <v>72.36981862992738</v>
      </c>
      <c r="L1604" s="83">
        <v>71.200270668140163</v>
      </c>
      <c r="M1604" s="83">
        <v>71.723659535017319</v>
      </c>
      <c r="N1604" s="83">
        <v>31735970.539661203</v>
      </c>
      <c r="O1604" s="83" t="s">
        <v>627</v>
      </c>
      <c r="P1604" s="84">
        <f t="shared" si="46"/>
        <v>6.6250866250865403E-3</v>
      </c>
    </row>
    <row r="1605" spans="2:16" ht="15" customHeight="1">
      <c r="B1605" s="83">
        <v>274.06546206570493</v>
      </c>
      <c r="C1605" s="83">
        <v>275.44855998010985</v>
      </c>
      <c r="D1605" s="83">
        <v>273.34625115021441</v>
      </c>
      <c r="E1605" s="83">
        <v>273.70585660795967</v>
      </c>
      <c r="F1605" s="83">
        <v>4665612.1976560699</v>
      </c>
      <c r="G1605" s="83" t="s">
        <v>626</v>
      </c>
      <c r="H1605" s="84">
        <f t="shared" si="45"/>
        <v>1.3138391052418541E-3</v>
      </c>
      <c r="J1605" s="83">
        <v>71.271348168580275</v>
      </c>
      <c r="K1605" s="83">
        <v>71.478616124409115</v>
      </c>
      <c r="L1605" s="83">
        <v>70.6401004373989</v>
      </c>
      <c r="M1605" s="83">
        <v>71.127204985869568</v>
      </c>
      <c r="N1605" s="83">
        <v>35312685.652402394</v>
      </c>
      <c r="O1605" s="83" t="s">
        <v>626</v>
      </c>
      <c r="P1605" s="84">
        <f t="shared" si="46"/>
        <v>2.0265548567435232E-3</v>
      </c>
    </row>
    <row r="1606" spans="2:16" ht="15" customHeight="1">
      <c r="B1606" s="83">
        <v>278.49137539180049</v>
      </c>
      <c r="C1606" s="83">
        <v>281.70938320598248</v>
      </c>
      <c r="D1606" s="83">
        <v>277.36516486336444</v>
      </c>
      <c r="E1606" s="83">
        <v>281.61717667835552</v>
      </c>
      <c r="F1606" s="83">
        <v>3739656.0620407038</v>
      </c>
      <c r="G1606" s="83" t="s">
        <v>625</v>
      </c>
      <c r="H1606" s="84">
        <f t="shared" si="45"/>
        <v>-1.109946958286967E-2</v>
      </c>
      <c r="J1606" s="83">
        <v>72.902154315041756</v>
      </c>
      <c r="K1606" s="83">
        <v>74.332899664809915</v>
      </c>
      <c r="L1606" s="83">
        <v>72.829585678228781</v>
      </c>
      <c r="M1606" s="83">
        <v>74.238212505132722</v>
      </c>
      <c r="N1606" s="83">
        <v>35905045.959662743</v>
      </c>
      <c r="O1606" s="83" t="s">
        <v>625</v>
      </c>
      <c r="P1606" s="84">
        <f t="shared" si="46"/>
        <v>-1.7996906781646893E-2</v>
      </c>
    </row>
    <row r="1607" spans="2:16" ht="15" customHeight="1">
      <c r="B1607" s="83">
        <v>281.05471685983088</v>
      </c>
      <c r="C1607" s="83">
        <v>281.20224730403407</v>
      </c>
      <c r="D1607" s="83">
        <v>279.07596477695563</v>
      </c>
      <c r="E1607" s="83">
        <v>280.16031354184901</v>
      </c>
      <c r="F1607" s="83">
        <v>2899001.9131981004</v>
      </c>
      <c r="G1607" s="83" t="s">
        <v>624</v>
      </c>
      <c r="H1607" s="84">
        <f t="shared" si="45"/>
        <v>3.1924697209060326E-3</v>
      </c>
      <c r="J1607" s="83">
        <v>73.893262957542277</v>
      </c>
      <c r="K1607" s="83">
        <v>74.334142278453982</v>
      </c>
      <c r="L1607" s="83">
        <v>73.66710727432374</v>
      </c>
      <c r="M1607" s="83">
        <v>73.942470457846966</v>
      </c>
      <c r="N1607" s="83">
        <v>27187734.628180236</v>
      </c>
      <c r="O1607" s="83" t="s">
        <v>624</v>
      </c>
      <c r="P1607" s="84">
        <f t="shared" si="46"/>
        <v>-6.6548358473828007E-4</v>
      </c>
    </row>
    <row r="1608" spans="2:16" ht="15" customHeight="1">
      <c r="B1608" s="83">
        <v>280.77809727694989</v>
      </c>
      <c r="C1608" s="83">
        <v>282.07820931649047</v>
      </c>
      <c r="D1608" s="83">
        <v>280.6029048744586</v>
      </c>
      <c r="E1608" s="83">
        <v>281.51574949796583</v>
      </c>
      <c r="F1608" s="83">
        <v>2999020.8623695513</v>
      </c>
      <c r="G1608" s="83" t="s">
        <v>623</v>
      </c>
      <c r="H1608" s="84">
        <f t="shared" si="45"/>
        <v>-2.6202875765615197E-3</v>
      </c>
      <c r="J1608" s="83">
        <v>73.858469775508652</v>
      </c>
      <c r="K1608" s="83">
        <v>74.716583964912957</v>
      </c>
      <c r="L1608" s="83">
        <v>73.8077711388311</v>
      </c>
      <c r="M1608" s="83">
        <v>74.109477731608337</v>
      </c>
      <c r="N1608" s="83">
        <v>32408424.124889277</v>
      </c>
      <c r="O1608" s="83" t="s">
        <v>623</v>
      </c>
      <c r="P1608" s="84">
        <f t="shared" si="46"/>
        <v>-3.3869885982562575E-3</v>
      </c>
    </row>
    <row r="1609" spans="2:16" ht="15" customHeight="1">
      <c r="B1609" s="83">
        <v>280.70433205484829</v>
      </c>
      <c r="C1609" s="83">
        <v>281.43276362310155</v>
      </c>
      <c r="D1609" s="83">
        <v>280.30784398605221</v>
      </c>
      <c r="E1609" s="83">
        <v>280.3816092081538</v>
      </c>
      <c r="F1609" s="83">
        <v>2990979.1323631937</v>
      </c>
      <c r="G1609" s="83" t="s">
        <v>622</v>
      </c>
      <c r="H1609" s="84">
        <f t="shared" si="45"/>
        <v>1.1510128913445605E-3</v>
      </c>
      <c r="J1609" s="83">
        <v>73.781427729577075</v>
      </c>
      <c r="K1609" s="83">
        <v>74.15172659550629</v>
      </c>
      <c r="L1609" s="83">
        <v>73.125327725514538</v>
      </c>
      <c r="M1609" s="83">
        <v>73.518987727952052</v>
      </c>
      <c r="N1609" s="83">
        <v>40977740.944256604</v>
      </c>
      <c r="O1609" s="83" t="s">
        <v>622</v>
      </c>
      <c r="P1609" s="84">
        <f t="shared" si="46"/>
        <v>3.5696900859971681E-3</v>
      </c>
    </row>
    <row r="1610" spans="2:16" ht="15" customHeight="1">
      <c r="B1610" s="83">
        <v>281.28523317889835</v>
      </c>
      <c r="C1610" s="83">
        <v>281.41432231757608</v>
      </c>
      <c r="D1610" s="83">
        <v>280.49225704130617</v>
      </c>
      <c r="E1610" s="83">
        <v>281.01783424878005</v>
      </c>
      <c r="F1610" s="83">
        <v>2405536.8498127079</v>
      </c>
      <c r="G1610" s="83" t="s">
        <v>621</v>
      </c>
      <c r="H1610" s="84">
        <f t="shared" si="45"/>
        <v>9.5153722479257574E-4</v>
      </c>
      <c r="J1610" s="83">
        <v>73.582112501070199</v>
      </c>
      <c r="K1610" s="83">
        <v>73.627114996803385</v>
      </c>
      <c r="L1610" s="83">
        <v>72.480162721519719</v>
      </c>
      <c r="M1610" s="83">
        <v>72.713277041144977</v>
      </c>
      <c r="N1610" s="83">
        <v>48209172.083750747</v>
      </c>
      <c r="O1610" s="83" t="s">
        <v>621</v>
      </c>
      <c r="P1610" s="84">
        <f t="shared" si="46"/>
        <v>1.1948787006719419E-2</v>
      </c>
    </row>
    <row r="1611" spans="2:16" ht="15" customHeight="1">
      <c r="B1611" s="83">
        <v>280.3355059443403</v>
      </c>
      <c r="C1611" s="83">
        <v>280.34472659710303</v>
      </c>
      <c r="D1611" s="83">
        <v>279.11837977966405</v>
      </c>
      <c r="E1611" s="83">
        <v>279.33045479320612</v>
      </c>
      <c r="F1611" s="83">
        <v>2800889.5535547915</v>
      </c>
      <c r="G1611" s="83" t="s">
        <v>620</v>
      </c>
      <c r="H1611" s="84">
        <f t="shared" si="45"/>
        <v>3.5980722255231079E-3</v>
      </c>
      <c r="J1611" s="83">
        <v>72.156089083149439</v>
      </c>
      <c r="K1611" s="83">
        <v>72.170503401420504</v>
      </c>
      <c r="L1611" s="83">
        <v>71.620274079831717</v>
      </c>
      <c r="M1611" s="83">
        <v>71.944347718201996</v>
      </c>
      <c r="N1611" s="83">
        <v>23613292.949352726</v>
      </c>
      <c r="O1611" s="83" t="s">
        <v>620</v>
      </c>
      <c r="P1611" s="84">
        <f t="shared" si="46"/>
        <v>2.9431271762558886E-3</v>
      </c>
    </row>
    <row r="1612" spans="2:16" ht="15" customHeight="1">
      <c r="B1612" s="83">
        <v>278.01190144814012</v>
      </c>
      <c r="C1612" s="83">
        <v>278.74033301639338</v>
      </c>
      <c r="D1612" s="83">
        <v>277.25580792159883</v>
      </c>
      <c r="E1612" s="83">
        <v>277.3664557547512</v>
      </c>
      <c r="F1612" s="83">
        <v>3060885.2460179194</v>
      </c>
      <c r="G1612" s="83" t="s">
        <v>619</v>
      </c>
      <c r="H1612" s="84">
        <f t="shared" si="45"/>
        <v>2.3270502975298868E-3</v>
      </c>
      <c r="J1612" s="83">
        <v>71.534782261120526</v>
      </c>
      <c r="K1612" s="83">
        <v>71.643883739068812</v>
      </c>
      <c r="L1612" s="83">
        <v>71.087938394717341</v>
      </c>
      <c r="M1612" s="83">
        <v>71.087938394717341</v>
      </c>
      <c r="N1612" s="83">
        <v>25806190.969610751</v>
      </c>
      <c r="O1612" s="83" t="s">
        <v>619</v>
      </c>
      <c r="P1612" s="84">
        <f t="shared" si="46"/>
        <v>6.2857901986421716E-3</v>
      </c>
    </row>
    <row r="1613" spans="2:16" ht="15" customHeight="1">
      <c r="B1613" s="83">
        <v>277.39411771303929</v>
      </c>
      <c r="C1613" s="83">
        <v>278.38072755864812</v>
      </c>
      <c r="D1613" s="83">
        <v>276.91464376937898</v>
      </c>
      <c r="E1613" s="83">
        <v>277.4402209768528</v>
      </c>
      <c r="F1613" s="83">
        <v>2842233.6980325202</v>
      </c>
      <c r="G1613" s="83" t="s">
        <v>618</v>
      </c>
      <c r="H1613" s="84">
        <f t="shared" si="45"/>
        <v>-1.661736847353712E-4</v>
      </c>
      <c r="J1613" s="83">
        <v>71.121240440378088</v>
      </c>
      <c r="K1613" s="83">
        <v>71.664014080102547</v>
      </c>
      <c r="L1613" s="83">
        <v>70.996482030514684</v>
      </c>
      <c r="M1613" s="83">
        <v>71.525338397425685</v>
      </c>
      <c r="N1613" s="83">
        <v>31394573.193809863</v>
      </c>
      <c r="O1613" s="83" t="s">
        <v>618</v>
      </c>
      <c r="P1613" s="84">
        <f t="shared" si="46"/>
        <v>-5.6497175141242417E-3</v>
      </c>
    </row>
    <row r="1614" spans="2:16" ht="15" customHeight="1">
      <c r="B1614" s="83">
        <v>277.76294382354729</v>
      </c>
      <c r="C1614" s="83">
        <v>277.83670904564889</v>
      </c>
      <c r="D1614" s="83">
        <v>276.14010893731228</v>
      </c>
      <c r="E1614" s="83">
        <v>276.53659700610831</v>
      </c>
      <c r="F1614" s="83">
        <v>2970215.9602833944</v>
      </c>
      <c r="G1614" s="83" t="s">
        <v>617</v>
      </c>
      <c r="H1614" s="84">
        <f t="shared" si="45"/>
        <v>4.434663732453048E-3</v>
      </c>
      <c r="J1614" s="83">
        <v>71.536273397493403</v>
      </c>
      <c r="K1614" s="83">
        <v>71.600392261526778</v>
      </c>
      <c r="L1614" s="83">
        <v>70.879676347973245</v>
      </c>
      <c r="M1614" s="83">
        <v>71.382189305630234</v>
      </c>
      <c r="N1614" s="83">
        <v>33266212.87129258</v>
      </c>
      <c r="O1614" s="83" t="s">
        <v>617</v>
      </c>
      <c r="P1614" s="84">
        <f t="shared" si="46"/>
        <v>2.1585789587292847E-3</v>
      </c>
    </row>
    <row r="1615" spans="2:16" ht="15" customHeight="1">
      <c r="B1615" s="83">
        <v>275.93725457653284</v>
      </c>
      <c r="C1615" s="83">
        <v>277.41255901856471</v>
      </c>
      <c r="D1615" s="83">
        <v>275.50388389668603</v>
      </c>
      <c r="E1615" s="83">
        <v>277.30191118541234</v>
      </c>
      <c r="F1615" s="83">
        <v>3976945.1191507489</v>
      </c>
      <c r="G1615" s="83" t="s">
        <v>616</v>
      </c>
      <c r="H1615" s="84">
        <f t="shared" si="45"/>
        <v>-4.9211943871784181E-3</v>
      </c>
      <c r="J1615" s="83">
        <v>71.064080212751435</v>
      </c>
      <c r="K1615" s="83">
        <v>71.32250408707884</v>
      </c>
      <c r="L1615" s="83">
        <v>70.498442481976298</v>
      </c>
      <c r="M1615" s="83">
        <v>70.956221348447201</v>
      </c>
      <c r="N1615" s="83">
        <v>36647875.401793875</v>
      </c>
      <c r="O1615" s="83" t="s">
        <v>616</v>
      </c>
      <c r="P1615" s="84">
        <f t="shared" si="46"/>
        <v>1.5200762139597757E-3</v>
      </c>
    </row>
    <row r="1616" spans="2:16" ht="15" customHeight="1">
      <c r="B1616" s="83">
        <v>276.73023071412496</v>
      </c>
      <c r="C1616" s="83">
        <v>276.79477528346388</v>
      </c>
      <c r="D1616" s="83">
        <v>275.78050347956696</v>
      </c>
      <c r="E1616" s="83">
        <v>276.37062525637975</v>
      </c>
      <c r="F1616" s="83">
        <v>2357623.7560904063</v>
      </c>
      <c r="G1616" s="83" t="s">
        <v>615</v>
      </c>
      <c r="H1616" s="84">
        <f t="shared" si="45"/>
        <v>1.3011710539483357E-3</v>
      </c>
      <c r="J1616" s="83">
        <v>70.572005209704528</v>
      </c>
      <c r="K1616" s="83">
        <v>70.944789302921876</v>
      </c>
      <c r="L1616" s="83">
        <v>70.09682975221682</v>
      </c>
      <c r="M1616" s="83">
        <v>70.608786573568636</v>
      </c>
      <c r="N1616" s="83">
        <v>30231922.995247602</v>
      </c>
      <c r="O1616" s="83" t="s">
        <v>615</v>
      </c>
      <c r="P1616" s="84">
        <f t="shared" si="46"/>
        <v>-5.2091765981254756E-4</v>
      </c>
    </row>
    <row r="1617" spans="2:16" ht="15" customHeight="1">
      <c r="B1617" s="83">
        <v>274.83077624500896</v>
      </c>
      <c r="C1617" s="83">
        <v>275.98335784034634</v>
      </c>
      <c r="D1617" s="83">
        <v>273.36469245573983</v>
      </c>
      <c r="E1617" s="83">
        <v>273.58598812204457</v>
      </c>
      <c r="F1617" s="83">
        <v>4039148.958158792</v>
      </c>
      <c r="G1617" s="83" t="s">
        <v>614</v>
      </c>
      <c r="H1617" s="84">
        <f t="shared" si="45"/>
        <v>4.5498972060260545E-3</v>
      </c>
      <c r="J1617" s="83">
        <v>69.801087704931064</v>
      </c>
      <c r="K1617" s="83">
        <v>70.161942707165451</v>
      </c>
      <c r="L1617" s="83">
        <v>69.131070428055082</v>
      </c>
      <c r="M1617" s="83">
        <v>69.192704064800353</v>
      </c>
      <c r="N1617" s="83">
        <v>30765334.971825864</v>
      </c>
      <c r="O1617" s="83" t="s">
        <v>614</v>
      </c>
      <c r="P1617" s="84">
        <f t="shared" si="46"/>
        <v>8.7925981265444264E-3</v>
      </c>
    </row>
    <row r="1618" spans="2:16" ht="15" customHeight="1">
      <c r="B1618" s="83">
        <v>273.42001637231596</v>
      </c>
      <c r="C1618" s="83">
        <v>274.10234467675571</v>
      </c>
      <c r="D1618" s="83">
        <v>272.98765996427306</v>
      </c>
      <c r="E1618" s="83">
        <v>273.68741530243426</v>
      </c>
      <c r="F1618" s="83">
        <v>2586294.1175348382</v>
      </c>
      <c r="G1618" s="83" t="s">
        <v>613</v>
      </c>
      <c r="H1618" s="84">
        <f t="shared" si="45"/>
        <v>-9.770231116502659E-4</v>
      </c>
      <c r="J1618" s="83">
        <v>69.255331792460865</v>
      </c>
      <c r="K1618" s="83">
        <v>69.73498065906719</v>
      </c>
      <c r="L1618" s="83">
        <v>69.108206337004432</v>
      </c>
      <c r="M1618" s="83">
        <v>69.483972702967506</v>
      </c>
      <c r="N1618" s="83">
        <v>30413576.400615729</v>
      </c>
      <c r="O1618" s="83" t="s">
        <v>613</v>
      </c>
      <c r="P1618" s="84">
        <f t="shared" si="46"/>
        <v>-3.2905561039816567E-3</v>
      </c>
    </row>
    <row r="1619" spans="2:16" ht="15" customHeight="1">
      <c r="B1619" s="83">
        <v>274.17610989885736</v>
      </c>
      <c r="C1619" s="83">
        <v>274.24065446819623</v>
      </c>
      <c r="D1619" s="83">
        <v>271.40991407004765</v>
      </c>
      <c r="E1619" s="83">
        <v>271.47445863938651</v>
      </c>
      <c r="F1619" s="83">
        <v>3017259.2674291483</v>
      </c>
      <c r="G1619" s="83" t="s">
        <v>612</v>
      </c>
      <c r="H1619" s="84">
        <f t="shared" si="45"/>
        <v>9.9517695808708506E-3</v>
      </c>
      <c r="J1619" s="83">
        <v>69.298574747274074</v>
      </c>
      <c r="K1619" s="83">
        <v>69.412398157069774</v>
      </c>
      <c r="L1619" s="83">
        <v>67.101136779122228</v>
      </c>
      <c r="M1619" s="83">
        <v>67.101136779122228</v>
      </c>
      <c r="N1619" s="83">
        <v>34869024.018203929</v>
      </c>
      <c r="O1619" s="83" t="s">
        <v>612</v>
      </c>
      <c r="P1619" s="84">
        <f t="shared" si="46"/>
        <v>3.2748148148148193E-2</v>
      </c>
    </row>
    <row r="1620" spans="2:16" ht="15" customHeight="1">
      <c r="B1620" s="83">
        <v>273.15261744219777</v>
      </c>
      <c r="C1620" s="83">
        <v>274.18533055162004</v>
      </c>
      <c r="D1620" s="83">
        <v>272.04613911067389</v>
      </c>
      <c r="E1620" s="83">
        <v>272.21211086040245</v>
      </c>
      <c r="F1620" s="83">
        <v>3522592.2541401745</v>
      </c>
      <c r="G1620" s="83" t="s">
        <v>611</v>
      </c>
      <c r="H1620" s="84">
        <f t="shared" si="45"/>
        <v>3.4550504708352747E-3</v>
      </c>
      <c r="J1620" s="83">
        <v>67.630987236948485</v>
      </c>
      <c r="K1620" s="83">
        <v>68.219489058774272</v>
      </c>
      <c r="L1620" s="83">
        <v>66.879633441387057</v>
      </c>
      <c r="M1620" s="83">
        <v>66.994769051190872</v>
      </c>
      <c r="N1620" s="83">
        <v>23881236.249019656</v>
      </c>
      <c r="O1620" s="83" t="s">
        <v>611</v>
      </c>
      <c r="P1620" s="84">
        <f t="shared" si="46"/>
        <v>9.4965352484681631E-3</v>
      </c>
    </row>
    <row r="1621" spans="2:16" ht="15" customHeight="1">
      <c r="B1621" s="83">
        <v>275.16271974446613</v>
      </c>
      <c r="C1621" s="83">
        <v>275.19038170275422</v>
      </c>
      <c r="D1621" s="83">
        <v>273.24482396982472</v>
      </c>
      <c r="E1621" s="83">
        <v>274.12078598228118</v>
      </c>
      <c r="F1621" s="83">
        <v>3415984.8343296642</v>
      </c>
      <c r="G1621" s="83" t="s">
        <v>610</v>
      </c>
      <c r="H1621" s="84">
        <f t="shared" si="45"/>
        <v>3.8010023882402155E-3</v>
      </c>
      <c r="J1621" s="83">
        <v>67.964504739013606</v>
      </c>
      <c r="K1621" s="83">
        <v>68.002777239250591</v>
      </c>
      <c r="L1621" s="83">
        <v>66.681133367430689</v>
      </c>
      <c r="M1621" s="83">
        <v>66.681133367430689</v>
      </c>
      <c r="N1621" s="83">
        <v>28301858.078071781</v>
      </c>
      <c r="O1621" s="83" t="s">
        <v>610</v>
      </c>
      <c r="P1621" s="84">
        <f t="shared" si="46"/>
        <v>1.9246394096380959E-2</v>
      </c>
    </row>
    <row r="1622" spans="2:16" ht="15" customHeight="1">
      <c r="B1622" s="83">
        <v>272.746908720639</v>
      </c>
      <c r="C1622" s="83">
        <v>272.92210112313029</v>
      </c>
      <c r="D1622" s="83">
        <v>271.24394232031904</v>
      </c>
      <c r="E1622" s="83">
        <v>271.57588581977615</v>
      </c>
      <c r="F1622" s="83">
        <v>2725098.8239844227</v>
      </c>
      <c r="G1622" s="83" t="s">
        <v>609</v>
      </c>
      <c r="H1622" s="84">
        <f t="shared" si="45"/>
        <v>4.3119546395955499E-3</v>
      </c>
      <c r="J1622" s="83">
        <v>66.455971775127409</v>
      </c>
      <c r="K1622" s="83">
        <v>66.504682229974478</v>
      </c>
      <c r="L1622" s="83">
        <v>66.061566204503464</v>
      </c>
      <c r="M1622" s="83">
        <v>66.112513363909827</v>
      </c>
      <c r="N1622" s="83">
        <v>19363782.230352208</v>
      </c>
      <c r="O1622" s="83" t="s">
        <v>609</v>
      </c>
      <c r="P1622" s="84">
        <f t="shared" si="46"/>
        <v>5.1950590552660714E-3</v>
      </c>
    </row>
    <row r="1623" spans="2:16" ht="15" customHeight="1">
      <c r="B1623" s="83">
        <v>272.04613911067389</v>
      </c>
      <c r="C1623" s="83">
        <v>273.70585660795967</v>
      </c>
      <c r="D1623" s="83">
        <v>271.55772113383364</v>
      </c>
      <c r="E1623" s="83">
        <v>273.6228707330954</v>
      </c>
      <c r="F1623" s="83">
        <v>2548204.6233267086</v>
      </c>
      <c r="G1623" s="83" t="s">
        <v>608</v>
      </c>
      <c r="H1623" s="84">
        <f t="shared" si="45"/>
        <v>-5.7624262847513208E-3</v>
      </c>
      <c r="J1623" s="83">
        <v>66.412231774856579</v>
      </c>
      <c r="K1623" s="83">
        <v>67.250250416409173</v>
      </c>
      <c r="L1623" s="83">
        <v>66.306858137840479</v>
      </c>
      <c r="M1623" s="83">
        <v>67.101136779122228</v>
      </c>
      <c r="N1623" s="83">
        <v>21151445.685218181</v>
      </c>
      <c r="O1623" s="83" t="s">
        <v>608</v>
      </c>
      <c r="P1623" s="84">
        <f t="shared" si="46"/>
        <v>-1.0266666666666535E-2</v>
      </c>
    </row>
    <row r="1624" spans="2:16" ht="15" customHeight="1">
      <c r="B1624" s="83">
        <v>273.5491055109938</v>
      </c>
      <c r="C1624" s="83">
        <v>274.3236403430605</v>
      </c>
      <c r="D1624" s="83">
        <v>273.06870950205717</v>
      </c>
      <c r="E1624" s="83">
        <v>274.3236403430605</v>
      </c>
      <c r="F1624" s="83">
        <v>2413727.1593215428</v>
      </c>
      <c r="G1624" s="83" t="s">
        <v>607</v>
      </c>
      <c r="H1624" s="84">
        <f t="shared" si="45"/>
        <v>-2.8234345064030997E-3</v>
      </c>
      <c r="J1624" s="83">
        <v>67.195078370613004</v>
      </c>
      <c r="K1624" s="83">
        <v>67.823343829048639</v>
      </c>
      <c r="L1624" s="83">
        <v>67.066840642546239</v>
      </c>
      <c r="M1624" s="83">
        <v>67.746798828574669</v>
      </c>
      <c r="N1624" s="83">
        <v>20897847.149980035</v>
      </c>
      <c r="O1624" s="83" t="s">
        <v>607</v>
      </c>
      <c r="P1624" s="84">
        <f t="shared" si="46"/>
        <v>-8.1438601897297902E-3</v>
      </c>
    </row>
    <row r="1625" spans="2:16" ht="15" customHeight="1">
      <c r="B1625" s="83">
        <v>273.5491055109938</v>
      </c>
      <c r="C1625" s="83">
        <v>273.56754681651921</v>
      </c>
      <c r="D1625" s="83">
        <v>272.48873044328337</v>
      </c>
      <c r="E1625" s="83">
        <v>272.5256130543342</v>
      </c>
      <c r="F1625" s="83">
        <v>2593730.6843121266</v>
      </c>
      <c r="G1625" s="83" t="s">
        <v>606</v>
      </c>
      <c r="H1625" s="84">
        <f t="shared" si="45"/>
        <v>3.7555826228177214E-3</v>
      </c>
      <c r="J1625" s="83">
        <v>67.618064055050283</v>
      </c>
      <c r="K1625" s="83">
        <v>67.664135198517371</v>
      </c>
      <c r="L1625" s="83">
        <v>66.826270641056638</v>
      </c>
      <c r="M1625" s="83">
        <v>66.910768368852573</v>
      </c>
      <c r="N1625" s="83">
        <v>13434465.394638168</v>
      </c>
      <c r="O1625" s="83" t="s">
        <v>606</v>
      </c>
      <c r="P1625" s="84">
        <f t="shared" si="46"/>
        <v>1.0570730294093611E-2</v>
      </c>
    </row>
    <row r="1626" spans="2:16" ht="15" customHeight="1">
      <c r="B1626" s="83">
        <v>272.15678694382626</v>
      </c>
      <c r="C1626" s="83">
        <v>272.378082610131</v>
      </c>
      <c r="D1626" s="83">
        <v>271.8709467081826</v>
      </c>
      <c r="E1626" s="83">
        <v>272.34119999908023</v>
      </c>
      <c r="F1626" s="83">
        <v>1416272.8318789175</v>
      </c>
      <c r="G1626" s="83" t="s">
        <v>605</v>
      </c>
      <c r="H1626" s="84">
        <f t="shared" si="45"/>
        <v>-6.7713976164673895E-4</v>
      </c>
      <c r="J1626" s="83">
        <v>66.781039504412931</v>
      </c>
      <c r="K1626" s="83">
        <v>67.11405996102043</v>
      </c>
      <c r="L1626" s="83">
        <v>66.742269958718339</v>
      </c>
      <c r="M1626" s="83">
        <v>67.026579960478756</v>
      </c>
      <c r="N1626" s="83">
        <v>6991674.3965799781</v>
      </c>
      <c r="O1626" s="83" t="s">
        <v>605</v>
      </c>
      <c r="P1626" s="84">
        <f t="shared" si="46"/>
        <v>-3.6633296255098591E-3</v>
      </c>
    </row>
    <row r="1627" spans="2:16" ht="15" customHeight="1">
      <c r="B1627" s="83">
        <v>272.15678694382626</v>
      </c>
      <c r="C1627" s="83">
        <v>272.49795109604605</v>
      </c>
      <c r="D1627" s="83">
        <v>272.00003584686038</v>
      </c>
      <c r="E1627" s="83">
        <v>272.46106848499534</v>
      </c>
      <c r="F1627" s="83">
        <v>2521785.6694555194</v>
      </c>
      <c r="G1627" s="83" t="s">
        <v>604</v>
      </c>
      <c r="H1627" s="84">
        <f t="shared" si="45"/>
        <v>-1.116789062235668E-3</v>
      </c>
      <c r="J1627" s="83">
        <v>67.04347950603794</v>
      </c>
      <c r="K1627" s="83">
        <v>67.588236357138314</v>
      </c>
      <c r="L1627" s="83">
        <v>66.927667914411757</v>
      </c>
      <c r="M1627" s="83">
        <v>67.392902462747003</v>
      </c>
      <c r="N1627" s="83">
        <v>17768998.518233407</v>
      </c>
      <c r="O1627" s="83" t="s">
        <v>604</v>
      </c>
      <c r="P1627" s="84">
        <f t="shared" si="46"/>
        <v>-5.1848628555835052E-3</v>
      </c>
    </row>
    <row r="1628" spans="2:16" ht="15" customHeight="1">
      <c r="B1628" s="83">
        <v>271.89077111162226</v>
      </c>
      <c r="C1628" s="83">
        <v>272.3128762574587</v>
      </c>
      <c r="D1628" s="83">
        <v>271.41360877285058</v>
      </c>
      <c r="E1628" s="83">
        <v>271.51454695989844</v>
      </c>
      <c r="F1628" s="83">
        <v>5433239.946542833</v>
      </c>
      <c r="G1628" s="83" t="s">
        <v>603</v>
      </c>
      <c r="H1628" s="84">
        <f t="shared" si="45"/>
        <v>1.3856500726621146E-3</v>
      </c>
      <c r="J1628" s="83">
        <v>67.080757915359683</v>
      </c>
      <c r="K1628" s="83">
        <v>67.779106783320188</v>
      </c>
      <c r="L1628" s="83">
        <v>67.051432233359918</v>
      </c>
      <c r="M1628" s="83">
        <v>67.764692465049109</v>
      </c>
      <c r="N1628" s="83">
        <v>66732427.570336245</v>
      </c>
      <c r="O1628" s="83" t="s">
        <v>603</v>
      </c>
      <c r="P1628" s="84">
        <f t="shared" si="46"/>
        <v>-1.009278615175857E-2</v>
      </c>
    </row>
    <row r="1629" spans="2:16" ht="15" customHeight="1">
      <c r="B1629" s="83">
        <v>270.51434128824246</v>
      </c>
      <c r="C1629" s="83">
        <v>270.5877508788227</v>
      </c>
      <c r="D1629" s="83">
        <v>269.55084041187661</v>
      </c>
      <c r="E1629" s="83">
        <v>269.57836900834417</v>
      </c>
      <c r="F1629" s="83">
        <v>2542978.9013182321</v>
      </c>
      <c r="G1629" s="83" t="s">
        <v>602</v>
      </c>
      <c r="H1629" s="84">
        <f t="shared" si="45"/>
        <v>3.4719858397440628E-3</v>
      </c>
      <c r="J1629" s="83">
        <v>67.401352235526602</v>
      </c>
      <c r="K1629" s="83">
        <v>67.503743599796962</v>
      </c>
      <c r="L1629" s="83">
        <v>67.050686665173473</v>
      </c>
      <c r="M1629" s="83">
        <v>67.191599052409643</v>
      </c>
      <c r="N1629" s="83">
        <v>29577013.077034816</v>
      </c>
      <c r="O1629" s="83" t="s">
        <v>602</v>
      </c>
      <c r="P1629" s="84">
        <f t="shared" si="46"/>
        <v>3.1217173884097171E-3</v>
      </c>
    </row>
    <row r="1630" spans="2:16" ht="15" customHeight="1">
      <c r="B1630" s="83">
        <v>269.39484503189351</v>
      </c>
      <c r="C1630" s="83">
        <v>269.98212175653561</v>
      </c>
      <c r="D1630" s="83">
        <v>269.38566883307101</v>
      </c>
      <c r="E1630" s="83">
        <v>269.79859778008495</v>
      </c>
      <c r="F1630" s="83">
        <v>3591210.329824476</v>
      </c>
      <c r="G1630" s="83" t="s">
        <v>601</v>
      </c>
      <c r="H1630" s="84">
        <f t="shared" si="45"/>
        <v>-1.4964968369499676E-3</v>
      </c>
      <c r="J1630" s="83">
        <v>67.231362689019491</v>
      </c>
      <c r="K1630" s="83">
        <v>67.621543373253644</v>
      </c>
      <c r="L1630" s="83">
        <v>67.150841324884539</v>
      </c>
      <c r="M1630" s="83">
        <v>67.42918678115349</v>
      </c>
      <c r="N1630" s="83">
        <v>33338379.308888711</v>
      </c>
      <c r="O1630" s="83" t="s">
        <v>601</v>
      </c>
      <c r="P1630" s="84">
        <f t="shared" si="46"/>
        <v>-2.9338051009877297E-3</v>
      </c>
    </row>
    <row r="1631" spans="2:16" ht="15" customHeight="1">
      <c r="B1631" s="83">
        <v>269.37649263424851</v>
      </c>
      <c r="C1631" s="83">
        <v>269.95459316006799</v>
      </c>
      <c r="D1631" s="83">
        <v>269.32143544131327</v>
      </c>
      <c r="E1631" s="83">
        <v>269.77106918361739</v>
      </c>
      <c r="F1631" s="83">
        <v>3987739.4450247064</v>
      </c>
      <c r="G1631" s="83" t="s">
        <v>600</v>
      </c>
      <c r="H1631" s="84">
        <f t="shared" si="45"/>
        <v>-1.462634783496064E-3</v>
      </c>
      <c r="J1631" s="83">
        <v>67.355624053425274</v>
      </c>
      <c r="K1631" s="83">
        <v>67.846704965556924</v>
      </c>
      <c r="L1631" s="83">
        <v>67.166900863620356</v>
      </c>
      <c r="M1631" s="83">
        <v>67.741828373998445</v>
      </c>
      <c r="N1631" s="83">
        <v>37325740.966869555</v>
      </c>
      <c r="O1631" s="83" t="s">
        <v>600</v>
      </c>
      <c r="P1631" s="84">
        <f t="shared" si="46"/>
        <v>-5.7011204132395576E-3</v>
      </c>
    </row>
    <row r="1632" spans="2:16" ht="15" customHeight="1">
      <c r="B1632" s="83">
        <v>269.32143544131327</v>
      </c>
      <c r="C1632" s="83">
        <v>269.88118356948775</v>
      </c>
      <c r="D1632" s="83">
        <v>269.06450187428243</v>
      </c>
      <c r="E1632" s="83">
        <v>269.10120666957249</v>
      </c>
      <c r="F1632" s="83">
        <v>3424566.1638060613</v>
      </c>
      <c r="G1632" s="83" t="s">
        <v>599</v>
      </c>
      <c r="H1632" s="84">
        <f t="shared" si="45"/>
        <v>8.1838641478548801E-4</v>
      </c>
      <c r="J1632" s="83">
        <v>67.656336555287268</v>
      </c>
      <c r="K1632" s="83">
        <v>67.830799510912982</v>
      </c>
      <c r="L1632" s="83">
        <v>67.23384791630761</v>
      </c>
      <c r="M1632" s="83">
        <v>67.424216326577266</v>
      </c>
      <c r="N1632" s="83">
        <v>28115154.832771502</v>
      </c>
      <c r="O1632" s="83" t="s">
        <v>599</v>
      </c>
      <c r="P1632" s="84">
        <f t="shared" si="46"/>
        <v>3.4426833763361309E-3</v>
      </c>
    </row>
    <row r="1633" spans="2:16" ht="15" customHeight="1">
      <c r="B1633" s="83">
        <v>267.43113848387168</v>
      </c>
      <c r="C1633" s="83">
        <v>268.64239672844593</v>
      </c>
      <c r="D1633" s="83">
        <v>266.38505181810308</v>
      </c>
      <c r="E1633" s="83">
        <v>267.10997152508304</v>
      </c>
      <c r="F1633" s="83">
        <v>3836557.0189646301</v>
      </c>
      <c r="G1633" s="83" t="s">
        <v>598</v>
      </c>
      <c r="H1633" s="84">
        <f t="shared" si="45"/>
        <v>1.2023772716343029E-3</v>
      </c>
      <c r="J1633" s="83">
        <v>66.993277914818009</v>
      </c>
      <c r="K1633" s="83">
        <v>67.254877909619637</v>
      </c>
      <c r="L1633" s="83">
        <v>66.796447913599252</v>
      </c>
      <c r="M1633" s="83">
        <v>66.999242460309489</v>
      </c>
      <c r="N1633" s="83">
        <v>31184833.826109927</v>
      </c>
      <c r="O1633" s="83" t="s">
        <v>598</v>
      </c>
      <c r="P1633" s="84">
        <f t="shared" si="46"/>
        <v>-8.902407359323572E-5</v>
      </c>
    </row>
    <row r="1634" spans="2:16" ht="15" customHeight="1">
      <c r="B1634" s="83">
        <v>267.33020029682382</v>
      </c>
      <c r="C1634" s="83">
        <v>268.03805227399397</v>
      </c>
      <c r="D1634" s="83">
        <v>264.83427421709519</v>
      </c>
      <c r="E1634" s="83">
        <v>265.05450298883596</v>
      </c>
      <c r="F1634" s="83">
        <v>3571623.7882209225</v>
      </c>
      <c r="G1634" s="83" t="s">
        <v>597</v>
      </c>
      <c r="H1634" s="84">
        <f t="shared" si="45"/>
        <v>8.5857711615022758E-3</v>
      </c>
      <c r="J1634" s="83">
        <v>67.114557006478051</v>
      </c>
      <c r="K1634" s="83">
        <v>67.388180530899589</v>
      </c>
      <c r="L1634" s="83">
        <v>66.62894359438026</v>
      </c>
      <c r="M1634" s="83">
        <v>66.899336323327248</v>
      </c>
      <c r="N1634" s="83">
        <v>25786816.484134011</v>
      </c>
      <c r="O1634" s="83" t="s">
        <v>597</v>
      </c>
      <c r="P1634" s="84">
        <f t="shared" si="46"/>
        <v>3.2170824851032176E-3</v>
      </c>
    </row>
    <row r="1635" spans="2:16" ht="15" customHeight="1">
      <c r="B1635" s="83">
        <v>264.99944579590073</v>
      </c>
      <c r="C1635" s="83">
        <v>265.26555556175413</v>
      </c>
      <c r="D1635" s="83">
        <v>264.34793567950095</v>
      </c>
      <c r="E1635" s="83">
        <v>264.68745503593465</v>
      </c>
      <c r="F1635" s="83">
        <v>2001297.0899134004</v>
      </c>
      <c r="G1635" s="83" t="s">
        <v>596</v>
      </c>
      <c r="H1635" s="84">
        <f t="shared" si="45"/>
        <v>1.1787138152192789E-3</v>
      </c>
      <c r="J1635" s="83">
        <v>66.853608141225919</v>
      </c>
      <c r="K1635" s="83">
        <v>67.160782234037015</v>
      </c>
      <c r="L1635" s="83">
        <v>66.73680245868448</v>
      </c>
      <c r="M1635" s="83">
        <v>67.142888597562575</v>
      </c>
      <c r="N1635" s="83">
        <v>17117066.194881011</v>
      </c>
      <c r="O1635" s="83" t="s">
        <v>596</v>
      </c>
      <c r="P1635" s="84">
        <f t="shared" si="46"/>
        <v>-4.3084303100292543E-3</v>
      </c>
    </row>
    <row r="1636" spans="2:16" ht="15" customHeight="1">
      <c r="B1636" s="83">
        <v>264.31123088421083</v>
      </c>
      <c r="C1636" s="83">
        <v>265.13525353847422</v>
      </c>
      <c r="D1636" s="83">
        <v>263.67807316545617</v>
      </c>
      <c r="E1636" s="83">
        <v>264.55898825241923</v>
      </c>
      <c r="F1636" s="83">
        <v>1987269.4949920774</v>
      </c>
      <c r="G1636" s="83" t="s">
        <v>595</v>
      </c>
      <c r="H1636" s="84">
        <f t="shared" si="45"/>
        <v>-9.3649197044864962E-4</v>
      </c>
      <c r="J1636" s="83">
        <v>66.835714504751479</v>
      </c>
      <c r="K1636" s="83">
        <v>67.099894165478176</v>
      </c>
      <c r="L1636" s="83">
        <v>66.407261320280341</v>
      </c>
      <c r="M1636" s="83">
        <v>66.67864814014257</v>
      </c>
      <c r="N1636" s="83">
        <v>22023196.937250625</v>
      </c>
      <c r="O1636" s="83" t="s">
        <v>595</v>
      </c>
      <c r="P1636" s="84">
        <f t="shared" si="46"/>
        <v>2.3555721207604297E-3</v>
      </c>
    </row>
    <row r="1637" spans="2:16" ht="15" customHeight="1">
      <c r="B1637" s="83">
        <v>264.55898825241923</v>
      </c>
      <c r="C1637" s="83">
        <v>265.66930830994556</v>
      </c>
      <c r="D1637" s="83">
        <v>264.52228345712905</v>
      </c>
      <c r="E1637" s="83">
        <v>265.07285538648097</v>
      </c>
      <c r="F1637" s="83">
        <v>1613243.1616074464</v>
      </c>
      <c r="G1637" s="83" t="s">
        <v>594</v>
      </c>
      <c r="H1637" s="84">
        <f t="shared" si="45"/>
        <v>-1.9385882923111941E-3</v>
      </c>
      <c r="J1637" s="83">
        <v>66.781039504412931</v>
      </c>
      <c r="K1637" s="83">
        <v>67.570844736576092</v>
      </c>
      <c r="L1637" s="83">
        <v>66.496729502652499</v>
      </c>
      <c r="M1637" s="83">
        <v>66.506670411804976</v>
      </c>
      <c r="N1637" s="83">
        <v>27277082.5928762</v>
      </c>
      <c r="O1637" s="83" t="s">
        <v>594</v>
      </c>
      <c r="P1637" s="84">
        <f t="shared" si="46"/>
        <v>4.1254372066603651E-3</v>
      </c>
    </row>
    <row r="1638" spans="2:16" ht="15" customHeight="1">
      <c r="B1638" s="83">
        <v>265.36649374880199</v>
      </c>
      <c r="C1638" s="83">
        <v>265.78859889463848</v>
      </c>
      <c r="D1638" s="83">
        <v>264.77517949667805</v>
      </c>
      <c r="E1638" s="83">
        <v>264.80674562062757</v>
      </c>
      <c r="F1638" s="83">
        <v>1753986.6246663299</v>
      </c>
      <c r="G1638" s="83" t="s">
        <v>593</v>
      </c>
      <c r="H1638" s="84">
        <f t="shared" si="45"/>
        <v>2.113798600041461E-3</v>
      </c>
      <c r="J1638" s="83">
        <v>66.634908139871726</v>
      </c>
      <c r="K1638" s="83">
        <v>66.802909504548353</v>
      </c>
      <c r="L1638" s="83">
        <v>66.278029501298334</v>
      </c>
      <c r="M1638" s="83">
        <v>66.278029501298334</v>
      </c>
      <c r="N1638" s="83">
        <v>26466593.343207911</v>
      </c>
      <c r="O1638" s="83" t="s">
        <v>593</v>
      </c>
      <c r="P1638" s="84">
        <f t="shared" si="46"/>
        <v>5.3845692344609564E-3</v>
      </c>
    </row>
    <row r="1639" spans="2:16" ht="15" customHeight="1">
      <c r="B1639" s="83">
        <v>263.02656304905634</v>
      </c>
      <c r="C1639" s="83">
        <v>263.20091082668444</v>
      </c>
      <c r="D1639" s="83">
        <v>261.78777620801458</v>
      </c>
      <c r="E1639" s="83">
        <v>263.20091082668444</v>
      </c>
      <c r="F1639" s="83">
        <v>1740649.9476427787</v>
      </c>
      <c r="G1639" s="83" t="s">
        <v>592</v>
      </c>
      <c r="H1639" s="84">
        <f t="shared" si="45"/>
        <v>-6.6241327615657042E-4</v>
      </c>
      <c r="J1639" s="83">
        <v>66.014098363300462</v>
      </c>
      <c r="K1639" s="83">
        <v>66.075130575041996</v>
      </c>
      <c r="L1639" s="83">
        <v>65.433052223339018</v>
      </c>
      <c r="M1639" s="83">
        <v>66.007636772351347</v>
      </c>
      <c r="N1639" s="83">
        <v>24400544.887779441</v>
      </c>
      <c r="O1639" s="83" t="s">
        <v>592</v>
      </c>
      <c r="P1639" s="84">
        <f t="shared" si="46"/>
        <v>9.7891566265273511E-5</v>
      </c>
    </row>
    <row r="1640" spans="2:16" ht="15" customHeight="1">
      <c r="B1640" s="83">
        <v>262.54022451146216</v>
      </c>
      <c r="C1640" s="83">
        <v>263.08162024199152</v>
      </c>
      <c r="D1640" s="83">
        <v>261.58589983391886</v>
      </c>
      <c r="E1640" s="83">
        <v>261.89789059388494</v>
      </c>
      <c r="F1640" s="83">
        <v>3476200.8340179324</v>
      </c>
      <c r="G1640" s="83" t="s">
        <v>591</v>
      </c>
      <c r="H1640" s="84">
        <f t="shared" si="45"/>
        <v>2.4526120318137945E-3</v>
      </c>
      <c r="J1640" s="83">
        <v>65.636840860964497</v>
      </c>
      <c r="K1640" s="83">
        <v>65.898286771674265</v>
      </c>
      <c r="L1640" s="83">
        <v>64.857970628869055</v>
      </c>
      <c r="M1640" s="83">
        <v>64.964338356800411</v>
      </c>
      <c r="N1640" s="83">
        <v>30945056.964311574</v>
      </c>
      <c r="O1640" s="83" t="s">
        <v>591</v>
      </c>
      <c r="P1640" s="84">
        <f t="shared" si="46"/>
        <v>1.0351871829595627E-2</v>
      </c>
    </row>
    <row r="1641" spans="2:16" ht="15" customHeight="1">
      <c r="B1641" s="83">
        <v>260.87015632576134</v>
      </c>
      <c r="C1641" s="83">
        <v>260.99862310927682</v>
      </c>
      <c r="D1641" s="83">
        <v>258.86056878362689</v>
      </c>
      <c r="E1641" s="83">
        <v>260.16358901642639</v>
      </c>
      <c r="F1641" s="83">
        <v>3542062.5281342375</v>
      </c>
      <c r="G1641" s="83" t="s">
        <v>590</v>
      </c>
      <c r="H1641" s="84">
        <f t="shared" si="45"/>
        <v>2.7158577878103607E-3</v>
      </c>
      <c r="J1641" s="83">
        <v>64.381304035008469</v>
      </c>
      <c r="K1641" s="83">
        <v>64.539414195078393</v>
      </c>
      <c r="L1641" s="83">
        <v>63.572114029998026</v>
      </c>
      <c r="M1641" s="83">
        <v>63.600445621082542</v>
      </c>
      <c r="N1641" s="83">
        <v>25523762.073325697</v>
      </c>
      <c r="O1641" s="83" t="s">
        <v>590</v>
      </c>
      <c r="P1641" s="84">
        <f t="shared" si="46"/>
        <v>1.2277561993482067E-2</v>
      </c>
    </row>
    <row r="1642" spans="2:16" ht="15" customHeight="1">
      <c r="B1642" s="83">
        <v>262.71457228909026</v>
      </c>
      <c r="C1642" s="83">
        <v>265.2196745676415</v>
      </c>
      <c r="D1642" s="83">
        <v>262.29246714325376</v>
      </c>
      <c r="E1642" s="83">
        <v>265.2196745676415</v>
      </c>
      <c r="F1642" s="83">
        <v>4819990.374597826</v>
      </c>
      <c r="G1642" s="83" t="s">
        <v>589</v>
      </c>
      <c r="H1642" s="84">
        <f t="shared" si="45"/>
        <v>-9.445386292080471E-3</v>
      </c>
      <c r="J1642" s="83">
        <v>64.114887669722478</v>
      </c>
      <c r="K1642" s="83">
        <v>64.905686992800867</v>
      </c>
      <c r="L1642" s="83">
        <v>63.671523121522654</v>
      </c>
      <c r="M1642" s="83">
        <v>64.665614036768901</v>
      </c>
      <c r="N1642" s="83">
        <v>30416755.18431804</v>
      </c>
      <c r="O1642" s="83" t="s">
        <v>589</v>
      </c>
      <c r="P1642" s="84">
        <f t="shared" si="46"/>
        <v>-8.5165257494235203E-3</v>
      </c>
    </row>
    <row r="1643" spans="2:16" ht="15" customHeight="1">
      <c r="B1643" s="83">
        <v>264.87097901238525</v>
      </c>
      <c r="C1643" s="83">
        <v>265.63260351465544</v>
      </c>
      <c r="D1643" s="83">
        <v>264.71498363240227</v>
      </c>
      <c r="E1643" s="83">
        <v>265.42155094173722</v>
      </c>
      <c r="F1643" s="83">
        <v>2166975.714516317</v>
      </c>
      <c r="G1643" s="83" t="s">
        <v>588</v>
      </c>
      <c r="H1643" s="84">
        <f t="shared" si="45"/>
        <v>-2.0743301642179857E-3</v>
      </c>
      <c r="J1643" s="83">
        <v>64.862444037987672</v>
      </c>
      <c r="K1643" s="83">
        <v>65.123144380510993</v>
      </c>
      <c r="L1643" s="83">
        <v>64.813236537682982</v>
      </c>
      <c r="M1643" s="83">
        <v>64.969805856834256</v>
      </c>
      <c r="N1643" s="83">
        <v>11809402.761810645</v>
      </c>
      <c r="O1643" s="83" t="s">
        <v>588</v>
      </c>
      <c r="P1643" s="84">
        <f t="shared" si="46"/>
        <v>-1.652487912356726E-3</v>
      </c>
    </row>
    <row r="1644" spans="2:16" ht="15" customHeight="1">
      <c r="B1644" s="83">
        <v>265.88953708168634</v>
      </c>
      <c r="C1644" s="83">
        <v>265.9078894793314</v>
      </c>
      <c r="D1644" s="83">
        <v>264.97182543744492</v>
      </c>
      <c r="E1644" s="83">
        <v>265.24720316410912</v>
      </c>
      <c r="F1644" s="83">
        <v>1788316.7439338502</v>
      </c>
      <c r="G1644" s="83" t="s">
        <v>587</v>
      </c>
      <c r="H1644" s="84">
        <f t="shared" si="45"/>
        <v>2.4216425655572138E-3</v>
      </c>
      <c r="J1644" s="83">
        <v>65.26157154045903</v>
      </c>
      <c r="K1644" s="83">
        <v>65.528484951202657</v>
      </c>
      <c r="L1644" s="83">
        <v>65.094564266697674</v>
      </c>
      <c r="M1644" s="83">
        <v>65.361477677441286</v>
      </c>
      <c r="N1644" s="83">
        <v>20045027.767972112</v>
      </c>
      <c r="O1644" s="83" t="s">
        <v>587</v>
      </c>
      <c r="P1644" s="84">
        <f t="shared" si="46"/>
        <v>-1.5285171102662476E-3</v>
      </c>
    </row>
    <row r="1645" spans="2:16" ht="15" customHeight="1">
      <c r="B1645" s="83">
        <v>264.64157404182197</v>
      </c>
      <c r="C1645" s="83">
        <v>264.89850760885287</v>
      </c>
      <c r="D1645" s="83">
        <v>263.87994953955183</v>
      </c>
      <c r="E1645" s="83">
        <v>264.19194029951797</v>
      </c>
      <c r="F1645" s="83">
        <v>1964797.2269006693</v>
      </c>
      <c r="G1645" s="83" t="s">
        <v>586</v>
      </c>
      <c r="H1645" s="84">
        <f t="shared" si="45"/>
        <v>1.7019207391195668E-3</v>
      </c>
      <c r="J1645" s="83">
        <v>65.289406086085933</v>
      </c>
      <c r="K1645" s="83">
        <v>65.351536768288824</v>
      </c>
      <c r="L1645" s="83">
        <v>64.868905628936758</v>
      </c>
      <c r="M1645" s="83">
        <v>65.105996312222999</v>
      </c>
      <c r="N1645" s="83">
        <v>21523081.714009859</v>
      </c>
      <c r="O1645" s="83" t="s">
        <v>586</v>
      </c>
      <c r="P1645" s="84">
        <f t="shared" si="46"/>
        <v>2.8170949567130066E-3</v>
      </c>
    </row>
    <row r="1646" spans="2:16" ht="15" customHeight="1">
      <c r="B1646" s="83">
        <v>264.10935451011511</v>
      </c>
      <c r="C1646" s="83">
        <v>264.12770690776017</v>
      </c>
      <c r="D1646" s="83">
        <v>262.96232965729865</v>
      </c>
      <c r="E1646" s="83">
        <v>262.98985825376627</v>
      </c>
      <c r="F1646" s="83">
        <v>2232023.3460622192</v>
      </c>
      <c r="G1646" s="83" t="s">
        <v>585</v>
      </c>
      <c r="H1646" s="84">
        <f t="shared" si="45"/>
        <v>4.2568039078854092E-3</v>
      </c>
      <c r="J1646" s="83">
        <v>64.948432902156469</v>
      </c>
      <c r="K1646" s="83">
        <v>65.178067903578352</v>
      </c>
      <c r="L1646" s="83">
        <v>64.522961990431071</v>
      </c>
      <c r="M1646" s="83">
        <v>64.5751517634815</v>
      </c>
      <c r="N1646" s="83">
        <v>20852961.919348039</v>
      </c>
      <c r="O1646" s="83" t="s">
        <v>585</v>
      </c>
      <c r="P1646" s="84">
        <f t="shared" si="46"/>
        <v>5.7805692821626398E-3</v>
      </c>
    </row>
    <row r="1647" spans="2:16" ht="15" customHeight="1">
      <c r="B1647" s="83">
        <v>262.11811936562566</v>
      </c>
      <c r="C1647" s="83">
        <v>262.31081954089888</v>
      </c>
      <c r="D1647" s="83">
        <v>261.15461848925986</v>
      </c>
      <c r="E1647" s="83">
        <v>262.20988135385102</v>
      </c>
      <c r="F1647" s="83">
        <v>1380668.6455932949</v>
      </c>
      <c r="G1647" s="83" t="s">
        <v>584</v>
      </c>
      <c r="H1647" s="84">
        <f t="shared" si="45"/>
        <v>-3.4995625546818676E-4</v>
      </c>
      <c r="J1647" s="83">
        <v>64.384286307754209</v>
      </c>
      <c r="K1647" s="83">
        <v>65.049830175511588</v>
      </c>
      <c r="L1647" s="83">
        <v>64.188947442908329</v>
      </c>
      <c r="M1647" s="83">
        <v>64.895249038190784</v>
      </c>
      <c r="N1647" s="83">
        <v>27894953.645291809</v>
      </c>
      <c r="O1647" s="83" t="s">
        <v>584</v>
      </c>
      <c r="P1647" s="84">
        <f t="shared" si="46"/>
        <v>-7.8736538962331792E-3</v>
      </c>
    </row>
    <row r="1648" spans="2:16" ht="15" customHeight="1">
      <c r="B1648" s="83">
        <v>261.54001883980618</v>
      </c>
      <c r="C1648" s="83">
        <v>262.10894316680316</v>
      </c>
      <c r="D1648" s="83">
        <v>260.75545384047973</v>
      </c>
      <c r="E1648" s="83">
        <v>261.99882878093274</v>
      </c>
      <c r="F1648" s="83">
        <v>2518855.622792874</v>
      </c>
      <c r="G1648" s="83" t="s">
        <v>583</v>
      </c>
      <c r="H1648" s="84">
        <f t="shared" ref="H1648:H1711" si="47">B1648/E1648-1</f>
        <v>-1.7511908097505025E-3</v>
      </c>
      <c r="J1648" s="83">
        <v>64.683010627785706</v>
      </c>
      <c r="K1648" s="83">
        <v>65.241689722154106</v>
      </c>
      <c r="L1648" s="83">
        <v>64.267977670670405</v>
      </c>
      <c r="M1648" s="83">
        <v>64.689472218734821</v>
      </c>
      <c r="N1648" s="83">
        <v>20028329.094092887</v>
      </c>
      <c r="O1648" s="83" t="s">
        <v>583</v>
      </c>
      <c r="P1648" s="84">
        <f t="shared" ref="P1648:P1711" si="48">J1648/M1648-1</f>
        <v>-9.9886283308481261E-5</v>
      </c>
    </row>
    <row r="1649" spans="2:16" ht="15" customHeight="1">
      <c r="B1649" s="83">
        <v>261.94377158799756</v>
      </c>
      <c r="C1649" s="83">
        <v>262.82441138899594</v>
      </c>
      <c r="D1649" s="83">
        <v>260.50310837286008</v>
      </c>
      <c r="E1649" s="83">
        <v>262.35670053501156</v>
      </c>
      <c r="F1649" s="83">
        <v>3080359.3673878815</v>
      </c>
      <c r="G1649" s="83" t="s">
        <v>582</v>
      </c>
      <c r="H1649" s="84">
        <f t="shared" si="47"/>
        <v>-1.5739218635236751E-3</v>
      </c>
      <c r="J1649" s="83">
        <v>64.76750835558164</v>
      </c>
      <c r="K1649" s="83">
        <v>65.361477677441286</v>
      </c>
      <c r="L1649" s="83">
        <v>64.176024261010127</v>
      </c>
      <c r="M1649" s="83">
        <v>65.199440858256139</v>
      </c>
      <c r="N1649" s="83">
        <v>26352418.675419219</v>
      </c>
      <c r="O1649" s="83" t="s">
        <v>582</v>
      </c>
      <c r="P1649" s="84">
        <f t="shared" si="48"/>
        <v>-6.6247884489304409E-3</v>
      </c>
    </row>
    <row r="1650" spans="2:16" ht="15" customHeight="1">
      <c r="B1650" s="83">
        <v>262.87056766907335</v>
      </c>
      <c r="C1650" s="83">
        <v>263.57713497840831</v>
      </c>
      <c r="D1650" s="83">
        <v>262.32458383913269</v>
      </c>
      <c r="E1650" s="83">
        <v>263.57713497840831</v>
      </c>
      <c r="F1650" s="83">
        <v>3596245.0943161254</v>
      </c>
      <c r="G1650" s="83" t="s">
        <v>581</v>
      </c>
      <c r="H1650" s="84">
        <f t="shared" si="47"/>
        <v>-2.6806851413452293E-3</v>
      </c>
      <c r="J1650" s="83">
        <v>65.38434176849195</v>
      </c>
      <c r="K1650" s="83">
        <v>65.992725408622661</v>
      </c>
      <c r="L1650" s="83">
        <v>65.252127676764189</v>
      </c>
      <c r="M1650" s="83">
        <v>65.992725408622661</v>
      </c>
      <c r="N1650" s="83">
        <v>25538348.264364779</v>
      </c>
      <c r="O1650" s="83" t="s">
        <v>581</v>
      </c>
      <c r="P1650" s="84">
        <f t="shared" si="48"/>
        <v>-9.2189500640205146E-3</v>
      </c>
    </row>
    <row r="1651" spans="2:16" ht="15" customHeight="1">
      <c r="B1651" s="83">
        <v>262.99903445258877</v>
      </c>
      <c r="C1651" s="83">
        <v>263.21926322432955</v>
      </c>
      <c r="D1651" s="83">
        <v>262.1731765585609</v>
      </c>
      <c r="E1651" s="83">
        <v>262.6044579032199</v>
      </c>
      <c r="F1651" s="83">
        <v>2493873.6008866895</v>
      </c>
      <c r="G1651" s="83" t="s">
        <v>580</v>
      </c>
      <c r="H1651" s="84">
        <f t="shared" si="47"/>
        <v>1.5025508421273592E-3</v>
      </c>
      <c r="J1651" s="83">
        <v>65.644793588286475</v>
      </c>
      <c r="K1651" s="83">
        <v>66.381852356486647</v>
      </c>
      <c r="L1651" s="83">
        <v>65.485739041847069</v>
      </c>
      <c r="M1651" s="83">
        <v>66.217389955468306</v>
      </c>
      <c r="N1651" s="83">
        <v>29938569.544846378</v>
      </c>
      <c r="O1651" s="83" t="s">
        <v>580</v>
      </c>
      <c r="P1651" s="84">
        <f t="shared" si="48"/>
        <v>-8.6472204290580779E-3</v>
      </c>
    </row>
    <row r="1652" spans="2:16" ht="15" customHeight="1">
      <c r="B1652" s="83">
        <v>262.83386287378318</v>
      </c>
      <c r="C1652" s="83">
        <v>262.83386287378318</v>
      </c>
      <c r="D1652" s="83">
        <v>261.52166644216112</v>
      </c>
      <c r="E1652" s="83">
        <v>262.10894316680316</v>
      </c>
      <c r="F1652" s="83">
        <v>2062453.1318489818</v>
      </c>
      <c r="G1652" s="83" t="s">
        <v>579</v>
      </c>
      <c r="H1652" s="84">
        <f t="shared" si="47"/>
        <v>2.7657190869625481E-3</v>
      </c>
      <c r="J1652" s="83">
        <v>66.349107001738432</v>
      </c>
      <c r="K1652" s="83">
        <v>66.349604047196067</v>
      </c>
      <c r="L1652" s="83">
        <v>65.325670522674116</v>
      </c>
      <c r="M1652" s="83">
        <v>65.557313587744801</v>
      </c>
      <c r="N1652" s="83">
        <v>35871065.164262727</v>
      </c>
      <c r="O1652" s="83" t="s">
        <v>579</v>
      </c>
      <c r="P1652" s="84">
        <f t="shared" si="48"/>
        <v>1.2077880722398016E-2</v>
      </c>
    </row>
    <row r="1653" spans="2:16" ht="15" customHeight="1">
      <c r="B1653" s="83">
        <v>260.8885087234064</v>
      </c>
      <c r="C1653" s="83">
        <v>260.9710945128092</v>
      </c>
      <c r="D1653" s="83">
        <v>259.67725047883221</v>
      </c>
      <c r="E1653" s="83">
        <v>260.27370340229675</v>
      </c>
      <c r="F1653" s="83">
        <v>2453309.9636771269</v>
      </c>
      <c r="G1653" s="83" t="s">
        <v>578</v>
      </c>
      <c r="H1653" s="84">
        <f t="shared" si="47"/>
        <v>2.3621492032153135E-3</v>
      </c>
      <c r="J1653" s="83">
        <v>65.185523585442695</v>
      </c>
      <c r="K1653" s="83">
        <v>65.460886768965906</v>
      </c>
      <c r="L1653" s="83">
        <v>64.399694716940544</v>
      </c>
      <c r="M1653" s="83">
        <v>64.491648126600808</v>
      </c>
      <c r="N1653" s="83">
        <v>24028083.984735899</v>
      </c>
      <c r="O1653" s="83" t="s">
        <v>578</v>
      </c>
      <c r="P1653" s="84">
        <f t="shared" si="48"/>
        <v>1.0759152215799705E-2</v>
      </c>
    </row>
    <row r="1654" spans="2:16" ht="15" customHeight="1">
      <c r="B1654" s="83">
        <v>260.5398131681502</v>
      </c>
      <c r="C1654" s="83">
        <v>260.8942897286646</v>
      </c>
      <c r="D1654" s="83">
        <v>259.31020252593089</v>
      </c>
      <c r="E1654" s="83">
        <v>259.53043129767167</v>
      </c>
      <c r="F1654" s="83">
        <v>1884433.8853622039</v>
      </c>
      <c r="G1654" s="83" t="s">
        <v>577</v>
      </c>
      <c r="H1654" s="84">
        <f t="shared" si="47"/>
        <v>3.8892621009087858E-3</v>
      </c>
      <c r="J1654" s="83">
        <v>64.51650039948197</v>
      </c>
      <c r="K1654" s="83">
        <v>64.829639037784531</v>
      </c>
      <c r="L1654" s="83">
        <v>64.293326989009188</v>
      </c>
      <c r="M1654" s="83">
        <v>64.321161534636076</v>
      </c>
      <c r="N1654" s="83">
        <v>17178730.574929003</v>
      </c>
      <c r="O1654" s="83" t="s">
        <v>577</v>
      </c>
      <c r="P1654" s="84">
        <f t="shared" si="48"/>
        <v>3.0369299960590901E-3</v>
      </c>
    </row>
    <row r="1655" spans="2:16" ht="15" customHeight="1">
      <c r="B1655" s="83">
        <v>260.42969878227984</v>
      </c>
      <c r="C1655" s="83">
        <v>261.26473287513022</v>
      </c>
      <c r="D1655" s="83">
        <v>259.71395527412227</v>
      </c>
      <c r="E1655" s="83">
        <v>260.21864620936157</v>
      </c>
      <c r="F1655" s="83">
        <v>1893567.2968783327</v>
      </c>
      <c r="G1655" s="83" t="s">
        <v>576</v>
      </c>
      <c r="H1655" s="84">
        <f t="shared" si="47"/>
        <v>8.1105860780050776E-4</v>
      </c>
      <c r="J1655" s="83">
        <v>64.556264036091818</v>
      </c>
      <c r="K1655" s="83">
        <v>65.112954948629721</v>
      </c>
      <c r="L1655" s="83">
        <v>64.40565926243201</v>
      </c>
      <c r="M1655" s="83">
        <v>64.61590949100659</v>
      </c>
      <c r="N1655" s="83">
        <v>21846271.46966758</v>
      </c>
      <c r="O1655" s="83" t="s">
        <v>576</v>
      </c>
      <c r="P1655" s="84">
        <f t="shared" si="48"/>
        <v>-9.2307692307691536E-4</v>
      </c>
    </row>
    <row r="1656" spans="2:16" ht="15" customHeight="1">
      <c r="B1656" s="83">
        <v>259.91583164821805</v>
      </c>
      <c r="C1656" s="83">
        <v>260.02686365397062</v>
      </c>
      <c r="D1656" s="83">
        <v>258.98903556714231</v>
      </c>
      <c r="E1656" s="83">
        <v>259.16338334477041</v>
      </c>
      <c r="F1656" s="83">
        <v>1226835.8846319863</v>
      </c>
      <c r="G1656" s="83" t="s">
        <v>575</v>
      </c>
      <c r="H1656" s="84">
        <f t="shared" si="47"/>
        <v>2.9033742874340351E-3</v>
      </c>
      <c r="J1656" s="83">
        <v>64.575648808939121</v>
      </c>
      <c r="K1656" s="83">
        <v>64.935261197529456</v>
      </c>
      <c r="L1656" s="83">
        <v>64.487174717482205</v>
      </c>
      <c r="M1656" s="83">
        <v>64.773969946530755</v>
      </c>
      <c r="N1656" s="83">
        <v>20368941.803460743</v>
      </c>
      <c r="O1656" s="83" t="s">
        <v>575</v>
      </c>
      <c r="P1656" s="84">
        <f t="shared" si="48"/>
        <v>-3.0617412790252541E-3</v>
      </c>
    </row>
    <row r="1657" spans="2:16" ht="15" customHeight="1">
      <c r="B1657" s="83">
        <v>260.42052258345728</v>
      </c>
      <c r="C1657" s="83">
        <v>260.42052258345728</v>
      </c>
      <c r="D1657" s="83">
        <v>258.76880679540153</v>
      </c>
      <c r="E1657" s="83">
        <v>259.44784550826893</v>
      </c>
      <c r="F1657" s="83">
        <v>2538748.3914142097</v>
      </c>
      <c r="G1657" s="83" t="s">
        <v>574</v>
      </c>
      <c r="H1657" s="84">
        <f t="shared" si="47"/>
        <v>3.7490273749734015E-3</v>
      </c>
      <c r="J1657" s="83">
        <v>65.181050176324078</v>
      </c>
      <c r="K1657" s="83">
        <v>65.510591314728217</v>
      </c>
      <c r="L1657" s="83">
        <v>64.832869833259096</v>
      </c>
      <c r="M1657" s="83">
        <v>64.8783494926316</v>
      </c>
      <c r="N1657" s="83">
        <v>25187153.021912016</v>
      </c>
      <c r="O1657" s="83" t="s">
        <v>574</v>
      </c>
      <c r="P1657" s="84">
        <f t="shared" si="48"/>
        <v>4.6656656043146949E-3</v>
      </c>
    </row>
    <row r="1658" spans="2:16" ht="15" customHeight="1">
      <c r="B1658" s="83">
        <v>259.78736486470257</v>
      </c>
      <c r="C1658" s="83">
        <v>260.81509913282616</v>
      </c>
      <c r="D1658" s="83">
        <v>259.30102632710839</v>
      </c>
      <c r="E1658" s="83">
        <v>260.10853182349115</v>
      </c>
      <c r="F1658" s="83">
        <v>2938006.3053778796</v>
      </c>
      <c r="G1658" s="83" t="s">
        <v>573</v>
      </c>
      <c r="H1658" s="84">
        <f t="shared" si="47"/>
        <v>-1.2347421152895111E-3</v>
      </c>
      <c r="J1658" s="83">
        <v>65.056291766460674</v>
      </c>
      <c r="K1658" s="83">
        <v>65.795895407403904</v>
      </c>
      <c r="L1658" s="83">
        <v>64.329859830144471</v>
      </c>
      <c r="M1658" s="83">
        <v>64.331599489246159</v>
      </c>
      <c r="N1658" s="83">
        <v>40840731.342910178</v>
      </c>
      <c r="O1658" s="83" t="s">
        <v>573</v>
      </c>
      <c r="P1658" s="84">
        <f t="shared" si="48"/>
        <v>1.1264950397131823E-2</v>
      </c>
    </row>
    <row r="1659" spans="2:16" ht="15" customHeight="1">
      <c r="B1659" s="83">
        <v>258.86974498244939</v>
      </c>
      <c r="C1659" s="83">
        <v>259.08079755536761</v>
      </c>
      <c r="D1659" s="83">
        <v>257.96130129901871</v>
      </c>
      <c r="E1659" s="83">
        <v>258.80551159069165</v>
      </c>
      <c r="F1659" s="83">
        <v>1589192.8980649759</v>
      </c>
      <c r="G1659" s="83" t="s">
        <v>572</v>
      </c>
      <c r="H1659" s="84">
        <f t="shared" si="47"/>
        <v>2.4819174585166692E-4</v>
      </c>
      <c r="J1659" s="83">
        <v>64.208332215755632</v>
      </c>
      <c r="K1659" s="83">
        <v>64.304261989076892</v>
      </c>
      <c r="L1659" s="83">
        <v>63.746079940166119</v>
      </c>
      <c r="M1659" s="83">
        <v>64.092023578671814</v>
      </c>
      <c r="N1659" s="83">
        <v>23196610.738855522</v>
      </c>
      <c r="O1659" s="83" t="s">
        <v>572</v>
      </c>
      <c r="P1659" s="84">
        <f t="shared" si="48"/>
        <v>1.8147131357313384E-3</v>
      </c>
    </row>
    <row r="1660" spans="2:16" ht="15" customHeight="1">
      <c r="B1660" s="83">
        <v>258.73210200011135</v>
      </c>
      <c r="C1660" s="83">
        <v>259.52107157487268</v>
      </c>
      <c r="D1660" s="83">
        <v>258.50269702954807</v>
      </c>
      <c r="E1660" s="83">
        <v>259.30102632710839</v>
      </c>
      <c r="F1660" s="83">
        <v>3273387.0070735766</v>
      </c>
      <c r="G1660" s="83" t="s">
        <v>571</v>
      </c>
      <c r="H1660" s="84">
        <f t="shared" si="47"/>
        <v>-2.194068936230642E-3</v>
      </c>
      <c r="J1660" s="83">
        <v>64.219764261280957</v>
      </c>
      <c r="K1660" s="83">
        <v>64.562725627040919</v>
      </c>
      <c r="L1660" s="83">
        <v>64.179945949670781</v>
      </c>
      <c r="M1660" s="83">
        <v>64.26251017063656</v>
      </c>
      <c r="N1660" s="83">
        <v>25806714.060599741</v>
      </c>
      <c r="O1660" s="83" t="s">
        <v>571</v>
      </c>
      <c r="P1660" s="84">
        <f t="shared" si="48"/>
        <v>-6.6517646512875839E-4</v>
      </c>
    </row>
    <row r="1661" spans="2:16" ht="15" customHeight="1">
      <c r="B1661" s="83">
        <v>259.06244515772255</v>
      </c>
      <c r="C1661" s="83">
        <v>259.59466468942941</v>
      </c>
      <c r="D1661" s="83">
        <v>258.73210200011135</v>
      </c>
      <c r="E1661" s="83">
        <v>259.49372650238155</v>
      </c>
      <c r="F1661" s="83">
        <v>4144993.0124230902</v>
      </c>
      <c r="G1661" s="83" t="s">
        <v>570</v>
      </c>
      <c r="H1661" s="84">
        <f t="shared" si="47"/>
        <v>-1.6620106793026057E-3</v>
      </c>
      <c r="J1661" s="83">
        <v>64.186959261077831</v>
      </c>
      <c r="K1661" s="83">
        <v>64.32414380738183</v>
      </c>
      <c r="L1661" s="83">
        <v>63.440645506456711</v>
      </c>
      <c r="M1661" s="83">
        <v>63.445367438304132</v>
      </c>
      <c r="N1661" s="83">
        <v>30197720.892121471</v>
      </c>
      <c r="O1661" s="83" t="s">
        <v>570</v>
      </c>
      <c r="P1661" s="84">
        <f t="shared" si="48"/>
        <v>1.1688667789572449E-2</v>
      </c>
    </row>
    <row r="1662" spans="2:16" ht="15" customHeight="1">
      <c r="B1662" s="83">
        <v>258.03471088959895</v>
      </c>
      <c r="C1662" s="83">
        <v>258.04388708842146</v>
      </c>
      <c r="D1662" s="83">
        <v>256.85098124149238</v>
      </c>
      <c r="E1662" s="83">
        <v>256.9794480250078</v>
      </c>
      <c r="F1662" s="83">
        <v>2580461.7421602849</v>
      </c>
      <c r="G1662" s="83" t="s">
        <v>569</v>
      </c>
      <c r="H1662" s="84">
        <f t="shared" si="47"/>
        <v>4.1064095697196379E-3</v>
      </c>
      <c r="J1662" s="83">
        <v>63.310668119288259</v>
      </c>
      <c r="K1662" s="83">
        <v>63.354408119559089</v>
      </c>
      <c r="L1662" s="83">
        <v>62.652579933395238</v>
      </c>
      <c r="M1662" s="83">
        <v>62.876250389325648</v>
      </c>
      <c r="N1662" s="83">
        <v>33599985.160035215</v>
      </c>
      <c r="O1662" s="83" t="s">
        <v>569</v>
      </c>
      <c r="P1662" s="84">
        <f t="shared" si="48"/>
        <v>6.9090909090909758E-3</v>
      </c>
    </row>
    <row r="1663" spans="2:16" ht="15" customHeight="1">
      <c r="B1663" s="83">
        <v>255.603018201628</v>
      </c>
      <c r="C1663" s="83">
        <v>256.33711410743058</v>
      </c>
      <c r="D1663" s="83">
        <v>254.31835036647351</v>
      </c>
      <c r="E1663" s="83">
        <v>256.33711410743058</v>
      </c>
      <c r="F1663" s="83">
        <v>2521329.4140041391</v>
      </c>
      <c r="G1663" s="83" t="s">
        <v>568</v>
      </c>
      <c r="H1663" s="84">
        <f t="shared" si="47"/>
        <v>-2.8637909432611686E-3</v>
      </c>
      <c r="J1663" s="83">
        <v>62.633195160547935</v>
      </c>
      <c r="K1663" s="83">
        <v>63.008961526511023</v>
      </c>
      <c r="L1663" s="83">
        <v>62.172573194059424</v>
      </c>
      <c r="M1663" s="83">
        <v>62.691349479089844</v>
      </c>
      <c r="N1663" s="83">
        <v>29286073.89273661</v>
      </c>
      <c r="O1663" s="83" t="s">
        <v>568</v>
      </c>
      <c r="P1663" s="84">
        <f t="shared" si="48"/>
        <v>-9.2762907522525584E-4</v>
      </c>
    </row>
    <row r="1664" spans="2:16" ht="15" customHeight="1">
      <c r="B1664" s="83">
        <v>256.42887609565588</v>
      </c>
      <c r="C1664" s="83">
        <v>256.64910486739666</v>
      </c>
      <c r="D1664" s="83">
        <v>254.52940293939176</v>
      </c>
      <c r="E1664" s="83">
        <v>255.73148498514345</v>
      </c>
      <c r="F1664" s="83">
        <v>1982746.9251565046</v>
      </c>
      <c r="G1664" s="83" t="s">
        <v>567</v>
      </c>
      <c r="H1664" s="84">
        <f t="shared" si="47"/>
        <v>2.7270443862354998E-3</v>
      </c>
      <c r="J1664" s="83">
        <v>62.691846524547465</v>
      </c>
      <c r="K1664" s="83">
        <v>63.092962208849329</v>
      </c>
      <c r="L1664" s="83">
        <v>62.23009129441558</v>
      </c>
      <c r="M1664" s="83">
        <v>62.278304703805027</v>
      </c>
      <c r="N1664" s="83">
        <v>28344510.11255848</v>
      </c>
      <c r="O1664" s="83" t="s">
        <v>567</v>
      </c>
      <c r="P1664" s="84">
        <f t="shared" si="48"/>
        <v>6.640222830554432E-3</v>
      </c>
    </row>
    <row r="1665" spans="2:16" ht="15" customHeight="1">
      <c r="B1665" s="83">
        <v>255.52960861104776</v>
      </c>
      <c r="C1665" s="83">
        <v>256.41052369801082</v>
      </c>
      <c r="D1665" s="83">
        <v>255.2675363726762</v>
      </c>
      <c r="E1665" s="83">
        <v>255.39196562870976</v>
      </c>
      <c r="F1665" s="83">
        <v>1743226.1777852592</v>
      </c>
      <c r="G1665" s="83" t="s">
        <v>566</v>
      </c>
      <c r="H1665" s="84">
        <f t="shared" si="47"/>
        <v>5.3894797355580337E-4</v>
      </c>
      <c r="J1665" s="83">
        <v>62.757953570411338</v>
      </c>
      <c r="K1665" s="83">
        <v>63.700848803522412</v>
      </c>
      <c r="L1665" s="83">
        <v>62.489146416474178</v>
      </c>
      <c r="M1665" s="83">
        <v>63.434432438236421</v>
      </c>
      <c r="N1665" s="83">
        <v>37951860.761803821</v>
      </c>
      <c r="O1665" s="83" t="s">
        <v>566</v>
      </c>
      <c r="P1665" s="84">
        <f t="shared" si="48"/>
        <v>-1.0664221966260046E-2</v>
      </c>
    </row>
    <row r="1666" spans="2:16" ht="15" customHeight="1">
      <c r="B1666" s="83">
        <v>255.6947801898533</v>
      </c>
      <c r="C1666" s="83">
        <v>256.08018054039968</v>
      </c>
      <c r="D1666" s="83">
        <v>255.30020364048445</v>
      </c>
      <c r="E1666" s="83">
        <v>255.30020364048445</v>
      </c>
      <c r="F1666" s="83">
        <v>1964275.2242618166</v>
      </c>
      <c r="G1666" s="83" t="s">
        <v>565</v>
      </c>
      <c r="H1666" s="84">
        <f t="shared" si="47"/>
        <v>1.5455395011141349E-3</v>
      </c>
      <c r="J1666" s="83">
        <v>64.11886403338346</v>
      </c>
      <c r="K1666" s="83">
        <v>64.581613354430601</v>
      </c>
      <c r="L1666" s="83">
        <v>63.251022664373487</v>
      </c>
      <c r="M1666" s="83">
        <v>63.395662892541814</v>
      </c>
      <c r="N1666" s="83">
        <v>52575412.568832323</v>
      </c>
      <c r="O1666" s="83" t="s">
        <v>565</v>
      </c>
      <c r="P1666" s="84">
        <f t="shared" si="48"/>
        <v>1.1407738445254445E-2</v>
      </c>
    </row>
    <row r="1667" spans="2:16" ht="15" customHeight="1">
      <c r="B1667" s="83">
        <v>254.21741217942568</v>
      </c>
      <c r="C1667" s="83">
        <v>254.6762221205523</v>
      </c>
      <c r="D1667" s="83">
        <v>252.60240118666002</v>
      </c>
      <c r="E1667" s="83">
        <v>252.6482821807727</v>
      </c>
      <c r="F1667" s="83">
        <v>5996206.170347319</v>
      </c>
      <c r="G1667" s="83" t="s">
        <v>564</v>
      </c>
      <c r="H1667" s="84">
        <f t="shared" si="47"/>
        <v>6.2107289434496504E-3</v>
      </c>
      <c r="J1667" s="83">
        <v>62.882711980274756</v>
      </c>
      <c r="K1667" s="83">
        <v>63.104891299832282</v>
      </c>
      <c r="L1667" s="83">
        <v>62.13117924834858</v>
      </c>
      <c r="M1667" s="83">
        <v>62.18187788502614</v>
      </c>
      <c r="N1667" s="83">
        <v>24405232.58779614</v>
      </c>
      <c r="O1667" s="83" t="s">
        <v>564</v>
      </c>
      <c r="P1667" s="84">
        <f t="shared" si="48"/>
        <v>1.127071293254378E-2</v>
      </c>
    </row>
    <row r="1668" spans="2:16" ht="15" customHeight="1">
      <c r="B1668" s="83">
        <v>253.16214931483449</v>
      </c>
      <c r="C1668" s="83">
        <v>253.72648554242019</v>
      </c>
      <c r="D1668" s="83">
        <v>252.39134861374183</v>
      </c>
      <c r="E1668" s="83">
        <v>253.61178305713855</v>
      </c>
      <c r="F1668" s="83">
        <v>2421646.5259487987</v>
      </c>
      <c r="G1668" s="83" t="s">
        <v>563</v>
      </c>
      <c r="H1668" s="84">
        <f t="shared" si="47"/>
        <v>-1.7729213401838084E-3</v>
      </c>
      <c r="J1668" s="83">
        <v>62.676935160818772</v>
      </c>
      <c r="K1668" s="83">
        <v>62.826545843563331</v>
      </c>
      <c r="L1668" s="83">
        <v>62.315334590397946</v>
      </c>
      <c r="M1668" s="83">
        <v>62.672461751700169</v>
      </c>
      <c r="N1668" s="83">
        <v>20920983.866800651</v>
      </c>
      <c r="O1668" s="83" t="s">
        <v>563</v>
      </c>
      <c r="P1668" s="84">
        <f t="shared" si="48"/>
        <v>7.1377587437471135E-5</v>
      </c>
    </row>
    <row r="1669" spans="2:16" ht="15" customHeight="1">
      <c r="B1669" s="83">
        <v>252.74922036782056</v>
      </c>
      <c r="C1669" s="83">
        <v>252.7859251631107</v>
      </c>
      <c r="D1669" s="83">
        <v>251.59210169629924</v>
      </c>
      <c r="E1669" s="83">
        <v>251.80407188909979</v>
      </c>
      <c r="F1669" s="83">
        <v>1415282.1065854533</v>
      </c>
      <c r="G1669" s="83" t="s">
        <v>562</v>
      </c>
      <c r="H1669" s="84">
        <f t="shared" si="47"/>
        <v>3.7535075252359551E-3</v>
      </c>
      <c r="J1669" s="83">
        <v>62.584484705700874</v>
      </c>
      <c r="K1669" s="83">
        <v>62.622260160480231</v>
      </c>
      <c r="L1669" s="83">
        <v>61.750939473266882</v>
      </c>
      <c r="M1669" s="83">
        <v>61.750939473266882</v>
      </c>
      <c r="N1669" s="83">
        <v>18682295.266121998</v>
      </c>
      <c r="O1669" s="83" t="s">
        <v>562</v>
      </c>
      <c r="P1669" s="84">
        <f t="shared" si="48"/>
        <v>1.3498502849415672E-2</v>
      </c>
    </row>
    <row r="1670" spans="2:16" ht="15" customHeight="1">
      <c r="B1670" s="83">
        <v>252.00594826319545</v>
      </c>
      <c r="C1670" s="83">
        <v>253.56590206302587</v>
      </c>
      <c r="D1670" s="83">
        <v>251.90501007614759</v>
      </c>
      <c r="E1670" s="83">
        <v>253.34567329128512</v>
      </c>
      <c r="F1670" s="83">
        <v>1746580.5078946308</v>
      </c>
      <c r="G1670" s="83" t="s">
        <v>561</v>
      </c>
      <c r="H1670" s="84">
        <f t="shared" si="47"/>
        <v>-5.2881306820240503E-3</v>
      </c>
      <c r="J1670" s="83">
        <v>61.772809473402305</v>
      </c>
      <c r="K1670" s="83">
        <v>62.160504930348338</v>
      </c>
      <c r="L1670" s="83">
        <v>61.702229018419821</v>
      </c>
      <c r="M1670" s="83">
        <v>62.023817429501982</v>
      </c>
      <c r="N1670" s="83">
        <v>21081592.919304114</v>
      </c>
      <c r="O1670" s="83" t="s">
        <v>561</v>
      </c>
      <c r="P1670" s="84">
        <f t="shared" si="48"/>
        <v>-4.0469607725287515E-3</v>
      </c>
    </row>
    <row r="1671" spans="2:16" ht="15" customHeight="1">
      <c r="B1671" s="83">
        <v>252.89603954898109</v>
      </c>
      <c r="C1671" s="83">
        <v>253.00615393485148</v>
      </c>
      <c r="D1671" s="83">
        <v>251.95089107026027</v>
      </c>
      <c r="E1671" s="83">
        <v>252.39134861374183</v>
      </c>
      <c r="F1671" s="83">
        <v>3289413.2509294637</v>
      </c>
      <c r="G1671" s="83" t="s">
        <v>560</v>
      </c>
      <c r="H1671" s="84">
        <f t="shared" si="47"/>
        <v>1.9996364297401037E-3</v>
      </c>
      <c r="J1671" s="83">
        <v>61.939319701706054</v>
      </c>
      <c r="K1671" s="83">
        <v>62.360749633860969</v>
      </c>
      <c r="L1671" s="83">
        <v>61.663459472725208</v>
      </c>
      <c r="M1671" s="83">
        <v>62.243014476313782</v>
      </c>
      <c r="N1671" s="83">
        <v>20884246.784266349</v>
      </c>
      <c r="O1671" s="83" t="s">
        <v>560</v>
      </c>
      <c r="P1671" s="84">
        <f t="shared" si="48"/>
        <v>-4.8791784453706688E-3</v>
      </c>
    </row>
    <row r="1672" spans="2:16" ht="15" customHeight="1">
      <c r="B1672" s="83">
        <v>251.14338557387745</v>
      </c>
      <c r="C1672" s="83">
        <v>252.31527792550304</v>
      </c>
      <c r="D1672" s="83">
        <v>250.33588007749464</v>
      </c>
      <c r="E1672" s="83">
        <v>251.75819089498711</v>
      </c>
      <c r="F1672" s="83">
        <v>1258578.8759983862</v>
      </c>
      <c r="G1672" s="83" t="s">
        <v>559</v>
      </c>
      <c r="H1672" s="84">
        <f t="shared" si="47"/>
        <v>-2.442046945619003E-3</v>
      </c>
      <c r="J1672" s="83">
        <v>61.906514701502928</v>
      </c>
      <c r="K1672" s="83">
        <v>62.57255561471792</v>
      </c>
      <c r="L1672" s="83">
        <v>61.687317654691121</v>
      </c>
      <c r="M1672" s="83">
        <v>62.302659931228561</v>
      </c>
      <c r="N1672" s="83">
        <v>27217611.171205118</v>
      </c>
      <c r="O1672" s="83" t="s">
        <v>559</v>
      </c>
      <c r="P1672" s="84">
        <f t="shared" si="48"/>
        <v>-6.3583999489413845E-3</v>
      </c>
    </row>
    <row r="1673" spans="2:16" ht="15" customHeight="1">
      <c r="B1673" s="83">
        <v>252.18029604082358</v>
      </c>
      <c r="C1673" s="83">
        <v>253.00615393485148</v>
      </c>
      <c r="D1673" s="83">
        <v>251.59760741559279</v>
      </c>
      <c r="E1673" s="83">
        <v>252.56569639136993</v>
      </c>
      <c r="F1673" s="83">
        <v>3381917.7853686796</v>
      </c>
      <c r="G1673" s="83" t="s">
        <v>558</v>
      </c>
      <c r="H1673" s="84">
        <f t="shared" si="47"/>
        <v>-1.5259409969481386E-3</v>
      </c>
      <c r="J1673" s="83">
        <v>62.283275158381251</v>
      </c>
      <c r="K1673" s="83">
        <v>62.792995275173773</v>
      </c>
      <c r="L1673" s="83">
        <v>62.127699930145219</v>
      </c>
      <c r="M1673" s="83">
        <v>62.176907430449909</v>
      </c>
      <c r="N1673" s="83">
        <v>19726767.138941392</v>
      </c>
      <c r="O1673" s="83" t="s">
        <v>558</v>
      </c>
      <c r="P1673" s="84">
        <f t="shared" si="48"/>
        <v>1.7107272189489375E-3</v>
      </c>
    </row>
    <row r="1674" spans="2:16" ht="15" customHeight="1">
      <c r="B1674" s="83">
        <v>251.50125732795618</v>
      </c>
      <c r="C1674" s="83">
        <v>252.09771025142081</v>
      </c>
      <c r="D1674" s="83">
        <v>251.07915218211974</v>
      </c>
      <c r="E1674" s="83">
        <v>251.49208112913368</v>
      </c>
      <c r="F1674" s="83">
        <v>1256995.4316680038</v>
      </c>
      <c r="G1674" s="83" t="s">
        <v>557</v>
      </c>
      <c r="H1674" s="84">
        <f t="shared" si="47"/>
        <v>3.6487028861165172E-5</v>
      </c>
      <c r="J1674" s="83">
        <v>61.814561291842651</v>
      </c>
      <c r="K1674" s="83">
        <v>62.366281749804315</v>
      </c>
      <c r="L1674" s="83">
        <v>61.556594699336245</v>
      </c>
      <c r="M1674" s="83">
        <v>61.691791063809738</v>
      </c>
      <c r="N1674" s="83">
        <v>23502357.421918921</v>
      </c>
      <c r="O1674" s="83" t="s">
        <v>557</v>
      </c>
      <c r="P1674" s="84">
        <f t="shared" si="48"/>
        <v>1.9900577680735942E-3</v>
      </c>
    </row>
    <row r="1675" spans="2:16" ht="15" customHeight="1">
      <c r="B1675" s="83">
        <v>251.89583387732506</v>
      </c>
      <c r="C1675" s="83">
        <v>252.57487259019246</v>
      </c>
      <c r="D1675" s="83">
        <v>250.29917528220452</v>
      </c>
      <c r="E1675" s="83">
        <v>250.39093727042984</v>
      </c>
      <c r="F1675" s="83">
        <v>1954866.0994520974</v>
      </c>
      <c r="G1675" s="83" t="s">
        <v>556</v>
      </c>
      <c r="H1675" s="84">
        <f t="shared" si="47"/>
        <v>6.0101880016123488E-3</v>
      </c>
      <c r="J1675" s="83">
        <v>61.783247428012388</v>
      </c>
      <c r="K1675" s="83">
        <v>61.997971065705578</v>
      </c>
      <c r="L1675" s="83">
        <v>60.659427648326499</v>
      </c>
      <c r="M1675" s="83">
        <v>60.659427648326499</v>
      </c>
      <c r="N1675" s="83">
        <v>28071054.23862299</v>
      </c>
      <c r="O1675" s="83" t="s">
        <v>556</v>
      </c>
      <c r="P1675" s="84">
        <f t="shared" si="48"/>
        <v>1.8526712553261104E-2</v>
      </c>
    </row>
    <row r="1676" spans="2:16" ht="15" customHeight="1">
      <c r="B1676" s="83">
        <v>249.48249358699917</v>
      </c>
      <c r="C1676" s="83">
        <v>250.0055369198835</v>
      </c>
      <c r="D1676" s="83">
        <v>249.11544563409791</v>
      </c>
      <c r="E1676" s="83">
        <v>249.3999077975964</v>
      </c>
      <c r="F1676" s="83">
        <v>1325727.5954100676</v>
      </c>
      <c r="G1676" s="83" t="s">
        <v>555</v>
      </c>
      <c r="H1676" s="84">
        <f t="shared" si="47"/>
        <v>3.3113801096429363E-4</v>
      </c>
      <c r="J1676" s="83">
        <v>60.497390829141359</v>
      </c>
      <c r="K1676" s="83">
        <v>60.954175604697006</v>
      </c>
      <c r="L1676" s="83">
        <v>60.229980372940112</v>
      </c>
      <c r="M1676" s="83">
        <v>60.258809009482249</v>
      </c>
      <c r="N1676" s="83">
        <v>17745640.49368668</v>
      </c>
      <c r="O1676" s="83" t="s">
        <v>555</v>
      </c>
      <c r="P1676" s="84">
        <f t="shared" si="48"/>
        <v>3.9592853489947011E-3</v>
      </c>
    </row>
    <row r="1677" spans="2:16" ht="15" customHeight="1">
      <c r="B1677" s="83">
        <v>249.71189855756248</v>
      </c>
      <c r="C1677" s="83">
        <v>251.74901469616458</v>
      </c>
      <c r="D1677" s="83">
        <v>249.53755077993438</v>
      </c>
      <c r="E1677" s="83">
        <v>249.68436996109489</v>
      </c>
      <c r="F1677" s="83">
        <v>3064244.8516870113</v>
      </c>
      <c r="G1677" s="83" t="s">
        <v>554</v>
      </c>
      <c r="H1677" s="84">
        <f t="shared" si="47"/>
        <v>1.1025358324134871E-4</v>
      </c>
      <c r="J1677" s="83">
        <v>60.413390146803053</v>
      </c>
      <c r="K1677" s="83">
        <v>61.056566968967381</v>
      </c>
      <c r="L1677" s="83">
        <v>60.328395373549498</v>
      </c>
      <c r="M1677" s="83">
        <v>60.749392876156286</v>
      </c>
      <c r="N1677" s="83">
        <v>25694712.232303765</v>
      </c>
      <c r="O1677" s="83" t="s">
        <v>554</v>
      </c>
      <c r="P1677" s="84">
        <f t="shared" si="48"/>
        <v>-5.5309644005531178E-3</v>
      </c>
    </row>
    <row r="1678" spans="2:16" ht="15" customHeight="1">
      <c r="B1678" s="83">
        <v>247.13338668843099</v>
      </c>
      <c r="C1678" s="83">
        <v>247.9408921848138</v>
      </c>
      <c r="D1678" s="83">
        <v>245.23391353216687</v>
      </c>
      <c r="E1678" s="83">
        <v>245.38990891214993</v>
      </c>
      <c r="F1678" s="83">
        <v>1716493.975841501</v>
      </c>
      <c r="G1678" s="83" t="s">
        <v>553</v>
      </c>
      <c r="H1678" s="84">
        <f t="shared" si="47"/>
        <v>7.1049285767705861E-3</v>
      </c>
      <c r="J1678" s="83">
        <v>60.076393326534571</v>
      </c>
      <c r="K1678" s="83">
        <v>60.39102310121001</v>
      </c>
      <c r="L1678" s="83">
        <v>59.51324082304756</v>
      </c>
      <c r="M1678" s="83">
        <v>59.574874459792831</v>
      </c>
      <c r="N1678" s="83">
        <v>18761483.194301084</v>
      </c>
      <c r="O1678" s="83" t="s">
        <v>553</v>
      </c>
      <c r="P1678" s="84">
        <f t="shared" si="48"/>
        <v>8.4182949823958797E-3</v>
      </c>
    </row>
    <row r="1679" spans="2:16" ht="15" customHeight="1">
      <c r="B1679" s="83">
        <v>245.46331850273017</v>
      </c>
      <c r="C1679" s="83">
        <v>246.32312833240144</v>
      </c>
      <c r="D1679" s="83">
        <v>244.44476043342911</v>
      </c>
      <c r="E1679" s="83">
        <v>245.04121335689371</v>
      </c>
      <c r="F1679" s="83">
        <v>2144270.2343900143</v>
      </c>
      <c r="G1679" s="83" t="s">
        <v>552</v>
      </c>
      <c r="H1679" s="84">
        <f t="shared" si="47"/>
        <v>1.7225883762732597E-3</v>
      </c>
      <c r="J1679" s="83">
        <v>59.760272415486256</v>
      </c>
      <c r="K1679" s="83">
        <v>60.060487871890622</v>
      </c>
      <c r="L1679" s="83">
        <v>59.52765514131864</v>
      </c>
      <c r="M1679" s="83">
        <v>59.613146960029809</v>
      </c>
      <c r="N1679" s="83">
        <v>17636857.6868614</v>
      </c>
      <c r="O1679" s="83" t="s">
        <v>552</v>
      </c>
      <c r="P1679" s="84">
        <f t="shared" si="48"/>
        <v>2.4680035018969093E-3</v>
      </c>
    </row>
    <row r="1680" spans="2:16" ht="15" customHeight="1">
      <c r="B1680" s="83">
        <v>243.19679739356476</v>
      </c>
      <c r="C1680" s="83">
        <v>245.93983850758426</v>
      </c>
      <c r="D1680" s="83">
        <v>243.13256400180703</v>
      </c>
      <c r="E1680" s="83">
        <v>245.26144212863446</v>
      </c>
      <c r="F1680" s="83">
        <v>2353734.9634323218</v>
      </c>
      <c r="G1680" s="83" t="s">
        <v>551</v>
      </c>
      <c r="H1680" s="84">
        <f t="shared" si="47"/>
        <v>-8.4181382819514816E-3</v>
      </c>
      <c r="J1680" s="83">
        <v>59.105166502338982</v>
      </c>
      <c r="K1680" s="83">
        <v>59.947658553010179</v>
      </c>
      <c r="L1680" s="83">
        <v>59.099201956847502</v>
      </c>
      <c r="M1680" s="83">
        <v>59.525666959488142</v>
      </c>
      <c r="N1680" s="83">
        <v>22971420.068096254</v>
      </c>
      <c r="O1680" s="83" t="s">
        <v>551</v>
      </c>
      <c r="P1680" s="84">
        <f t="shared" si="48"/>
        <v>-7.0641872427122943E-3</v>
      </c>
    </row>
    <row r="1681" spans="2:16" ht="15" customHeight="1">
      <c r="B1681" s="83">
        <v>247.03244850138313</v>
      </c>
      <c r="C1681" s="83">
        <v>248.82180727177689</v>
      </c>
      <c r="D1681" s="83">
        <v>246.74798633788464</v>
      </c>
      <c r="E1681" s="83">
        <v>247.35361546017177</v>
      </c>
      <c r="F1681" s="83">
        <v>1992893.8282261472</v>
      </c>
      <c r="G1681" s="83" t="s">
        <v>550</v>
      </c>
      <c r="H1681" s="84">
        <f t="shared" si="47"/>
        <v>-1.2984122273335119E-3</v>
      </c>
      <c r="J1681" s="83">
        <v>60.027185826229882</v>
      </c>
      <c r="K1681" s="83">
        <v>60.550256584014157</v>
      </c>
      <c r="L1681" s="83">
        <v>59.831846961383988</v>
      </c>
      <c r="M1681" s="83">
        <v>59.8641549161295</v>
      </c>
      <c r="N1681" s="83">
        <v>17446070.308070175</v>
      </c>
      <c r="O1681" s="83" t="s">
        <v>550</v>
      </c>
      <c r="P1681" s="84">
        <f t="shared" si="48"/>
        <v>2.7233477250081517E-3</v>
      </c>
    </row>
    <row r="1682" spans="2:16" ht="15" customHeight="1">
      <c r="B1682" s="83">
        <v>248.09688756479684</v>
      </c>
      <c r="C1682" s="83">
        <v>248.27123534242494</v>
      </c>
      <c r="D1682" s="83">
        <v>245.33026361980347</v>
      </c>
      <c r="E1682" s="83">
        <v>245.4174375086175</v>
      </c>
      <c r="F1682" s="83">
        <v>2080230.6455183062</v>
      </c>
      <c r="G1682" s="83" t="s">
        <v>549</v>
      </c>
      <c r="H1682" s="84">
        <f t="shared" si="47"/>
        <v>1.0917928584782244E-2</v>
      </c>
      <c r="J1682" s="83">
        <v>60.092795826636134</v>
      </c>
      <c r="K1682" s="83">
        <v>60.214074918296177</v>
      </c>
      <c r="L1682" s="83">
        <v>59.107154684169473</v>
      </c>
      <c r="M1682" s="83">
        <v>59.242351048642966</v>
      </c>
      <c r="N1682" s="83">
        <v>23805951.384373792</v>
      </c>
      <c r="O1682" s="83" t="s">
        <v>549</v>
      </c>
      <c r="P1682" s="84">
        <f t="shared" si="48"/>
        <v>1.4355351584458331E-2</v>
      </c>
    </row>
    <row r="1683" spans="2:16" ht="15" customHeight="1">
      <c r="B1683" s="83">
        <v>244.70169400046004</v>
      </c>
      <c r="C1683" s="83">
        <v>244.75675119339522</v>
      </c>
      <c r="D1683" s="83">
        <v>240.04018499861377</v>
      </c>
      <c r="E1683" s="83">
        <v>242.57281587363263</v>
      </c>
      <c r="F1683" s="83">
        <v>3264030.1915053292</v>
      </c>
      <c r="G1683" s="83" t="s">
        <v>548</v>
      </c>
      <c r="H1683" s="84">
        <f t="shared" si="47"/>
        <v>8.7762436164176005E-3</v>
      </c>
      <c r="J1683" s="83">
        <v>59.040550592847964</v>
      </c>
      <c r="K1683" s="83">
        <v>59.101687184135614</v>
      </c>
      <c r="L1683" s="83">
        <v>57.778055130485228</v>
      </c>
      <c r="M1683" s="83">
        <v>58.65136399952906</v>
      </c>
      <c r="N1683" s="83">
        <v>33470902.399060365</v>
      </c>
      <c r="O1683" s="83" t="s">
        <v>548</v>
      </c>
      <c r="P1683" s="84">
        <f t="shared" si="48"/>
        <v>6.6355932203387979E-3</v>
      </c>
    </row>
    <row r="1684" spans="2:16" ht="15" customHeight="1">
      <c r="B1684" s="83">
        <v>242.7746922477283</v>
      </c>
      <c r="C1684" s="83">
        <v>245.67437107564842</v>
      </c>
      <c r="D1684" s="83">
        <v>241.56352576514229</v>
      </c>
      <c r="E1684" s="83">
        <v>245.67437107564842</v>
      </c>
      <c r="F1684" s="83">
        <v>4873124.5763985524</v>
      </c>
      <c r="G1684" s="83" t="s">
        <v>547</v>
      </c>
      <c r="H1684" s="84">
        <f t="shared" si="47"/>
        <v>-1.1802935793523428E-2</v>
      </c>
      <c r="J1684" s="83">
        <v>58.483859680310076</v>
      </c>
      <c r="K1684" s="83">
        <v>59.495844232030755</v>
      </c>
      <c r="L1684" s="83">
        <v>58.218437405939319</v>
      </c>
      <c r="M1684" s="83">
        <v>59.495347186573134</v>
      </c>
      <c r="N1684" s="83">
        <v>32979619.365979817</v>
      </c>
      <c r="O1684" s="83" t="s">
        <v>547</v>
      </c>
      <c r="P1684" s="84">
        <f t="shared" si="48"/>
        <v>-1.700111948403471E-2</v>
      </c>
    </row>
    <row r="1685" spans="2:16" ht="15" customHeight="1">
      <c r="B1685" s="83">
        <v>247.13338668843099</v>
      </c>
      <c r="C1685" s="83">
        <v>251.50125732795618</v>
      </c>
      <c r="D1685" s="83">
        <v>246.92233411551274</v>
      </c>
      <c r="E1685" s="83">
        <v>250.91398060331417</v>
      </c>
      <c r="F1685" s="83">
        <v>4063852.6606935975</v>
      </c>
      <c r="G1685" s="83" t="s">
        <v>546</v>
      </c>
      <c r="H1685" s="84">
        <f t="shared" si="47"/>
        <v>-1.5067290813341239E-2</v>
      </c>
      <c r="J1685" s="83">
        <v>59.89894809816311</v>
      </c>
      <c r="K1685" s="83">
        <v>61.197727878932348</v>
      </c>
      <c r="L1685" s="83">
        <v>59.823397188604396</v>
      </c>
      <c r="M1685" s="83">
        <v>60.589841284259258</v>
      </c>
      <c r="N1685" s="83">
        <v>27327057.901208732</v>
      </c>
      <c r="O1685" s="83" t="s">
        <v>546</v>
      </c>
      <c r="P1685" s="84">
        <f t="shared" si="48"/>
        <v>-1.1402789171451988E-2</v>
      </c>
    </row>
    <row r="1686" spans="2:16" ht="15" customHeight="1">
      <c r="B1686" s="83">
        <v>250.1431799022215</v>
      </c>
      <c r="C1686" s="83">
        <v>250.75339712391985</v>
      </c>
      <c r="D1686" s="83">
        <v>249.40256889525489</v>
      </c>
      <c r="E1686" s="83">
        <v>249.42743639406399</v>
      </c>
      <c r="F1686" s="83">
        <v>2981829.4621966463</v>
      </c>
      <c r="G1686" s="83" t="s">
        <v>545</v>
      </c>
      <c r="H1686" s="84">
        <f t="shared" si="47"/>
        <v>2.8695460231036307E-3</v>
      </c>
      <c r="J1686" s="83">
        <v>60.589841284259258</v>
      </c>
      <c r="K1686" s="83">
        <v>60.93777310459545</v>
      </c>
      <c r="L1686" s="83">
        <v>60.256820827651765</v>
      </c>
      <c r="M1686" s="83">
        <v>60.687759239411015</v>
      </c>
      <c r="N1686" s="83">
        <v>28562297.033935156</v>
      </c>
      <c r="O1686" s="83" t="s">
        <v>545</v>
      </c>
      <c r="P1686" s="84">
        <f t="shared" si="48"/>
        <v>-1.6134712564600528E-3</v>
      </c>
    </row>
    <row r="1687" spans="2:16" ht="15" customHeight="1">
      <c r="B1687" s="83">
        <v>248.91356926000219</v>
      </c>
      <c r="C1687" s="83">
        <v>251.05162358565212</v>
      </c>
      <c r="D1687" s="83">
        <v>247.50318750097904</v>
      </c>
      <c r="E1687" s="83">
        <v>251.02409498918456</v>
      </c>
      <c r="F1687" s="83">
        <v>3093252.5056347875</v>
      </c>
      <c r="G1687" s="83" t="s">
        <v>544</v>
      </c>
      <c r="H1687" s="84">
        <f t="shared" si="47"/>
        <v>-8.4076619388799845E-3</v>
      </c>
      <c r="J1687" s="83">
        <v>60.892541967951743</v>
      </c>
      <c r="K1687" s="83">
        <v>61.833449019232326</v>
      </c>
      <c r="L1687" s="83">
        <v>60.363685601040736</v>
      </c>
      <c r="M1687" s="83">
        <v>61.783247428012388</v>
      </c>
      <c r="N1687" s="83">
        <v>27249660.553722721</v>
      </c>
      <c r="O1687" s="83" t="s">
        <v>544</v>
      </c>
      <c r="P1687" s="84">
        <f t="shared" si="48"/>
        <v>-1.4416617726325631E-2</v>
      </c>
    </row>
    <row r="1688" spans="2:16" ht="15" customHeight="1">
      <c r="B1688" s="83">
        <v>250.3175276798496</v>
      </c>
      <c r="C1688" s="83">
        <v>251.01491879036203</v>
      </c>
      <c r="D1688" s="83">
        <v>248.99615504940499</v>
      </c>
      <c r="E1688" s="83">
        <v>250.82221861508881</v>
      </c>
      <c r="F1688" s="83">
        <v>2567202.4392230771</v>
      </c>
      <c r="G1688" s="83" t="s">
        <v>543</v>
      </c>
      <c r="H1688" s="84">
        <f t="shared" si="47"/>
        <v>-2.012146045218266E-3</v>
      </c>
      <c r="J1688" s="83">
        <v>61.702726063877449</v>
      </c>
      <c r="K1688" s="83">
        <v>61.882159474079394</v>
      </c>
      <c r="L1688" s="83">
        <v>61.249321197433623</v>
      </c>
      <c r="M1688" s="83">
        <v>61.731057654961965</v>
      </c>
      <c r="N1688" s="83">
        <v>31423323.079320006</v>
      </c>
      <c r="O1688" s="83" t="s">
        <v>543</v>
      </c>
      <c r="P1688" s="84">
        <f t="shared" si="48"/>
        <v>-4.5895197912970698E-4</v>
      </c>
    </row>
    <row r="1689" spans="2:16" ht="15" customHeight="1">
      <c r="B1689" s="83">
        <v>250.81175774843121</v>
      </c>
      <c r="C1689" s="83">
        <v>251.22272993277664</v>
      </c>
      <c r="D1689" s="83">
        <v>248.04454504050511</v>
      </c>
      <c r="E1689" s="83">
        <v>249.39618689124126</v>
      </c>
      <c r="F1689" s="83">
        <v>2902465.4111318407</v>
      </c>
      <c r="G1689" s="83" t="s">
        <v>542</v>
      </c>
      <c r="H1689" s="84">
        <f t="shared" si="47"/>
        <v>5.6759923831846137E-3</v>
      </c>
      <c r="J1689" s="83">
        <v>61.957710383638108</v>
      </c>
      <c r="K1689" s="83">
        <v>62.046184475095025</v>
      </c>
      <c r="L1689" s="83">
        <v>60.146973781517048</v>
      </c>
      <c r="M1689" s="83">
        <v>60.4317808287351</v>
      </c>
      <c r="N1689" s="83">
        <v>32066986.541269552</v>
      </c>
      <c r="O1689" s="83" t="s">
        <v>542</v>
      </c>
      <c r="P1689" s="84">
        <f t="shared" si="48"/>
        <v>2.5250448257143399E-2</v>
      </c>
    </row>
    <row r="1690" spans="2:16" ht="15" customHeight="1">
      <c r="B1690" s="83">
        <v>249.28659430874913</v>
      </c>
      <c r="C1690" s="83">
        <v>252.67939800840114</v>
      </c>
      <c r="D1690" s="83">
        <v>248.46464994005822</v>
      </c>
      <c r="E1690" s="83">
        <v>252.34605390332092</v>
      </c>
      <c r="F1690" s="83">
        <v>5615085.8571494101</v>
      </c>
      <c r="G1690" s="83" t="s">
        <v>541</v>
      </c>
      <c r="H1690" s="84">
        <f t="shared" si="47"/>
        <v>-1.212406355180784E-2</v>
      </c>
      <c r="J1690" s="83">
        <v>60.577912193276305</v>
      </c>
      <c r="K1690" s="83">
        <v>61.96864538370582</v>
      </c>
      <c r="L1690" s="83">
        <v>60.17629946351682</v>
      </c>
      <c r="M1690" s="83">
        <v>61.633636745267829</v>
      </c>
      <c r="N1690" s="83">
        <v>32024958.192192797</v>
      </c>
      <c r="O1690" s="83" t="s">
        <v>541</v>
      </c>
      <c r="P1690" s="84">
        <f t="shared" si="48"/>
        <v>-1.7129032258064503E-2</v>
      </c>
    </row>
    <row r="1691" spans="2:16" ht="15" customHeight="1">
      <c r="B1691" s="83">
        <v>251.36885337609951</v>
      </c>
      <c r="C1691" s="83">
        <v>251.97133859834994</v>
      </c>
      <c r="D1691" s="83">
        <v>250.53777629220087</v>
      </c>
      <c r="E1691" s="83">
        <v>250.77522688760047</v>
      </c>
      <c r="F1691" s="83">
        <v>1421375.7579003684</v>
      </c>
      <c r="G1691" s="83" t="s">
        <v>540</v>
      </c>
      <c r="H1691" s="84">
        <f t="shared" si="47"/>
        <v>2.3671655923378498E-3</v>
      </c>
      <c r="J1691" s="83">
        <v>61.336900607066816</v>
      </c>
      <c r="K1691" s="83">
        <v>61.588405608624122</v>
      </c>
      <c r="L1691" s="83">
        <v>60.846813785850422</v>
      </c>
      <c r="M1691" s="83">
        <v>60.93777310459545</v>
      </c>
      <c r="N1691" s="83">
        <v>21632890.58392892</v>
      </c>
      <c r="O1691" s="83" t="s">
        <v>540</v>
      </c>
      <c r="P1691" s="84">
        <f t="shared" si="48"/>
        <v>6.5497553017943577E-3</v>
      </c>
    </row>
    <row r="1692" spans="2:16" ht="15" customHeight="1">
      <c r="B1692" s="83">
        <v>251.19533178715363</v>
      </c>
      <c r="C1692" s="83">
        <v>253.3506525761654</v>
      </c>
      <c r="D1692" s="83">
        <v>250.69303245073141</v>
      </c>
      <c r="E1692" s="83">
        <v>253.14060012638882</v>
      </c>
      <c r="F1692" s="83">
        <v>2258944.8516535657</v>
      </c>
      <c r="G1692" s="83" t="s">
        <v>539</v>
      </c>
      <c r="H1692" s="84">
        <f t="shared" si="47"/>
        <v>-7.6845371238906113E-3</v>
      </c>
      <c r="J1692" s="83">
        <v>61.133111969441345</v>
      </c>
      <c r="K1692" s="83">
        <v>61.798655837198702</v>
      </c>
      <c r="L1692" s="83">
        <v>60.792635830969495</v>
      </c>
      <c r="M1692" s="83">
        <v>61.291669470423109</v>
      </c>
      <c r="N1692" s="83">
        <v>47023244.336178526</v>
      </c>
      <c r="O1692" s="83" t="s">
        <v>539</v>
      </c>
      <c r="P1692" s="84">
        <f t="shared" si="48"/>
        <v>-2.5869339561435112E-3</v>
      </c>
    </row>
    <row r="1693" spans="2:16" ht="15" customHeight="1">
      <c r="B1693" s="83">
        <v>252.54697363788978</v>
      </c>
      <c r="C1693" s="83">
        <v>253.871217343003</v>
      </c>
      <c r="D1693" s="83">
        <v>252.27299218165953</v>
      </c>
      <c r="E1693" s="83">
        <v>252.97621125265064</v>
      </c>
      <c r="F1693" s="83">
        <v>2488699.0870901635</v>
      </c>
      <c r="G1693" s="83" t="s">
        <v>538</v>
      </c>
      <c r="H1693" s="84">
        <f t="shared" si="47"/>
        <v>-1.6967509025272998E-3</v>
      </c>
      <c r="J1693" s="83">
        <v>61.569517881234447</v>
      </c>
      <c r="K1693" s="83">
        <v>61.854324928452499</v>
      </c>
      <c r="L1693" s="83">
        <v>61.236994470084568</v>
      </c>
      <c r="M1693" s="83">
        <v>61.238982651915059</v>
      </c>
      <c r="N1693" s="83">
        <v>20122002.618890096</v>
      </c>
      <c r="O1693" s="83" t="s">
        <v>538</v>
      </c>
      <c r="P1693" s="84">
        <f t="shared" si="48"/>
        <v>5.3974644092009694E-3</v>
      </c>
    </row>
    <row r="1694" spans="2:16" ht="15" customHeight="1">
      <c r="B1694" s="83">
        <v>252.60176992913586</v>
      </c>
      <c r="C1694" s="83">
        <v>252.68396436600497</v>
      </c>
      <c r="D1694" s="83">
        <v>250.19073311430915</v>
      </c>
      <c r="E1694" s="83">
        <v>252.06293973188295</v>
      </c>
      <c r="F1694" s="83">
        <v>2223369.451281189</v>
      </c>
      <c r="G1694" s="83" t="s">
        <v>537</v>
      </c>
      <c r="H1694" s="84">
        <f t="shared" si="47"/>
        <v>2.1376811594202572E-3</v>
      </c>
      <c r="J1694" s="83">
        <v>61.256379242931878</v>
      </c>
      <c r="K1694" s="83">
        <v>61.415433789371271</v>
      </c>
      <c r="L1694" s="83">
        <v>60.467071056226345</v>
      </c>
      <c r="M1694" s="83">
        <v>61.012826968696544</v>
      </c>
      <c r="N1694" s="83">
        <v>23022703.103901256</v>
      </c>
      <c r="O1694" s="83" t="s">
        <v>537</v>
      </c>
      <c r="P1694" s="84">
        <f t="shared" si="48"/>
        <v>3.9918208405633759E-3</v>
      </c>
    </row>
    <row r="1695" spans="2:16" ht="15" customHeight="1">
      <c r="B1695" s="83">
        <v>252.44651377060538</v>
      </c>
      <c r="C1695" s="83">
        <v>252.50131006185146</v>
      </c>
      <c r="D1695" s="83">
        <v>251.46018052817624</v>
      </c>
      <c r="E1695" s="83">
        <v>251.56977311066836</v>
      </c>
      <c r="F1695" s="83">
        <v>1961476.9094016971</v>
      </c>
      <c r="G1695" s="83" t="s">
        <v>536</v>
      </c>
      <c r="H1695" s="84">
        <f t="shared" si="47"/>
        <v>3.4850795033762871E-3</v>
      </c>
      <c r="J1695" s="83">
        <v>61.094342423746738</v>
      </c>
      <c r="K1695" s="83">
        <v>61.385114016456264</v>
      </c>
      <c r="L1695" s="83">
        <v>60.822955603884509</v>
      </c>
      <c r="M1695" s="83">
        <v>61.15647310594963</v>
      </c>
      <c r="N1695" s="83">
        <v>19276144.37081255</v>
      </c>
      <c r="O1695" s="83" t="s">
        <v>536</v>
      </c>
      <c r="P1695" s="84">
        <f t="shared" si="48"/>
        <v>-1.0159297789337218E-3</v>
      </c>
    </row>
    <row r="1696" spans="2:16" ht="15" customHeight="1">
      <c r="B1696" s="83">
        <v>251.76156013002961</v>
      </c>
      <c r="C1696" s="83">
        <v>252.15426688395974</v>
      </c>
      <c r="D1696" s="83">
        <v>251.18619907194596</v>
      </c>
      <c r="E1696" s="83">
        <v>251.49671138900698</v>
      </c>
      <c r="F1696" s="83">
        <v>1568408.7014954167</v>
      </c>
      <c r="G1696" s="83" t="s">
        <v>535</v>
      </c>
      <c r="H1696" s="84">
        <f t="shared" si="47"/>
        <v>1.0530902752559079E-3</v>
      </c>
      <c r="J1696" s="83">
        <v>61.201207197135702</v>
      </c>
      <c r="K1696" s="83">
        <v>61.611766745132407</v>
      </c>
      <c r="L1696" s="83">
        <v>60.91838833174814</v>
      </c>
      <c r="M1696" s="83">
        <v>61.112733105678792</v>
      </c>
      <c r="N1696" s="83">
        <v>21191200.600381259</v>
      </c>
      <c r="O1696" s="83" t="s">
        <v>535</v>
      </c>
      <c r="P1696" s="84">
        <f t="shared" si="48"/>
        <v>1.447719435226702E-3</v>
      </c>
    </row>
    <row r="1697" spans="2:16" ht="15" customHeight="1">
      <c r="B1697" s="83">
        <v>252.59263721392819</v>
      </c>
      <c r="C1697" s="83">
        <v>253.4693778738652</v>
      </c>
      <c r="D1697" s="83">
        <v>252.20376620038533</v>
      </c>
      <c r="E1697" s="83">
        <v>253.16799827201183</v>
      </c>
      <c r="F1697" s="83">
        <v>2509886.6524088923</v>
      </c>
      <c r="G1697" s="83" t="s">
        <v>534</v>
      </c>
      <c r="H1697" s="84">
        <f t="shared" si="47"/>
        <v>-2.2726452869665792E-3</v>
      </c>
      <c r="J1697" s="83">
        <v>61.611766745132407</v>
      </c>
      <c r="K1697" s="83">
        <v>61.677376745538666</v>
      </c>
      <c r="L1697" s="83">
        <v>60.987974695815382</v>
      </c>
      <c r="M1697" s="83">
        <v>61.203692424423821</v>
      </c>
      <c r="N1697" s="83">
        <v>26181709.94305145</v>
      </c>
      <c r="O1697" s="83" t="s">
        <v>534</v>
      </c>
      <c r="P1697" s="84">
        <f t="shared" si="48"/>
        <v>6.6674787834490878E-3</v>
      </c>
    </row>
    <row r="1698" spans="2:16" ht="15" customHeight="1">
      <c r="B1698" s="83">
        <v>252.6565662203819</v>
      </c>
      <c r="C1698" s="83">
        <v>253.70682846926479</v>
      </c>
      <c r="D1698" s="83">
        <v>252.00814344063687</v>
      </c>
      <c r="E1698" s="83">
        <v>252.71136251162798</v>
      </c>
      <c r="F1698" s="83">
        <v>2664829.6203895989</v>
      </c>
      <c r="G1698" s="83" t="s">
        <v>533</v>
      </c>
      <c r="H1698" s="84">
        <f t="shared" si="47"/>
        <v>-2.1683350800483225E-4</v>
      </c>
      <c r="J1698" s="83">
        <v>61.347835607134527</v>
      </c>
      <c r="K1698" s="83">
        <v>61.726087200385727</v>
      </c>
      <c r="L1698" s="83">
        <v>60.789653558223755</v>
      </c>
      <c r="M1698" s="83">
        <v>60.853275376799516</v>
      </c>
      <c r="N1698" s="83">
        <v>34723343.177770808</v>
      </c>
      <c r="O1698" s="83" t="s">
        <v>533</v>
      </c>
      <c r="P1698" s="84">
        <f t="shared" si="48"/>
        <v>8.1270930327534963E-3</v>
      </c>
    </row>
    <row r="1699" spans="2:16" ht="15" customHeight="1">
      <c r="B1699" s="83">
        <v>251.91681628856009</v>
      </c>
      <c r="C1699" s="83">
        <v>251.91681628856009</v>
      </c>
      <c r="D1699" s="83">
        <v>249.77976092996371</v>
      </c>
      <c r="E1699" s="83">
        <v>250.3733874184627</v>
      </c>
      <c r="F1699" s="83">
        <v>2277880.0747572752</v>
      </c>
      <c r="G1699" s="83" t="s">
        <v>532</v>
      </c>
      <c r="H1699" s="84">
        <f t="shared" si="47"/>
        <v>6.1645084807586681E-3</v>
      </c>
      <c r="J1699" s="83">
        <v>60.647995602801167</v>
      </c>
      <c r="K1699" s="83">
        <v>60.768777649003582</v>
      </c>
      <c r="L1699" s="83">
        <v>59.754804915452411</v>
      </c>
      <c r="M1699" s="83">
        <v>59.814947415824811</v>
      </c>
      <c r="N1699" s="83">
        <v>26296045.56191368</v>
      </c>
      <c r="O1699" s="83" t="s">
        <v>532</v>
      </c>
      <c r="P1699" s="84">
        <f t="shared" si="48"/>
        <v>1.3927090517778629E-2</v>
      </c>
    </row>
    <row r="1700" spans="2:16" ht="15" customHeight="1">
      <c r="B1700" s="83">
        <v>250.11767139264776</v>
      </c>
      <c r="C1700" s="83">
        <v>250.12680410785543</v>
      </c>
      <c r="D1700" s="83">
        <v>248.29112835111238</v>
      </c>
      <c r="E1700" s="83">
        <v>249.42358503686432</v>
      </c>
      <c r="F1700" s="83">
        <v>2048004.2982483061</v>
      </c>
      <c r="G1700" s="83" t="s">
        <v>531</v>
      </c>
      <c r="H1700" s="84">
        <f t="shared" si="47"/>
        <v>2.7827615246602821E-3</v>
      </c>
      <c r="J1700" s="83">
        <v>59.943682189349197</v>
      </c>
      <c r="K1700" s="83">
        <v>60.142500372398445</v>
      </c>
      <c r="L1700" s="83">
        <v>59.376056276743576</v>
      </c>
      <c r="M1700" s="83">
        <v>59.404387867828106</v>
      </c>
      <c r="N1700" s="83">
        <v>25352107.753400914</v>
      </c>
      <c r="O1700" s="83" t="s">
        <v>531</v>
      </c>
      <c r="P1700" s="84">
        <f t="shared" si="48"/>
        <v>9.0783583650586586E-3</v>
      </c>
    </row>
    <row r="1701" spans="2:16" ht="15" customHeight="1">
      <c r="B1701" s="83">
        <v>250.06287510140169</v>
      </c>
      <c r="C1701" s="83">
        <v>250.98984569498089</v>
      </c>
      <c r="D1701" s="83">
        <v>249.28659430874913</v>
      </c>
      <c r="E1701" s="83">
        <v>250.96701390696171</v>
      </c>
      <c r="F1701" s="83">
        <v>2363803.0431358768</v>
      </c>
      <c r="G1701" s="83" t="s">
        <v>530</v>
      </c>
      <c r="H1701" s="84">
        <f t="shared" si="47"/>
        <v>-3.6026200873362502E-3</v>
      </c>
      <c r="J1701" s="83">
        <v>59.864651961587121</v>
      </c>
      <c r="K1701" s="83">
        <v>60.639545830021575</v>
      </c>
      <c r="L1701" s="83">
        <v>59.278635367049446</v>
      </c>
      <c r="M1701" s="83">
        <v>59.844273097824569</v>
      </c>
      <c r="N1701" s="83">
        <v>29612583.264285989</v>
      </c>
      <c r="O1701" s="83" t="s">
        <v>530</v>
      </c>
      <c r="P1701" s="84">
        <f t="shared" si="48"/>
        <v>3.4053156146196528E-4</v>
      </c>
    </row>
    <row r="1702" spans="2:16" ht="15" customHeight="1">
      <c r="B1702" s="83">
        <v>249.99894609494797</v>
      </c>
      <c r="C1702" s="83">
        <v>250.59257258344695</v>
      </c>
      <c r="D1702" s="83">
        <v>249.49664675852571</v>
      </c>
      <c r="E1702" s="83">
        <v>250.17246768389381</v>
      </c>
      <c r="F1702" s="83">
        <v>2070491.5865661732</v>
      </c>
      <c r="G1702" s="83" t="s">
        <v>529</v>
      </c>
      <c r="H1702" s="84">
        <f t="shared" si="47"/>
        <v>-6.9360785602157193E-4</v>
      </c>
      <c r="J1702" s="83">
        <v>59.890498325383525</v>
      </c>
      <c r="K1702" s="83">
        <v>60.242655032109511</v>
      </c>
      <c r="L1702" s="83">
        <v>59.77081972009703</v>
      </c>
      <c r="M1702" s="83">
        <v>60.049552871822925</v>
      </c>
      <c r="N1702" s="83">
        <v>21570320.8540923</v>
      </c>
      <c r="O1702" s="83" t="s">
        <v>529</v>
      </c>
      <c r="P1702" s="84">
        <f t="shared" si="48"/>
        <v>-2.6487215779759099E-3</v>
      </c>
    </row>
    <row r="1703" spans="2:16" ht="15" customHeight="1">
      <c r="B1703" s="83">
        <v>249.81629179079442</v>
      </c>
      <c r="C1703" s="83">
        <v>250.63823615948533</v>
      </c>
      <c r="D1703" s="83">
        <v>248.82995854836528</v>
      </c>
      <c r="E1703" s="83">
        <v>248.93041841564974</v>
      </c>
      <c r="F1703" s="83">
        <v>1923574.7092204161</v>
      </c>
      <c r="G1703" s="83" t="s">
        <v>528</v>
      </c>
      <c r="H1703" s="84">
        <f t="shared" si="47"/>
        <v>3.558718861210064E-3</v>
      </c>
      <c r="J1703" s="83">
        <v>60.211092645550444</v>
      </c>
      <c r="K1703" s="83">
        <v>60.293602191515873</v>
      </c>
      <c r="L1703" s="83">
        <v>59.224457412168526</v>
      </c>
      <c r="M1703" s="83">
        <v>59.224457412168526</v>
      </c>
      <c r="N1703" s="83">
        <v>28339480.391510524</v>
      </c>
      <c r="O1703" s="83" t="s">
        <v>528</v>
      </c>
      <c r="P1703" s="84">
        <f t="shared" si="48"/>
        <v>1.6659253229041715E-2</v>
      </c>
    </row>
    <row r="1704" spans="2:16" ht="15" customHeight="1">
      <c r="B1704" s="83">
        <v>246.55591246165378</v>
      </c>
      <c r="C1704" s="83">
        <v>246.63810689852286</v>
      </c>
      <c r="D1704" s="83">
        <v>245.1962338215348</v>
      </c>
      <c r="E1704" s="83">
        <v>245.89835696670102</v>
      </c>
      <c r="F1704" s="83">
        <v>1627702.130413994</v>
      </c>
      <c r="G1704" s="83" t="s">
        <v>527</v>
      </c>
      <c r="H1704" s="84">
        <f t="shared" si="47"/>
        <v>2.674094707521002E-3</v>
      </c>
      <c r="J1704" s="83">
        <v>58.72144740905393</v>
      </c>
      <c r="K1704" s="83">
        <v>58.824335818781911</v>
      </c>
      <c r="L1704" s="83">
        <v>58.204023087668247</v>
      </c>
      <c r="M1704" s="83">
        <v>58.487836043971058</v>
      </c>
      <c r="N1704" s="83">
        <v>21506443.396783207</v>
      </c>
      <c r="O1704" s="83" t="s">
        <v>527</v>
      </c>
      <c r="P1704" s="84">
        <f t="shared" si="48"/>
        <v>3.9941871829083375E-3</v>
      </c>
    </row>
    <row r="1705" spans="2:16" ht="15" customHeight="1">
      <c r="B1705" s="83">
        <v>243.94395591225816</v>
      </c>
      <c r="C1705" s="83">
        <v>244.57411326158788</v>
      </c>
      <c r="D1705" s="83">
        <v>242.63797763756037</v>
      </c>
      <c r="E1705" s="83">
        <v>243.6882398864432</v>
      </c>
      <c r="F1705" s="83">
        <v>3690470.9315438368</v>
      </c>
      <c r="G1705" s="83" t="s">
        <v>526</v>
      </c>
      <c r="H1705" s="84">
        <f t="shared" si="47"/>
        <v>1.0493572686729458E-3</v>
      </c>
      <c r="J1705" s="83">
        <v>58.074294223228613</v>
      </c>
      <c r="K1705" s="83">
        <v>58.993828319831401</v>
      </c>
      <c r="L1705" s="83">
        <v>57.816327630722206</v>
      </c>
      <c r="M1705" s="83">
        <v>58.503741498614993</v>
      </c>
      <c r="N1705" s="83">
        <v>29784398.535284303</v>
      </c>
      <c r="O1705" s="83" t="s">
        <v>526</v>
      </c>
      <c r="P1705" s="84">
        <f t="shared" si="48"/>
        <v>-7.3405095876910575E-3</v>
      </c>
    </row>
    <row r="1706" spans="2:16" ht="15" customHeight="1">
      <c r="B1706" s="83">
        <v>245.30473047820203</v>
      </c>
      <c r="C1706" s="83">
        <v>246.77966398424181</v>
      </c>
      <c r="D1706" s="83">
        <v>244.4470771930491</v>
      </c>
      <c r="E1706" s="83">
        <v>246.72030133539192</v>
      </c>
      <c r="F1706" s="83">
        <v>4609330.1983855302</v>
      </c>
      <c r="G1706" s="83" t="s">
        <v>525</v>
      </c>
      <c r="H1706" s="84">
        <f t="shared" si="47"/>
        <v>-5.7375532111788585E-3</v>
      </c>
      <c r="J1706" s="83">
        <v>59.053970820203787</v>
      </c>
      <c r="K1706" s="83">
        <v>59.570898096131849</v>
      </c>
      <c r="L1706" s="83">
        <v>58.840370505244834</v>
      </c>
      <c r="M1706" s="83">
        <v>59.570898096131849</v>
      </c>
      <c r="N1706" s="83">
        <v>22733514.262527741</v>
      </c>
      <c r="O1706" s="83" t="s">
        <v>525</v>
      </c>
      <c r="P1706" s="84">
        <f t="shared" si="48"/>
        <v>-8.6775135586151242E-3</v>
      </c>
    </row>
    <row r="1707" spans="2:16" ht="15" customHeight="1">
      <c r="B1707" s="83">
        <v>245.40519034548643</v>
      </c>
      <c r="C1707" s="83">
        <v>245.88009153628568</v>
      </c>
      <c r="D1707" s="83">
        <v>243.75216889289692</v>
      </c>
      <c r="E1707" s="83">
        <v>244.67457312887234</v>
      </c>
      <c r="F1707" s="83">
        <v>3426584.4590986907</v>
      </c>
      <c r="G1707" s="83" t="s">
        <v>524</v>
      </c>
      <c r="H1707" s="84">
        <f t="shared" si="47"/>
        <v>2.9860774140566537E-3</v>
      </c>
      <c r="J1707" s="83">
        <v>59.290067412574778</v>
      </c>
      <c r="K1707" s="83">
        <v>59.449619004471799</v>
      </c>
      <c r="L1707" s="83">
        <v>58.707033090782843</v>
      </c>
      <c r="M1707" s="83">
        <v>58.707033090782843</v>
      </c>
      <c r="N1707" s="83">
        <v>21906608.003358912</v>
      </c>
      <c r="O1707" s="83" t="s">
        <v>524</v>
      </c>
      <c r="P1707" s="84">
        <f t="shared" si="48"/>
        <v>9.9312516933081074E-3</v>
      </c>
    </row>
    <row r="1708" spans="2:16" ht="15" customHeight="1">
      <c r="B1708" s="83">
        <v>242.25440359883791</v>
      </c>
      <c r="C1708" s="83">
        <v>242.42792518778379</v>
      </c>
      <c r="D1708" s="83">
        <v>239.27713844113526</v>
      </c>
      <c r="E1708" s="83">
        <v>239.94382665129569</v>
      </c>
      <c r="F1708" s="83">
        <v>3421638.5039284225</v>
      </c>
      <c r="G1708" s="83" t="s">
        <v>523</v>
      </c>
      <c r="H1708" s="84">
        <f t="shared" si="47"/>
        <v>9.6296578236210184E-3</v>
      </c>
      <c r="J1708" s="83">
        <v>58.205017178583489</v>
      </c>
      <c r="K1708" s="83">
        <v>58.47341675524541</v>
      </c>
      <c r="L1708" s="83">
        <v>57.523070810724562</v>
      </c>
      <c r="M1708" s="83">
        <v>57.742267857536362</v>
      </c>
      <c r="N1708" s="83">
        <v>16140234.010714585</v>
      </c>
      <c r="O1708" s="83" t="s">
        <v>523</v>
      </c>
      <c r="P1708" s="84">
        <f t="shared" si="48"/>
        <v>8.0140482564494686E-3</v>
      </c>
    </row>
    <row r="1709" spans="2:16" ht="15" customHeight="1">
      <c r="B1709" s="83">
        <v>240.58311671583306</v>
      </c>
      <c r="C1709" s="83">
        <v>243.1676751196056</v>
      </c>
      <c r="D1709" s="83">
        <v>239.9255612208803</v>
      </c>
      <c r="E1709" s="83">
        <v>242.85716280254462</v>
      </c>
      <c r="F1709" s="83">
        <v>2727751.762045451</v>
      </c>
      <c r="G1709" s="83" t="s">
        <v>522</v>
      </c>
      <c r="H1709" s="84">
        <f t="shared" si="47"/>
        <v>-9.3637184115523686E-3</v>
      </c>
      <c r="J1709" s="83">
        <v>58.046956723059331</v>
      </c>
      <c r="K1709" s="83">
        <v>58.770654909358619</v>
      </c>
      <c r="L1709" s="83">
        <v>57.72934467563816</v>
      </c>
      <c r="M1709" s="83">
        <v>58.677707408783085</v>
      </c>
      <c r="N1709" s="83">
        <v>21677132.010266777</v>
      </c>
      <c r="O1709" s="83" t="s">
        <v>522</v>
      </c>
      <c r="P1709" s="84">
        <f t="shared" si="48"/>
        <v>-1.0749409163680834E-2</v>
      </c>
    </row>
    <row r="1710" spans="2:16" ht="15" customHeight="1">
      <c r="B1710" s="83">
        <v>241.53291909743149</v>
      </c>
      <c r="C1710" s="83">
        <v>241.53291909743149</v>
      </c>
      <c r="D1710" s="83">
        <v>239.5237217517425</v>
      </c>
      <c r="E1710" s="83">
        <v>240.93015989372478</v>
      </c>
      <c r="F1710" s="83">
        <v>2488056.3428605981</v>
      </c>
      <c r="G1710" s="83" t="s">
        <v>521</v>
      </c>
      <c r="H1710" s="84">
        <f t="shared" si="47"/>
        <v>2.5018005382662079E-3</v>
      </c>
      <c r="J1710" s="83">
        <v>58.099146496109775</v>
      </c>
      <c r="K1710" s="83">
        <v>58.127975132651912</v>
      </c>
      <c r="L1710" s="83">
        <v>57.30735308211613</v>
      </c>
      <c r="M1710" s="83">
        <v>57.521082628894071</v>
      </c>
      <c r="N1710" s="83">
        <v>24674624.447124884</v>
      </c>
      <c r="O1710" s="83" t="s">
        <v>521</v>
      </c>
      <c r="P1710" s="84">
        <f t="shared" si="48"/>
        <v>1.0049599917045571E-2</v>
      </c>
    </row>
    <row r="1711" spans="2:16" ht="15" customHeight="1">
      <c r="B1711" s="83">
        <v>238.88443168720514</v>
      </c>
      <c r="C1711" s="83">
        <v>245.52391564318623</v>
      </c>
      <c r="D1711" s="83">
        <v>237.75197500145319</v>
      </c>
      <c r="E1711" s="83">
        <v>244.01701763391958</v>
      </c>
      <c r="F1711" s="83">
        <v>4616768.2930217125</v>
      </c>
      <c r="G1711" s="83" t="s">
        <v>520</v>
      </c>
      <c r="H1711" s="84">
        <f t="shared" si="47"/>
        <v>-2.1033721321905841E-2</v>
      </c>
      <c r="J1711" s="83">
        <v>57.224346490693058</v>
      </c>
      <c r="K1711" s="83">
        <v>59.351204003862421</v>
      </c>
      <c r="L1711" s="83">
        <v>57.048392398694475</v>
      </c>
      <c r="M1711" s="83">
        <v>58.750276045596067</v>
      </c>
      <c r="N1711" s="83">
        <v>33966128.733442515</v>
      </c>
      <c r="O1711" s="83" t="s">
        <v>520</v>
      </c>
      <c r="P1711" s="84">
        <f t="shared" si="48"/>
        <v>-2.5973146980938999E-2</v>
      </c>
    </row>
    <row r="1712" spans="2:16" ht="15" customHeight="1">
      <c r="B1712" s="83">
        <v>245.17687246529454</v>
      </c>
      <c r="C1712" s="83">
        <v>246.50148147901598</v>
      </c>
      <c r="D1712" s="83">
        <v>243.5695145887434</v>
      </c>
      <c r="E1712" s="83">
        <v>245.92575511232403</v>
      </c>
      <c r="F1712" s="83">
        <v>2065743.8199913925</v>
      </c>
      <c r="G1712" s="83" t="s">
        <v>519</v>
      </c>
      <c r="H1712" s="84">
        <f t="shared" ref="H1712:H1775" si="49">B1712/E1712-1</f>
        <v>-3.0451574569221318E-3</v>
      </c>
      <c r="J1712" s="83">
        <v>59.125048320643899</v>
      </c>
      <c r="K1712" s="83">
        <v>59.546617425526961</v>
      </c>
      <c r="L1712" s="83">
        <v>58.580783544546577</v>
      </c>
      <c r="M1712" s="83">
        <v>59.3507069584048</v>
      </c>
      <c r="N1712" s="83">
        <v>19070811.038750626</v>
      </c>
      <c r="O1712" s="83" t="s">
        <v>519</v>
      </c>
      <c r="P1712" s="84">
        <f t="shared" ref="P1712:P1775" si="50">J1712/M1712-1</f>
        <v>-3.8021221536426175E-3</v>
      </c>
    </row>
    <row r="1713" spans="2:16" ht="15" customHeight="1">
      <c r="B1713" s="83">
        <v>245.26819961737132</v>
      </c>
      <c r="C1713" s="83">
        <v>245.60510548138251</v>
      </c>
      <c r="D1713" s="83">
        <v>244.68370584408001</v>
      </c>
      <c r="E1713" s="83">
        <v>245.28646504778666</v>
      </c>
      <c r="F1713" s="83">
        <v>2203525.4075462371</v>
      </c>
      <c r="G1713" s="83" t="s">
        <v>518</v>
      </c>
      <c r="H1713" s="84">
        <f t="shared" si="49"/>
        <v>-7.446570854119372E-5</v>
      </c>
      <c r="J1713" s="83">
        <v>59.210540139355082</v>
      </c>
      <c r="K1713" s="83">
        <v>59.595750369013004</v>
      </c>
      <c r="L1713" s="83">
        <v>59.020668774543047</v>
      </c>
      <c r="M1713" s="83">
        <v>59.304978776303479</v>
      </c>
      <c r="N1713" s="83">
        <v>14909159.487015873</v>
      </c>
      <c r="O1713" s="83" t="s">
        <v>518</v>
      </c>
      <c r="P1713" s="84">
        <f t="shared" si="50"/>
        <v>-1.5924234170054952E-3</v>
      </c>
    </row>
    <row r="1714" spans="2:16" ht="15" customHeight="1">
      <c r="B1714" s="83">
        <v>243.29553313251307</v>
      </c>
      <c r="C1714" s="83">
        <v>245.20427061091758</v>
      </c>
      <c r="D1714" s="83">
        <v>243.19507326522867</v>
      </c>
      <c r="E1714" s="83">
        <v>244.73850213532606</v>
      </c>
      <c r="F1714" s="83">
        <v>2042266.6836607021</v>
      </c>
      <c r="G1714" s="83" t="s">
        <v>517</v>
      </c>
      <c r="H1714" s="84">
        <f t="shared" si="49"/>
        <v>-5.8959623852528065E-3</v>
      </c>
      <c r="J1714" s="83">
        <v>58.785069227629684</v>
      </c>
      <c r="K1714" s="83">
        <v>59.449619004471799</v>
      </c>
      <c r="L1714" s="83">
        <v>58.75624059108754</v>
      </c>
      <c r="M1714" s="83">
        <v>59.40935832240433</v>
      </c>
      <c r="N1714" s="83">
        <v>18420950.960469991</v>
      </c>
      <c r="O1714" s="83" t="s">
        <v>517</v>
      </c>
      <c r="P1714" s="84">
        <f t="shared" si="50"/>
        <v>-1.0508261869901614E-2</v>
      </c>
    </row>
    <row r="1715" spans="2:16" ht="15" customHeight="1">
      <c r="B1715" s="83">
        <v>245.19513789570991</v>
      </c>
      <c r="C1715" s="83">
        <v>245.79789709941656</v>
      </c>
      <c r="D1715" s="83">
        <v>244.42935972554619</v>
      </c>
      <c r="E1715" s="83">
        <v>245.08554531321778</v>
      </c>
      <c r="F1715" s="83">
        <v>1567333.446242549</v>
      </c>
      <c r="G1715" s="83" t="s">
        <v>516</v>
      </c>
      <c r="H1715" s="84">
        <f t="shared" si="49"/>
        <v>4.4716053063043049E-4</v>
      </c>
      <c r="J1715" s="83">
        <v>59.568412868843737</v>
      </c>
      <c r="K1715" s="83">
        <v>59.992889689653886</v>
      </c>
      <c r="L1715" s="83">
        <v>59.152882866270794</v>
      </c>
      <c r="M1715" s="83">
        <v>59.152882866270794</v>
      </c>
      <c r="N1715" s="83">
        <v>24796866.787474506</v>
      </c>
      <c r="O1715" s="83" t="s">
        <v>516</v>
      </c>
      <c r="P1715" s="84">
        <f t="shared" si="50"/>
        <v>7.0246788058048182E-3</v>
      </c>
    </row>
    <row r="1716" spans="2:16" ht="15" customHeight="1">
      <c r="B1716" s="83">
        <v>242.21787273800726</v>
      </c>
      <c r="C1716" s="83">
        <v>242.63797763756037</v>
      </c>
      <c r="D1716" s="83">
        <v>240.20867539231827</v>
      </c>
      <c r="E1716" s="83">
        <v>240.25433896835668</v>
      </c>
      <c r="F1716" s="83">
        <v>2665098.9816851239</v>
      </c>
      <c r="G1716" s="83" t="s">
        <v>515</v>
      </c>
      <c r="H1716" s="84">
        <f t="shared" si="49"/>
        <v>8.1727296917171177E-3</v>
      </c>
      <c r="J1716" s="83">
        <v>58.532073089699509</v>
      </c>
      <c r="K1716" s="83">
        <v>58.786560364002554</v>
      </c>
      <c r="L1716" s="83">
        <v>58.244283769735716</v>
      </c>
      <c r="M1716" s="83">
        <v>58.628996953936017</v>
      </c>
      <c r="N1716" s="83">
        <v>27149146.608300287</v>
      </c>
      <c r="O1716" s="83" t="s">
        <v>515</v>
      </c>
      <c r="P1716" s="84">
        <f t="shared" si="50"/>
        <v>-1.6531728201432117E-3</v>
      </c>
    </row>
    <row r="1717" spans="2:16" ht="15" customHeight="1">
      <c r="B1717" s="83">
        <v>238.72004281346696</v>
      </c>
      <c r="C1717" s="83">
        <v>239.5237217517425</v>
      </c>
      <c r="D1717" s="83">
        <v>236.84783619589317</v>
      </c>
      <c r="E1717" s="83">
        <v>238.93009526324354</v>
      </c>
      <c r="F1717" s="83">
        <v>3047638.0098443814</v>
      </c>
      <c r="G1717" s="83" t="s">
        <v>514</v>
      </c>
      <c r="H1717" s="84">
        <f t="shared" si="49"/>
        <v>-8.791376806055462E-4</v>
      </c>
      <c r="J1717" s="83">
        <v>58.018128086517194</v>
      </c>
      <c r="K1717" s="83">
        <v>58.444593089157834</v>
      </c>
      <c r="L1717" s="83">
        <v>57.762149675841279</v>
      </c>
      <c r="M1717" s="83">
        <v>57.831238994450899</v>
      </c>
      <c r="N1717" s="83">
        <v>24640382.106230371</v>
      </c>
      <c r="O1717" s="83" t="s">
        <v>514</v>
      </c>
      <c r="P1717" s="84">
        <f t="shared" si="50"/>
        <v>3.2316287064890759E-3</v>
      </c>
    </row>
    <row r="1718" spans="2:16" ht="15" customHeight="1">
      <c r="B1718" s="83">
        <v>237.97116016643744</v>
      </c>
      <c r="C1718" s="83">
        <v>242.15394373155345</v>
      </c>
      <c r="D1718" s="83">
        <v>237.97116016643744</v>
      </c>
      <c r="E1718" s="83">
        <v>241.61511353430055</v>
      </c>
      <c r="F1718" s="83">
        <v>4768328.9153037351</v>
      </c>
      <c r="G1718" s="83" t="s">
        <v>513</v>
      </c>
      <c r="H1718" s="84">
        <f t="shared" si="49"/>
        <v>-1.5081644995464272E-2</v>
      </c>
      <c r="J1718" s="83">
        <v>57.870505585603127</v>
      </c>
      <c r="K1718" s="83">
        <v>58.765684454782381</v>
      </c>
      <c r="L1718" s="83">
        <v>57.684113538994453</v>
      </c>
      <c r="M1718" s="83">
        <v>58.467954225666126</v>
      </c>
      <c r="N1718" s="83">
        <v>31761038.669364236</v>
      </c>
      <c r="O1718" s="83" t="s">
        <v>513</v>
      </c>
      <c r="P1718" s="84">
        <f t="shared" si="50"/>
        <v>-1.0218394810891707E-2</v>
      </c>
    </row>
    <row r="1719" spans="2:16" ht="15" customHeight="1">
      <c r="B1719" s="83">
        <v>245.35952676944811</v>
      </c>
      <c r="C1719" s="83">
        <v>246.67463775935357</v>
      </c>
      <c r="D1719" s="83">
        <v>241.02148704580156</v>
      </c>
      <c r="E1719" s="83">
        <v>241.30460121723956</v>
      </c>
      <c r="F1719" s="83">
        <v>3728709.2858622158</v>
      </c>
      <c r="G1719" s="83" t="s">
        <v>512</v>
      </c>
      <c r="H1719" s="84">
        <f t="shared" si="49"/>
        <v>1.6804178336234932E-2</v>
      </c>
      <c r="J1719" s="83">
        <v>59.509761504844199</v>
      </c>
      <c r="K1719" s="83">
        <v>59.883042643519168</v>
      </c>
      <c r="L1719" s="83">
        <v>58.226887178718911</v>
      </c>
      <c r="M1719" s="83">
        <v>58.226887178718911</v>
      </c>
      <c r="N1719" s="83">
        <v>26516870.434803322</v>
      </c>
      <c r="O1719" s="83" t="s">
        <v>512</v>
      </c>
      <c r="P1719" s="84">
        <f t="shared" si="50"/>
        <v>2.2032335717822038E-2</v>
      </c>
    </row>
    <row r="1720" spans="2:16" ht="15" customHeight="1">
      <c r="B1720" s="83">
        <v>241.61511353430055</v>
      </c>
      <c r="C1720" s="83">
        <v>246.01160263527623</v>
      </c>
      <c r="D1720" s="83">
        <v>241.02148704580156</v>
      </c>
      <c r="E1720" s="83">
        <v>241.30460121723956</v>
      </c>
      <c r="F1720" s="83">
        <v>2304315.8054802758</v>
      </c>
      <c r="G1720" s="83" t="s">
        <v>511</v>
      </c>
      <c r="H1720" s="84">
        <f t="shared" si="49"/>
        <v>1.2868064491711184E-3</v>
      </c>
      <c r="J1720" s="83">
        <v>58.38842695244643</v>
      </c>
      <c r="K1720" s="83">
        <v>59.794568552062259</v>
      </c>
      <c r="L1720" s="83">
        <v>58.226887178718911</v>
      </c>
      <c r="M1720" s="83">
        <v>58.226887178718911</v>
      </c>
      <c r="N1720" s="83">
        <v>20183003.075759754</v>
      </c>
      <c r="O1720" s="83" t="s">
        <v>511</v>
      </c>
      <c r="P1720" s="84">
        <f t="shared" si="50"/>
        <v>2.7743158110391519E-3</v>
      </c>
    </row>
    <row r="1721" spans="2:16" ht="15" customHeight="1">
      <c r="B1721" s="83">
        <v>244.4827861095111</v>
      </c>
      <c r="C1721" s="83">
        <v>245.93488782753175</v>
      </c>
      <c r="D1721" s="83">
        <v>242.93022452420601</v>
      </c>
      <c r="E1721" s="83">
        <v>245.41432306069416</v>
      </c>
      <c r="F1721" s="83">
        <v>2864740.5952183446</v>
      </c>
      <c r="G1721" s="83" t="s">
        <v>510</v>
      </c>
      <c r="H1721" s="84">
        <f t="shared" si="49"/>
        <v>-3.7957725513546592E-3</v>
      </c>
      <c r="J1721" s="83">
        <v>59.049497411085184</v>
      </c>
      <c r="K1721" s="83">
        <v>59.838308552333096</v>
      </c>
      <c r="L1721" s="83">
        <v>58.830449477910676</v>
      </c>
      <c r="M1721" s="83">
        <v>59.545548777793066</v>
      </c>
      <c r="N1721" s="83">
        <v>21439849.890108213</v>
      </c>
      <c r="O1721" s="83" t="s">
        <v>510</v>
      </c>
      <c r="P1721" s="84">
        <f t="shared" si="50"/>
        <v>-8.3306204559303598E-3</v>
      </c>
    </row>
    <row r="1722" spans="2:16" ht="15" customHeight="1">
      <c r="B1722" s="83">
        <v>246.19973656855433</v>
      </c>
      <c r="C1722" s="83">
        <v>246.208869283762</v>
      </c>
      <c r="D1722" s="83">
        <v>242.38226161174538</v>
      </c>
      <c r="E1722" s="83">
        <v>242.93022452420601</v>
      </c>
      <c r="F1722" s="83">
        <v>3962473.2817224408</v>
      </c>
      <c r="G1722" s="83" t="s">
        <v>509</v>
      </c>
      <c r="H1722" s="84">
        <f t="shared" si="49"/>
        <v>1.345864661654117E-2</v>
      </c>
      <c r="J1722" s="83">
        <v>59.884036734434417</v>
      </c>
      <c r="K1722" s="83">
        <v>59.8944746890445</v>
      </c>
      <c r="L1722" s="83">
        <v>58.304426270108117</v>
      </c>
      <c r="M1722" s="83">
        <v>58.792027864036406</v>
      </c>
      <c r="N1722" s="83">
        <v>29534461.636969071</v>
      </c>
      <c r="O1722" s="83" t="s">
        <v>509</v>
      </c>
      <c r="P1722" s="84">
        <f t="shared" si="50"/>
        <v>1.8574097714802562E-2</v>
      </c>
    </row>
    <row r="1723" spans="2:16" ht="15" customHeight="1">
      <c r="B1723" s="83">
        <v>241.48725552139308</v>
      </c>
      <c r="C1723" s="83">
        <v>242.22691412606281</v>
      </c>
      <c r="D1723" s="83">
        <v>236.52828249077658</v>
      </c>
      <c r="E1723" s="83">
        <v>238.50999036369041</v>
      </c>
      <c r="F1723" s="83">
        <v>4665881.8359057568</v>
      </c>
      <c r="G1723" s="83" t="s">
        <v>508</v>
      </c>
      <c r="H1723" s="84">
        <f t="shared" si="49"/>
        <v>1.2482769183642217E-2</v>
      </c>
      <c r="J1723" s="83">
        <v>58.352639679497564</v>
      </c>
      <c r="K1723" s="83">
        <v>58.574078401323234</v>
      </c>
      <c r="L1723" s="83">
        <v>57.141533746998476</v>
      </c>
      <c r="M1723" s="83">
        <v>57.458454901233559</v>
      </c>
      <c r="N1723" s="83">
        <v>29058187.291495636</v>
      </c>
      <c r="O1723" s="83" t="s">
        <v>508</v>
      </c>
      <c r="P1723" s="84">
        <f t="shared" si="50"/>
        <v>1.5562283737024174E-2</v>
      </c>
    </row>
    <row r="1724" spans="2:16" ht="15" customHeight="1">
      <c r="B1724" s="83">
        <v>241.32286664765488</v>
      </c>
      <c r="C1724" s="83">
        <v>241.53291909743149</v>
      </c>
      <c r="D1724" s="83">
        <v>238.41409685400978</v>
      </c>
      <c r="E1724" s="83">
        <v>239.76117234714209</v>
      </c>
      <c r="F1724" s="83">
        <v>4781454.2561551863</v>
      </c>
      <c r="G1724" s="83" t="s">
        <v>507</v>
      </c>
      <c r="H1724" s="84">
        <f t="shared" si="49"/>
        <v>6.5135413095647188E-3</v>
      </c>
      <c r="J1724" s="83">
        <v>58.151833314617818</v>
      </c>
      <c r="K1724" s="83">
        <v>58.649375817698569</v>
      </c>
      <c r="L1724" s="83">
        <v>57.657273084282807</v>
      </c>
      <c r="M1724" s="83">
        <v>57.821795130756058</v>
      </c>
      <c r="N1724" s="83">
        <v>34390697.54654292</v>
      </c>
      <c r="O1724" s="83" t="s">
        <v>507</v>
      </c>
      <c r="P1724" s="84">
        <f t="shared" si="50"/>
        <v>5.7078508737997691E-3</v>
      </c>
    </row>
    <row r="1725" spans="2:16" ht="15" customHeight="1">
      <c r="B1725" s="83">
        <v>238.25427433787544</v>
      </c>
      <c r="C1725" s="83">
        <v>241.72470611679267</v>
      </c>
      <c r="D1725" s="83">
        <v>236.26334242260185</v>
      </c>
      <c r="E1725" s="83">
        <v>241.62424624950822</v>
      </c>
      <c r="F1725" s="83">
        <v>8052379.6404143358</v>
      </c>
      <c r="G1725" s="83" t="s">
        <v>506</v>
      </c>
      <c r="H1725" s="84">
        <f t="shared" si="49"/>
        <v>-1.394715954189818E-2</v>
      </c>
      <c r="J1725" s="83">
        <v>57.275542172828239</v>
      </c>
      <c r="K1725" s="83">
        <v>58.414770361700455</v>
      </c>
      <c r="L1725" s="83">
        <v>56.670140805443282</v>
      </c>
      <c r="M1725" s="83">
        <v>58.156306723736428</v>
      </c>
      <c r="N1725" s="83">
        <v>52257896.338516697</v>
      </c>
      <c r="O1725" s="83" t="s">
        <v>506</v>
      </c>
      <c r="P1725" s="84">
        <f t="shared" si="50"/>
        <v>-1.5144781374995864E-2</v>
      </c>
    </row>
    <row r="1726" spans="2:16" ht="15" customHeight="1">
      <c r="B1726" s="83">
        <v>245.49651749756325</v>
      </c>
      <c r="C1726" s="83">
        <v>246.65637232893818</v>
      </c>
      <c r="D1726" s="83">
        <v>243.98048677308884</v>
      </c>
      <c r="E1726" s="83">
        <v>246.48285073999233</v>
      </c>
      <c r="F1726" s="83">
        <v>5814651.91812413</v>
      </c>
      <c r="G1726" s="83" t="s">
        <v>505</v>
      </c>
      <c r="H1726" s="84">
        <f t="shared" si="49"/>
        <v>-4.0016302938232773E-3</v>
      </c>
      <c r="J1726" s="83">
        <v>59.346730594743818</v>
      </c>
      <c r="K1726" s="83">
        <v>59.988416280535283</v>
      </c>
      <c r="L1726" s="83">
        <v>59.095722638644141</v>
      </c>
      <c r="M1726" s="83">
        <v>59.682236278639429</v>
      </c>
      <c r="N1726" s="83">
        <v>33096912.460818246</v>
      </c>
      <c r="O1726" s="83" t="s">
        <v>505</v>
      </c>
      <c r="P1726" s="84">
        <f t="shared" si="50"/>
        <v>-5.621533387744182E-3</v>
      </c>
    </row>
    <row r="1727" spans="2:16" ht="15" customHeight="1">
      <c r="B1727" s="83">
        <v>247.30479510868329</v>
      </c>
      <c r="C1727" s="83">
        <v>252.31865575769785</v>
      </c>
      <c r="D1727" s="83">
        <v>246.52851431603074</v>
      </c>
      <c r="E1727" s="83">
        <v>249.5788411953948</v>
      </c>
      <c r="F1727" s="83">
        <v>7578216.1631211992</v>
      </c>
      <c r="G1727" s="83" t="s">
        <v>504</v>
      </c>
      <c r="H1727" s="84">
        <f t="shared" si="49"/>
        <v>-9.1115339578452526E-3</v>
      </c>
      <c r="J1727" s="83">
        <v>60.093292872093755</v>
      </c>
      <c r="K1727" s="83">
        <v>61.340876970727798</v>
      </c>
      <c r="L1727" s="83">
        <v>59.929764916535746</v>
      </c>
      <c r="M1727" s="83">
        <v>60.342809691820563</v>
      </c>
      <c r="N1727" s="83">
        <v>34172125.988682769</v>
      </c>
      <c r="O1727" s="83" t="s">
        <v>504</v>
      </c>
      <c r="P1727" s="84">
        <f t="shared" si="50"/>
        <v>-4.1349884269745729E-3</v>
      </c>
    </row>
    <row r="1728" spans="2:16" ht="15" customHeight="1">
      <c r="B1728" s="83">
        <v>249.39618689124126</v>
      </c>
      <c r="C1728" s="83">
        <v>252.62003535955125</v>
      </c>
      <c r="D1728" s="83">
        <v>247.5605111344982</v>
      </c>
      <c r="E1728" s="83">
        <v>252.41911562498231</v>
      </c>
      <c r="F1728" s="83">
        <v>5376320.0629235031</v>
      </c>
      <c r="G1728" s="83" t="s">
        <v>503</v>
      </c>
      <c r="H1728" s="84">
        <f t="shared" si="49"/>
        <v>-1.1975831252939662E-2</v>
      </c>
      <c r="J1728" s="83">
        <v>60.474526738090695</v>
      </c>
      <c r="K1728" s="83">
        <v>61.335409470693953</v>
      </c>
      <c r="L1728" s="83">
        <v>60.031336155801036</v>
      </c>
      <c r="M1728" s="83">
        <v>60.788659467308513</v>
      </c>
      <c r="N1728" s="83">
        <v>34714209.204347715</v>
      </c>
      <c r="O1728" s="83" t="s">
        <v>503</v>
      </c>
      <c r="P1728" s="84">
        <f t="shared" si="50"/>
        <v>-5.1676206050694784E-3</v>
      </c>
    </row>
    <row r="1729" spans="2:16" ht="15" customHeight="1">
      <c r="B1729" s="83">
        <v>252.25472675124414</v>
      </c>
      <c r="C1729" s="83">
        <v>252.57437178351285</v>
      </c>
      <c r="D1729" s="83">
        <v>251.18619907194596</v>
      </c>
      <c r="E1729" s="83">
        <v>251.56064039546069</v>
      </c>
      <c r="F1729" s="83">
        <v>1917349.8353787123</v>
      </c>
      <c r="G1729" s="83" t="s">
        <v>502</v>
      </c>
      <c r="H1729" s="84">
        <f t="shared" si="49"/>
        <v>2.7591214376474493E-3</v>
      </c>
      <c r="J1729" s="83">
        <v>60.895027195239862</v>
      </c>
      <c r="K1729" s="83">
        <v>61.378652425507155</v>
      </c>
      <c r="L1729" s="83">
        <v>60.803570831037199</v>
      </c>
      <c r="M1729" s="83">
        <v>60.908447422595685</v>
      </c>
      <c r="N1729" s="83">
        <v>29238029.997286495</v>
      </c>
      <c r="O1729" s="83" t="s">
        <v>502</v>
      </c>
      <c r="P1729" s="84">
        <f t="shared" si="50"/>
        <v>-2.2033441868429815E-4</v>
      </c>
    </row>
    <row r="1730" spans="2:16" ht="15" customHeight="1">
      <c r="B1730" s="83">
        <v>252.86661867015852</v>
      </c>
      <c r="C1730" s="83">
        <v>253.22279456325788</v>
      </c>
      <c r="D1730" s="83">
        <v>252.30039032728254</v>
      </c>
      <c r="E1730" s="83">
        <v>253.18626370242723</v>
      </c>
      <c r="F1730" s="83">
        <v>3203715.3611672176</v>
      </c>
      <c r="G1730" s="83" t="s">
        <v>501</v>
      </c>
      <c r="H1730" s="84">
        <f t="shared" si="49"/>
        <v>-1.2624896295495569E-3</v>
      </c>
      <c r="J1730" s="83">
        <v>61.604311063268064</v>
      </c>
      <c r="K1730" s="83">
        <v>61.999959247536069</v>
      </c>
      <c r="L1730" s="83">
        <v>61.04861424164541</v>
      </c>
      <c r="M1730" s="83">
        <v>61.685826518318251</v>
      </c>
      <c r="N1730" s="83">
        <v>44738986.462805353</v>
      </c>
      <c r="O1730" s="83" t="s">
        <v>501</v>
      </c>
      <c r="P1730" s="84">
        <f t="shared" si="50"/>
        <v>-1.3214616655250477E-3</v>
      </c>
    </row>
    <row r="1731" spans="2:16" ht="15" customHeight="1">
      <c r="B1731" s="83">
        <v>253.32325443054233</v>
      </c>
      <c r="C1731" s="83">
        <v>253.47851058907287</v>
      </c>
      <c r="D1731" s="83">
        <v>252.15426688395974</v>
      </c>
      <c r="E1731" s="83">
        <v>252.24559403603647</v>
      </c>
      <c r="F1731" s="83">
        <v>1967608.7112510449</v>
      </c>
      <c r="G1731" s="83" t="s">
        <v>500</v>
      </c>
      <c r="H1731" s="84">
        <f t="shared" si="49"/>
        <v>4.2722664735699301E-3</v>
      </c>
      <c r="J1731" s="83">
        <v>62.151061066653504</v>
      </c>
      <c r="K1731" s="83">
        <v>62.903582919040339</v>
      </c>
      <c r="L1731" s="83">
        <v>60.838364013070823</v>
      </c>
      <c r="M1731" s="83">
        <v>60.840352194901314</v>
      </c>
      <c r="N1731" s="83">
        <v>96686367.942705184</v>
      </c>
      <c r="O1731" s="83" t="s">
        <v>500</v>
      </c>
      <c r="P1731" s="84">
        <f t="shared" si="50"/>
        <v>2.1543413613934304E-2</v>
      </c>
    </row>
    <row r="1732" spans="2:16" ht="15" customHeight="1">
      <c r="B1732" s="83">
        <v>251.52410953463001</v>
      </c>
      <c r="C1732" s="83">
        <v>252.43738105539771</v>
      </c>
      <c r="D1732" s="83">
        <v>250.85742132446958</v>
      </c>
      <c r="E1732" s="83">
        <v>252.43738105539771</v>
      </c>
      <c r="F1732" s="83">
        <v>2052200.2026566456</v>
      </c>
      <c r="G1732" s="83" t="s">
        <v>499</v>
      </c>
      <c r="H1732" s="84">
        <f t="shared" si="49"/>
        <v>-3.6178141167106936E-3</v>
      </c>
      <c r="J1732" s="83">
        <v>56.271510348429523</v>
      </c>
      <c r="K1732" s="83">
        <v>56.747679896832487</v>
      </c>
      <c r="L1732" s="83">
        <v>55.714819435891627</v>
      </c>
      <c r="M1732" s="83">
        <v>56.554826259274705</v>
      </c>
      <c r="N1732" s="83">
        <v>44459173.021465242</v>
      </c>
      <c r="O1732" s="83" t="s">
        <v>499</v>
      </c>
      <c r="P1732" s="84">
        <f t="shared" si="50"/>
        <v>-5.0095797226274996E-3</v>
      </c>
    </row>
    <row r="1733" spans="2:16" ht="15" customHeight="1">
      <c r="B1733" s="83">
        <v>252.75702608766636</v>
      </c>
      <c r="C1733" s="83">
        <v>252.78442423328943</v>
      </c>
      <c r="D1733" s="83">
        <v>250.84828860926191</v>
      </c>
      <c r="E1733" s="83">
        <v>250.94874847654634</v>
      </c>
      <c r="F1733" s="83">
        <v>1828464.9877139521</v>
      </c>
      <c r="G1733" s="83" t="s">
        <v>498</v>
      </c>
      <c r="H1733" s="84">
        <f t="shared" si="49"/>
        <v>7.2057646116892027E-3</v>
      </c>
      <c r="J1733" s="83">
        <v>56.554329213817084</v>
      </c>
      <c r="K1733" s="83">
        <v>56.862000352085801</v>
      </c>
      <c r="L1733" s="83">
        <v>56.016526028668864</v>
      </c>
      <c r="M1733" s="83">
        <v>56.260575348361826</v>
      </c>
      <c r="N1733" s="83">
        <v>31991057.872329548</v>
      </c>
      <c r="O1733" s="83" t="s">
        <v>498</v>
      </c>
      <c r="P1733" s="84">
        <f t="shared" si="50"/>
        <v>5.2213093029418456E-3</v>
      </c>
    </row>
    <row r="1734" spans="2:16" ht="15" customHeight="1">
      <c r="B1734" s="83">
        <v>251.59717125629143</v>
      </c>
      <c r="C1734" s="83">
        <v>251.6063039714991</v>
      </c>
      <c r="D1734" s="83">
        <v>250.1359368230631</v>
      </c>
      <c r="E1734" s="83">
        <v>250.88481947009259</v>
      </c>
      <c r="F1734" s="83">
        <v>1919469.6868752011</v>
      </c>
      <c r="G1734" s="83" t="s">
        <v>497</v>
      </c>
      <c r="H1734" s="84">
        <f t="shared" si="49"/>
        <v>2.8393578682976983E-3</v>
      </c>
      <c r="J1734" s="83">
        <v>56.971847398220518</v>
      </c>
      <c r="K1734" s="83">
        <v>57.006143534796514</v>
      </c>
      <c r="L1734" s="83">
        <v>56.255604893785588</v>
      </c>
      <c r="M1734" s="83">
        <v>56.862000352085801</v>
      </c>
      <c r="N1734" s="83">
        <v>22003782.2140055</v>
      </c>
      <c r="O1734" s="83" t="s">
        <v>497</v>
      </c>
      <c r="P1734" s="84">
        <f t="shared" si="50"/>
        <v>1.9318181818182012E-3</v>
      </c>
    </row>
    <row r="1735" spans="2:16" ht="15" customHeight="1">
      <c r="B1735" s="83">
        <v>249.88022079724817</v>
      </c>
      <c r="C1735" s="83">
        <v>250.33685655763202</v>
      </c>
      <c r="D1735" s="83">
        <v>249.13133815021865</v>
      </c>
      <c r="E1735" s="83">
        <v>249.61537205622551</v>
      </c>
      <c r="F1735" s="83">
        <v>1428918.9691396821</v>
      </c>
      <c r="G1735" s="83" t="s">
        <v>496</v>
      </c>
      <c r="H1735" s="84">
        <f t="shared" si="49"/>
        <v>1.061027367188716E-3</v>
      </c>
      <c r="J1735" s="83">
        <v>56.567252395715286</v>
      </c>
      <c r="K1735" s="83">
        <v>56.625903759714816</v>
      </c>
      <c r="L1735" s="83">
        <v>55.8798385278225</v>
      </c>
      <c r="M1735" s="83">
        <v>56.337617394293403</v>
      </c>
      <c r="N1735" s="83">
        <v>26191688.909610603</v>
      </c>
      <c r="O1735" s="83" t="s">
        <v>496</v>
      </c>
      <c r="P1735" s="84">
        <f t="shared" si="50"/>
        <v>4.0760509947506129E-3</v>
      </c>
    </row>
    <row r="1736" spans="2:16" ht="15" customHeight="1">
      <c r="B1736" s="83">
        <v>249.27746159354146</v>
      </c>
      <c r="C1736" s="83">
        <v>251.64283483232981</v>
      </c>
      <c r="D1736" s="83">
        <v>249.04914371334954</v>
      </c>
      <c r="E1736" s="83">
        <v>251.62456940191444</v>
      </c>
      <c r="F1736" s="83">
        <v>2539819.7001152528</v>
      </c>
      <c r="G1736" s="83" t="s">
        <v>495</v>
      </c>
      <c r="H1736" s="84">
        <f t="shared" si="49"/>
        <v>-9.3278164924507356E-3</v>
      </c>
      <c r="J1736" s="83">
        <v>56.171107165989653</v>
      </c>
      <c r="K1736" s="83">
        <v>57.216890808828722</v>
      </c>
      <c r="L1736" s="83">
        <v>56.14724898402374</v>
      </c>
      <c r="M1736" s="83">
        <v>57.070262398829897</v>
      </c>
      <c r="N1736" s="83">
        <v>33140731.390588071</v>
      </c>
      <c r="O1736" s="83" t="s">
        <v>495</v>
      </c>
      <c r="P1736" s="84">
        <f t="shared" si="50"/>
        <v>-1.5755232147989573E-2</v>
      </c>
    </row>
    <row r="1737" spans="2:16" ht="15" customHeight="1">
      <c r="B1737" s="83">
        <v>250.61997072906999</v>
      </c>
      <c r="C1737" s="83">
        <v>250.95788119175404</v>
      </c>
      <c r="D1737" s="83">
        <v>248.83909126357301</v>
      </c>
      <c r="E1737" s="83">
        <v>249.24093073271078</v>
      </c>
      <c r="F1737" s="83">
        <v>3793728.2847576216</v>
      </c>
      <c r="G1737" s="83" t="s">
        <v>494</v>
      </c>
      <c r="H1737" s="84">
        <f t="shared" si="49"/>
        <v>5.5329595837454448E-3</v>
      </c>
      <c r="J1737" s="83">
        <v>56.977811943711984</v>
      </c>
      <c r="K1737" s="83">
        <v>57.041185239558942</v>
      </c>
      <c r="L1737" s="83">
        <v>56.301830121344537</v>
      </c>
      <c r="M1737" s="83">
        <v>56.749668078662978</v>
      </c>
      <c r="N1737" s="83">
        <v>25979132.898123812</v>
      </c>
      <c r="O1737" s="83" t="s">
        <v>494</v>
      </c>
      <c r="P1737" s="84">
        <f t="shared" si="50"/>
        <v>4.020179725681583E-3</v>
      </c>
    </row>
    <row r="1738" spans="2:16" ht="15" customHeight="1">
      <c r="B1738" s="83">
        <v>249.7066992083023</v>
      </c>
      <c r="C1738" s="83">
        <v>251.51497681942232</v>
      </c>
      <c r="D1738" s="83">
        <v>249.7066992083023</v>
      </c>
      <c r="E1738" s="83">
        <v>251.40538423693016</v>
      </c>
      <c r="F1738" s="83">
        <v>1925087.9503196659</v>
      </c>
      <c r="G1738" s="83" t="s">
        <v>493</v>
      </c>
      <c r="H1738" s="84">
        <f t="shared" si="49"/>
        <v>-6.7567567567565767E-3</v>
      </c>
      <c r="J1738" s="83">
        <v>56.978806034627233</v>
      </c>
      <c r="K1738" s="83">
        <v>57.575757629232612</v>
      </c>
      <c r="L1738" s="83">
        <v>56.949977398085096</v>
      </c>
      <c r="M1738" s="83">
        <v>57.208441036049123</v>
      </c>
      <c r="N1738" s="83">
        <v>23540040.092010237</v>
      </c>
      <c r="O1738" s="83" t="s">
        <v>493</v>
      </c>
      <c r="P1738" s="84">
        <f t="shared" si="50"/>
        <v>-4.0140055779039896E-3</v>
      </c>
    </row>
    <row r="1739" spans="2:16" ht="15" customHeight="1">
      <c r="B1739" s="83">
        <v>251.40538423693016</v>
      </c>
      <c r="C1739" s="83">
        <v>252.30495668488635</v>
      </c>
      <c r="D1739" s="83">
        <v>251.14053549590759</v>
      </c>
      <c r="E1739" s="83">
        <v>252.17253231437508</v>
      </c>
      <c r="F1739" s="83">
        <v>1712743.6522767521</v>
      </c>
      <c r="G1739" s="83" t="s">
        <v>492</v>
      </c>
      <c r="H1739" s="84">
        <f t="shared" si="49"/>
        <v>-3.0421555845286941E-3</v>
      </c>
      <c r="J1739" s="83">
        <v>57.338169900488758</v>
      </c>
      <c r="K1739" s="83">
        <v>57.586692629300316</v>
      </c>
      <c r="L1739" s="83">
        <v>56.911704897848118</v>
      </c>
      <c r="M1739" s="83">
        <v>56.961409443610428</v>
      </c>
      <c r="N1739" s="83">
        <v>24923414.569041181</v>
      </c>
      <c r="O1739" s="83" t="s">
        <v>492</v>
      </c>
      <c r="P1739" s="84">
        <f t="shared" si="50"/>
        <v>6.6143106457241529E-3</v>
      </c>
    </row>
    <row r="1740" spans="2:16" ht="15" customHeight="1">
      <c r="B1740" s="83">
        <v>252.22732860562112</v>
      </c>
      <c r="C1740" s="83">
        <v>252.56523906830517</v>
      </c>
      <c r="D1740" s="83">
        <v>251.79809099086029</v>
      </c>
      <c r="E1740" s="83">
        <v>252.54697363788978</v>
      </c>
      <c r="F1740" s="83">
        <v>1605594.7948178633</v>
      </c>
      <c r="G1740" s="83" t="s">
        <v>491</v>
      </c>
      <c r="H1740" s="84">
        <f t="shared" si="49"/>
        <v>-1.265685459082011E-3</v>
      </c>
      <c r="J1740" s="83">
        <v>57.17712717221886</v>
      </c>
      <c r="K1740" s="83">
        <v>57.200985354184773</v>
      </c>
      <c r="L1740" s="83">
        <v>56.633359441579167</v>
      </c>
      <c r="M1740" s="83">
        <v>57.004155352966009</v>
      </c>
      <c r="N1740" s="83">
        <v>18183045.154901478</v>
      </c>
      <c r="O1740" s="83" t="s">
        <v>491</v>
      </c>
      <c r="P1740" s="84">
        <f t="shared" si="50"/>
        <v>3.0343721116787847E-3</v>
      </c>
    </row>
    <row r="1741" spans="2:16" ht="15" customHeight="1">
      <c r="B1741" s="83">
        <v>252.16339959916741</v>
      </c>
      <c r="C1741" s="83">
        <v>252.23646132082879</v>
      </c>
      <c r="D1741" s="83">
        <v>251.2044645023613</v>
      </c>
      <c r="E1741" s="83">
        <v>251.50584410421465</v>
      </c>
      <c r="F1741" s="83">
        <v>3210823.8714539972</v>
      </c>
      <c r="G1741" s="83" t="s">
        <v>490</v>
      </c>
      <c r="H1741" s="84">
        <f t="shared" si="49"/>
        <v>2.6144740186644366E-3</v>
      </c>
      <c r="J1741" s="83">
        <v>56.906734443271887</v>
      </c>
      <c r="K1741" s="83">
        <v>57.028013534931922</v>
      </c>
      <c r="L1741" s="83">
        <v>56.602542623206531</v>
      </c>
      <c r="M1741" s="83">
        <v>56.86150330662818</v>
      </c>
      <c r="N1741" s="83">
        <v>17382172.731876891</v>
      </c>
      <c r="O1741" s="83" t="s">
        <v>490</v>
      </c>
      <c r="P1741" s="84">
        <f t="shared" si="50"/>
        <v>7.9546149878928496E-4</v>
      </c>
    </row>
    <row r="1742" spans="2:16" ht="15" customHeight="1">
      <c r="B1742" s="83">
        <v>250.930483046131</v>
      </c>
      <c r="C1742" s="83">
        <v>251.25012807839971</v>
      </c>
      <c r="D1742" s="83">
        <v>250.09940596223242</v>
      </c>
      <c r="E1742" s="83">
        <v>251.03094291341546</v>
      </c>
      <c r="F1742" s="83">
        <v>2463067.0603952738</v>
      </c>
      <c r="G1742" s="83" t="s">
        <v>489</v>
      </c>
      <c r="H1742" s="84">
        <f t="shared" si="49"/>
        <v>-4.0018918033979389E-4</v>
      </c>
      <c r="J1742" s="83">
        <v>56.872438306695891</v>
      </c>
      <c r="K1742" s="83">
        <v>57.312820582149975</v>
      </c>
      <c r="L1742" s="83">
        <v>56.64230625981638</v>
      </c>
      <c r="M1742" s="83">
        <v>56.824721942764064</v>
      </c>
      <c r="N1742" s="83">
        <v>24053514.254354388</v>
      </c>
      <c r="O1742" s="83" t="s">
        <v>489</v>
      </c>
      <c r="P1742" s="84">
        <f t="shared" si="50"/>
        <v>8.3971134922378177E-4</v>
      </c>
    </row>
    <row r="1743" spans="2:16" ht="15" customHeight="1">
      <c r="B1743" s="83">
        <v>250.42818370970875</v>
      </c>
      <c r="C1743" s="83">
        <v>251.3231898000611</v>
      </c>
      <c r="D1743" s="83">
        <v>249.74323006913298</v>
      </c>
      <c r="E1743" s="83">
        <v>250.2546621207629</v>
      </c>
      <c r="F1743" s="83">
        <v>3124612.9273813996</v>
      </c>
      <c r="G1743" s="83" t="s">
        <v>488</v>
      </c>
      <c r="H1743" s="84">
        <f t="shared" si="49"/>
        <v>6.9338004525221208E-4</v>
      </c>
      <c r="J1743" s="83">
        <v>56.687040351002466</v>
      </c>
      <c r="K1743" s="83">
        <v>56.765076487849292</v>
      </c>
      <c r="L1743" s="83">
        <v>56.21435012080287</v>
      </c>
      <c r="M1743" s="83">
        <v>56.226776257243444</v>
      </c>
      <c r="N1743" s="83">
        <v>24333106.387968391</v>
      </c>
      <c r="O1743" s="83" t="s">
        <v>488</v>
      </c>
      <c r="P1743" s="84">
        <f t="shared" si="50"/>
        <v>8.1858524424958112E-3</v>
      </c>
    </row>
    <row r="1744" spans="2:16" ht="15" customHeight="1">
      <c r="B1744" s="83">
        <v>249.26832887833379</v>
      </c>
      <c r="C1744" s="83">
        <v>249.52404490414878</v>
      </c>
      <c r="D1744" s="83">
        <v>247.80709444510546</v>
      </c>
      <c r="E1744" s="83">
        <v>247.86189073635154</v>
      </c>
      <c r="F1744" s="83">
        <v>2773463.2498677229</v>
      </c>
      <c r="G1744" s="83" t="s">
        <v>487</v>
      </c>
      <c r="H1744" s="84">
        <f t="shared" si="49"/>
        <v>5.6742815033161698E-3</v>
      </c>
      <c r="J1744" s="83">
        <v>55.909164209822265</v>
      </c>
      <c r="K1744" s="83">
        <v>56.067970233532861</v>
      </c>
      <c r="L1744" s="83">
        <v>55.03138193165983</v>
      </c>
      <c r="M1744" s="83">
        <v>55.261513978539327</v>
      </c>
      <c r="N1744" s="83">
        <v>26765559.962298658</v>
      </c>
      <c r="O1744" s="83" t="s">
        <v>487</v>
      </c>
      <c r="P1744" s="84">
        <f t="shared" si="50"/>
        <v>1.1719733765065632E-2</v>
      </c>
    </row>
    <row r="1745" spans="2:16" ht="15" customHeight="1">
      <c r="B1745" s="83">
        <v>248.95781656127281</v>
      </c>
      <c r="C1745" s="83">
        <v>249.37792146082592</v>
      </c>
      <c r="D1745" s="83">
        <v>248.43725179443518</v>
      </c>
      <c r="E1745" s="83">
        <v>249.13133815021865</v>
      </c>
      <c r="F1745" s="83">
        <v>3429259.457655469</v>
      </c>
      <c r="G1745" s="83" t="s">
        <v>486</v>
      </c>
      <c r="H1745" s="84">
        <f t="shared" si="49"/>
        <v>-6.9650647017849288E-4</v>
      </c>
      <c r="J1745" s="83">
        <v>55.487669661757849</v>
      </c>
      <c r="K1745" s="83">
        <v>55.966324437448925</v>
      </c>
      <c r="L1745" s="83">
        <v>55.232188296539569</v>
      </c>
      <c r="M1745" s="83">
        <v>55.926063755381456</v>
      </c>
      <c r="N1745" s="83">
        <v>24875370.673591066</v>
      </c>
      <c r="O1745" s="83" t="s">
        <v>486</v>
      </c>
      <c r="P1745" s="84">
        <f t="shared" si="50"/>
        <v>-7.8388154678850075E-3</v>
      </c>
    </row>
    <row r="1746" spans="2:16" ht="15" customHeight="1">
      <c r="B1746" s="83">
        <v>250.20899854472455</v>
      </c>
      <c r="C1746" s="83">
        <v>250.46471457053948</v>
      </c>
      <c r="D1746" s="83">
        <v>248.28199563590471</v>
      </c>
      <c r="E1746" s="83">
        <v>249.45098318248733</v>
      </c>
      <c r="F1746" s="83">
        <v>3681856.8449101192</v>
      </c>
      <c r="G1746" s="83" t="s">
        <v>485</v>
      </c>
      <c r="H1746" s="84">
        <f t="shared" si="49"/>
        <v>3.03873471479843E-3</v>
      </c>
      <c r="J1746" s="83">
        <v>56.245166939175498</v>
      </c>
      <c r="K1746" s="83">
        <v>56.309285803208887</v>
      </c>
      <c r="L1746" s="83">
        <v>55.477231707147773</v>
      </c>
      <c r="M1746" s="83">
        <v>55.559741253113202</v>
      </c>
      <c r="N1746" s="83">
        <v>25441133.815949809</v>
      </c>
      <c r="O1746" s="83" t="s">
        <v>485</v>
      </c>
      <c r="P1746" s="84">
        <f t="shared" si="50"/>
        <v>1.2336732868133859E-2</v>
      </c>
    </row>
    <row r="1747" spans="2:16" ht="15" customHeight="1">
      <c r="B1747" s="83">
        <v>250.5286435769932</v>
      </c>
      <c r="C1747" s="83">
        <v>250.57430715303161</v>
      </c>
      <c r="D1747" s="83">
        <v>249.10394000459561</v>
      </c>
      <c r="E1747" s="83">
        <v>249.24093073271078</v>
      </c>
      <c r="F1747" s="83">
        <v>2557616.1600183691</v>
      </c>
      <c r="G1747" s="83" t="s">
        <v>484</v>
      </c>
      <c r="H1747" s="84">
        <f t="shared" si="49"/>
        <v>5.1665384192589592E-3</v>
      </c>
      <c r="J1747" s="83">
        <v>55.747624436094746</v>
      </c>
      <c r="K1747" s="83">
        <v>56.005093983143531</v>
      </c>
      <c r="L1747" s="83">
        <v>55.363905342809687</v>
      </c>
      <c r="M1747" s="83">
        <v>55.540356480265913</v>
      </c>
      <c r="N1747" s="83">
        <v>15431405.482867666</v>
      </c>
      <c r="O1747" s="83" t="s">
        <v>484</v>
      </c>
      <c r="P1747" s="84">
        <f t="shared" si="50"/>
        <v>3.7318441753695364E-3</v>
      </c>
    </row>
    <row r="1748" spans="2:16" ht="15" customHeight="1">
      <c r="B1748" s="83">
        <v>248.61990609858876</v>
      </c>
      <c r="C1748" s="83">
        <v>248.6381715290041</v>
      </c>
      <c r="D1748" s="83">
        <v>247.14953895015276</v>
      </c>
      <c r="E1748" s="83">
        <v>247.92581974280532</v>
      </c>
      <c r="F1748" s="83">
        <v>3330503.5039778748</v>
      </c>
      <c r="G1748" s="83" t="s">
        <v>483</v>
      </c>
      <c r="H1748" s="84">
        <f t="shared" si="49"/>
        <v>2.7995726967988688E-3</v>
      </c>
      <c r="J1748" s="83">
        <v>55.23417647837006</v>
      </c>
      <c r="K1748" s="83">
        <v>55.260022842166464</v>
      </c>
      <c r="L1748" s="83">
        <v>54.58404101979901</v>
      </c>
      <c r="M1748" s="83">
        <v>54.786338521051618</v>
      </c>
      <c r="N1748" s="83">
        <v>19953003.991678637</v>
      </c>
      <c r="O1748" s="83" t="s">
        <v>483</v>
      </c>
      <c r="P1748" s="84">
        <f t="shared" si="50"/>
        <v>8.1742633183337077E-3</v>
      </c>
    </row>
    <row r="1749" spans="2:16" ht="15" customHeight="1">
      <c r="B1749" s="83">
        <v>247.89842159718225</v>
      </c>
      <c r="C1749" s="83">
        <v>249.00357146446325</v>
      </c>
      <c r="D1749" s="83">
        <v>246.85729206350712</v>
      </c>
      <c r="E1749" s="83">
        <v>248.82995854836528</v>
      </c>
      <c r="F1749" s="83">
        <v>4933472.5736466777</v>
      </c>
      <c r="G1749" s="83" t="s">
        <v>482</v>
      </c>
      <c r="H1749" s="84">
        <f t="shared" si="49"/>
        <v>-3.7436687954194303E-3</v>
      </c>
      <c r="J1749" s="83">
        <v>54.573106019731298</v>
      </c>
      <c r="K1749" s="83">
        <v>55.051760795422368</v>
      </c>
      <c r="L1749" s="83">
        <v>54.362010813878754</v>
      </c>
      <c r="M1749" s="83">
        <v>54.575591247019418</v>
      </c>
      <c r="N1749" s="83">
        <v>28941095.385499123</v>
      </c>
      <c r="O1749" s="83" t="s">
        <v>482</v>
      </c>
      <c r="P1749" s="84">
        <f t="shared" si="50"/>
        <v>-4.5537340619405953E-5</v>
      </c>
    </row>
    <row r="1750" spans="2:16" ht="15" customHeight="1">
      <c r="B1750" s="83">
        <v>245.80702981462423</v>
      </c>
      <c r="C1750" s="83">
        <v>246.17233842293135</v>
      </c>
      <c r="D1750" s="83">
        <v>244.9211564394796</v>
      </c>
      <c r="E1750" s="83">
        <v>245.39605763027879</v>
      </c>
      <c r="F1750" s="83">
        <v>3157079.7232090798</v>
      </c>
      <c r="G1750" s="83" t="s">
        <v>481</v>
      </c>
      <c r="H1750" s="84">
        <f t="shared" si="49"/>
        <v>1.6747301823594185E-3</v>
      </c>
      <c r="J1750" s="83">
        <v>53.726140559941491</v>
      </c>
      <c r="K1750" s="83">
        <v>53.730613969060101</v>
      </c>
      <c r="L1750" s="83">
        <v>53.351368284893645</v>
      </c>
      <c r="M1750" s="83">
        <v>53.501476013095839</v>
      </c>
      <c r="N1750" s="83">
        <v>34070324.434672058</v>
      </c>
      <c r="O1750" s="83" t="s">
        <v>481</v>
      </c>
      <c r="P1750" s="84">
        <f t="shared" si="50"/>
        <v>4.1992214717714305E-3</v>
      </c>
    </row>
    <row r="1751" spans="2:16" ht="15" customHeight="1">
      <c r="B1751" s="83">
        <v>244.45538796388809</v>
      </c>
      <c r="C1751" s="83">
        <v>244.93028915468727</v>
      </c>
      <c r="D1751" s="83">
        <v>243.99893485780839</v>
      </c>
      <c r="E1751" s="83">
        <v>244.29099909014988</v>
      </c>
      <c r="F1751" s="83">
        <v>2249692.4006487462</v>
      </c>
      <c r="G1751" s="83" t="s">
        <v>480</v>
      </c>
      <c r="H1751" s="84">
        <f t="shared" si="49"/>
        <v>6.7292235223748165E-4</v>
      </c>
      <c r="J1751" s="83">
        <v>53.482588285706157</v>
      </c>
      <c r="K1751" s="83">
        <v>54.033811698210201</v>
      </c>
      <c r="L1751" s="83">
        <v>53.446801012757291</v>
      </c>
      <c r="M1751" s="83">
        <v>53.879727606347039</v>
      </c>
      <c r="N1751" s="83">
        <v>20208956.436367229</v>
      </c>
      <c r="O1751" s="83" t="s">
        <v>480</v>
      </c>
      <c r="P1751" s="84">
        <f t="shared" si="50"/>
        <v>-7.3708487084871432E-3</v>
      </c>
    </row>
    <row r="1752" spans="2:16" ht="15" customHeight="1">
      <c r="B1752" s="83">
        <v>243.60065714760159</v>
      </c>
      <c r="C1752" s="83">
        <v>245.14519361318014</v>
      </c>
      <c r="D1752" s="83">
        <v>243.50980206139107</v>
      </c>
      <c r="E1752" s="83">
        <v>244.67274716488555</v>
      </c>
      <c r="F1752" s="83">
        <v>3289547.2610915722</v>
      </c>
      <c r="G1752" s="83" t="s">
        <v>479</v>
      </c>
      <c r="H1752" s="84">
        <f t="shared" si="49"/>
        <v>-4.3817304121798184E-3</v>
      </c>
      <c r="J1752" s="83">
        <v>53.670968514145322</v>
      </c>
      <c r="K1752" s="83">
        <v>54.325577381834982</v>
      </c>
      <c r="L1752" s="83">
        <v>53.295202148182241</v>
      </c>
      <c r="M1752" s="83">
        <v>54.003988970752822</v>
      </c>
      <c r="N1752" s="83">
        <v>36432663.697593763</v>
      </c>
      <c r="O1752" s="83" t="s">
        <v>479</v>
      </c>
      <c r="P1752" s="84">
        <f t="shared" si="50"/>
        <v>-6.1665899677865177E-3</v>
      </c>
    </row>
    <row r="1753" spans="2:16" ht="15" customHeight="1">
      <c r="B1753" s="83">
        <v>243.83688037174889</v>
      </c>
      <c r="C1753" s="83">
        <v>246.33539524253774</v>
      </c>
      <c r="D1753" s="83">
        <v>243.73693977691732</v>
      </c>
      <c r="E1753" s="83">
        <v>246.30813871667462</v>
      </c>
      <c r="F1753" s="83">
        <v>2517285.5977496179</v>
      </c>
      <c r="G1753" s="83" t="s">
        <v>478</v>
      </c>
      <c r="H1753" s="84">
        <f t="shared" si="49"/>
        <v>-1.0033198081888739E-2</v>
      </c>
      <c r="J1753" s="83">
        <v>53.996533288888465</v>
      </c>
      <c r="K1753" s="83">
        <v>55.388260570233221</v>
      </c>
      <c r="L1753" s="83">
        <v>53.86978669719457</v>
      </c>
      <c r="M1753" s="83">
        <v>55.304259887894922</v>
      </c>
      <c r="N1753" s="83">
        <v>31122163.501852345</v>
      </c>
      <c r="O1753" s="83" t="s">
        <v>478</v>
      </c>
      <c r="P1753" s="84">
        <f t="shared" si="50"/>
        <v>-2.3646037423831312E-2</v>
      </c>
    </row>
    <row r="1754" spans="2:16" ht="15" customHeight="1">
      <c r="B1754" s="83">
        <v>246.2717966821904</v>
      </c>
      <c r="C1754" s="83">
        <v>247.05378640920421</v>
      </c>
      <c r="D1754" s="83">
        <v>246.12642854425357</v>
      </c>
      <c r="E1754" s="83">
        <v>246.75332863910603</v>
      </c>
      <c r="F1754" s="83">
        <v>3872507.4695854033</v>
      </c>
      <c r="G1754" s="83" t="s">
        <v>477</v>
      </c>
      <c r="H1754" s="84">
        <f t="shared" si="49"/>
        <v>-1.9514709672666664E-3</v>
      </c>
      <c r="J1754" s="83">
        <v>55.446414888775131</v>
      </c>
      <c r="K1754" s="83">
        <v>55.768500345314919</v>
      </c>
      <c r="L1754" s="83">
        <v>55.222247387387107</v>
      </c>
      <c r="M1754" s="83">
        <v>55.649706480942989</v>
      </c>
      <c r="N1754" s="83">
        <v>28079846.191014823</v>
      </c>
      <c r="O1754" s="83" t="s">
        <v>477</v>
      </c>
      <c r="P1754" s="84">
        <f t="shared" si="50"/>
        <v>-3.6530577611846304E-3</v>
      </c>
    </row>
    <row r="1755" spans="2:16" ht="15" customHeight="1">
      <c r="B1755" s="83">
        <v>246.58978948392718</v>
      </c>
      <c r="C1755" s="83">
        <v>247.84358967363212</v>
      </c>
      <c r="D1755" s="83">
        <v>246.37173727702196</v>
      </c>
      <c r="E1755" s="83">
        <v>246.69881558737973</v>
      </c>
      <c r="F1755" s="83">
        <v>2450046.6543420251</v>
      </c>
      <c r="G1755" s="83" t="s">
        <v>476</v>
      </c>
      <c r="H1755" s="84">
        <f t="shared" si="49"/>
        <v>-4.419401171139592E-4</v>
      </c>
      <c r="J1755" s="83">
        <v>55.762535799823446</v>
      </c>
      <c r="K1755" s="83">
        <v>55.873376936873399</v>
      </c>
      <c r="L1755" s="83">
        <v>55.076613068303523</v>
      </c>
      <c r="M1755" s="83">
        <v>55.134270341387811</v>
      </c>
      <c r="N1755" s="83">
        <v>39183357.782070555</v>
      </c>
      <c r="O1755" s="83" t="s">
        <v>476</v>
      </c>
      <c r="P1755" s="84">
        <f t="shared" si="50"/>
        <v>1.1395189499116443E-2</v>
      </c>
    </row>
    <row r="1756" spans="2:16" ht="15" customHeight="1">
      <c r="B1756" s="83">
        <v>246.88052575980078</v>
      </c>
      <c r="C1756" s="83">
        <v>247.29845915636909</v>
      </c>
      <c r="D1756" s="83">
        <v>245.06342403559071</v>
      </c>
      <c r="E1756" s="83">
        <v>247.07132144084281</v>
      </c>
      <c r="F1756" s="83">
        <v>3619048.9020964447</v>
      </c>
      <c r="G1756" s="83" t="s">
        <v>475</v>
      </c>
      <c r="H1756" s="84">
        <f t="shared" si="49"/>
        <v>-7.7222916819874587E-4</v>
      </c>
      <c r="J1756" s="83">
        <v>55.242626251149659</v>
      </c>
      <c r="K1756" s="83">
        <v>55.675055799281765</v>
      </c>
      <c r="L1756" s="83">
        <v>54.910599885457401</v>
      </c>
      <c r="M1756" s="83">
        <v>55.668594208332671</v>
      </c>
      <c r="N1756" s="83">
        <v>25390253.157828644</v>
      </c>
      <c r="O1756" s="83" t="s">
        <v>475</v>
      </c>
      <c r="P1756" s="84">
        <f t="shared" si="50"/>
        <v>-7.651854034410821E-3</v>
      </c>
    </row>
    <row r="1757" spans="2:16" ht="15" customHeight="1">
      <c r="B1757" s="83">
        <v>244.60006309591716</v>
      </c>
      <c r="C1757" s="83">
        <v>245.05433852696967</v>
      </c>
      <c r="D1757" s="83">
        <v>243.27357883724378</v>
      </c>
      <c r="E1757" s="83">
        <v>244.16395868210674</v>
      </c>
      <c r="F1757" s="83">
        <v>1854035.9932048186</v>
      </c>
      <c r="G1757" s="83" t="s">
        <v>474</v>
      </c>
      <c r="H1757" s="84">
        <f t="shared" si="49"/>
        <v>1.7861129716454371E-3</v>
      </c>
      <c r="J1757" s="83">
        <v>54.790811930170229</v>
      </c>
      <c r="K1757" s="83">
        <v>55.022932158880231</v>
      </c>
      <c r="L1757" s="83">
        <v>54.350926700173765</v>
      </c>
      <c r="M1757" s="83">
        <v>54.953345794812989</v>
      </c>
      <c r="N1757" s="83">
        <v>26943571.849628061</v>
      </c>
      <c r="O1757" s="83" t="s">
        <v>474</v>
      </c>
      <c r="P1757" s="84">
        <f t="shared" si="50"/>
        <v>-2.9576700434152947E-3</v>
      </c>
    </row>
    <row r="1758" spans="2:16" ht="15" customHeight="1">
      <c r="B1758" s="83">
        <v>243.95499198382254</v>
      </c>
      <c r="C1758" s="83">
        <v>244.99982547524337</v>
      </c>
      <c r="D1758" s="83">
        <v>242.85564544067549</v>
      </c>
      <c r="E1758" s="83">
        <v>243.17363824241221</v>
      </c>
      <c r="F1758" s="83">
        <v>2576297.1536638113</v>
      </c>
      <c r="G1758" s="83" t="s">
        <v>473</v>
      </c>
      <c r="H1758" s="84">
        <f t="shared" si="49"/>
        <v>3.2131515038296143E-3</v>
      </c>
      <c r="J1758" s="83">
        <v>54.853936703288362</v>
      </c>
      <c r="K1758" s="83">
        <v>55.489657843588354</v>
      </c>
      <c r="L1758" s="83">
        <v>54.624798747324107</v>
      </c>
      <c r="M1758" s="83">
        <v>55.156637386980854</v>
      </c>
      <c r="N1758" s="83">
        <v>27898534.806677956</v>
      </c>
      <c r="O1758" s="83" t="s">
        <v>473</v>
      </c>
      <c r="P1758" s="84">
        <f t="shared" si="50"/>
        <v>-5.4880191765269704E-3</v>
      </c>
    </row>
    <row r="1759" spans="2:16" ht="15" customHeight="1">
      <c r="B1759" s="83">
        <v>241.54733219924424</v>
      </c>
      <c r="C1759" s="83">
        <v>242.18331780271774</v>
      </c>
      <c r="D1759" s="83">
        <v>241.32927999233902</v>
      </c>
      <c r="E1759" s="83">
        <v>241.62001626821262</v>
      </c>
      <c r="F1759" s="83">
        <v>1962039.8530797057</v>
      </c>
      <c r="G1759" s="83" t="s">
        <v>472</v>
      </c>
      <c r="H1759" s="84">
        <f t="shared" si="49"/>
        <v>-3.0081973377449334E-4</v>
      </c>
      <c r="J1759" s="83">
        <v>54.302216245326697</v>
      </c>
      <c r="K1759" s="83">
        <v>54.634242611018948</v>
      </c>
      <c r="L1759" s="83">
        <v>53.993053970685111</v>
      </c>
      <c r="M1759" s="83">
        <v>53.993053970685111</v>
      </c>
      <c r="N1759" s="83">
        <v>18943981.592805266</v>
      </c>
      <c r="O1759" s="83" t="s">
        <v>472</v>
      </c>
      <c r="P1759" s="84">
        <f t="shared" si="50"/>
        <v>5.7259638398938772E-3</v>
      </c>
    </row>
    <row r="1760" spans="2:16" ht="15" customHeight="1">
      <c r="B1760" s="83">
        <v>241.32927999233902</v>
      </c>
      <c r="C1760" s="83">
        <v>241.9380090699494</v>
      </c>
      <c r="D1760" s="83">
        <v>240.68420888024446</v>
      </c>
      <c r="E1760" s="83">
        <v>241.41104956992845</v>
      </c>
      <c r="F1760" s="83">
        <v>1324478.4086296814</v>
      </c>
      <c r="G1760" s="83" t="s">
        <v>471</v>
      </c>
      <c r="H1760" s="84">
        <f t="shared" si="49"/>
        <v>-3.3871514056671437E-4</v>
      </c>
      <c r="J1760" s="83">
        <v>53.946828743126154</v>
      </c>
      <c r="K1760" s="83">
        <v>54.311660109021538</v>
      </c>
      <c r="L1760" s="83">
        <v>53.689463575623478</v>
      </c>
      <c r="M1760" s="83">
        <v>54.00001260709184</v>
      </c>
      <c r="N1760" s="83">
        <v>22365016.779669993</v>
      </c>
      <c r="O1760" s="83" t="s">
        <v>471</v>
      </c>
      <c r="P1760" s="84">
        <f t="shared" si="50"/>
        <v>-9.8488613979885731E-4</v>
      </c>
    </row>
    <row r="1761" spans="2:16" ht="15" customHeight="1">
      <c r="B1761" s="83">
        <v>241.69270033718101</v>
      </c>
      <c r="C1761" s="83">
        <v>242.00160763029675</v>
      </c>
      <c r="D1761" s="83">
        <v>240.86591905266545</v>
      </c>
      <c r="E1761" s="83">
        <v>241.51099016476002</v>
      </c>
      <c r="F1761" s="83">
        <v>1996239.3693599598</v>
      </c>
      <c r="G1761" s="83" t="s">
        <v>470</v>
      </c>
      <c r="H1761" s="84">
        <f t="shared" si="49"/>
        <v>7.5238883454953331E-4</v>
      </c>
      <c r="J1761" s="83">
        <v>54.116818289633265</v>
      </c>
      <c r="K1761" s="83">
        <v>54.385222836749762</v>
      </c>
      <c r="L1761" s="83">
        <v>53.688365105162134</v>
      </c>
      <c r="M1761" s="83">
        <v>53.861833969872606</v>
      </c>
      <c r="N1761" s="83">
        <v>21285779.4749671</v>
      </c>
      <c r="O1761" s="83" t="s">
        <v>470</v>
      </c>
      <c r="P1761" s="84">
        <f t="shared" si="50"/>
        <v>4.7340445166290657E-3</v>
      </c>
    </row>
    <row r="1762" spans="2:16" ht="15" customHeight="1">
      <c r="B1762" s="83">
        <v>240.62061031989705</v>
      </c>
      <c r="C1762" s="83">
        <v>241.40196406130741</v>
      </c>
      <c r="D1762" s="83">
        <v>240.17996315177615</v>
      </c>
      <c r="E1762" s="83">
        <v>240.87500456128649</v>
      </c>
      <c r="F1762" s="83">
        <v>1884623.1635648939</v>
      </c>
      <c r="G1762" s="83" t="s">
        <v>469</v>
      </c>
      <c r="H1762" s="84">
        <f t="shared" si="49"/>
        <v>-1.0561255280628901E-3</v>
      </c>
      <c r="J1762" s="83">
        <v>53.533286922383716</v>
      </c>
      <c r="K1762" s="83">
        <v>53.72713465085674</v>
      </c>
      <c r="L1762" s="83">
        <v>53.061590783099369</v>
      </c>
      <c r="M1762" s="83">
        <v>53.581500331773157</v>
      </c>
      <c r="N1762" s="83">
        <v>21351266.443011541</v>
      </c>
      <c r="O1762" s="83" t="s">
        <v>469</v>
      </c>
      <c r="P1762" s="84">
        <f t="shared" si="50"/>
        <v>-8.9981447124298786E-4</v>
      </c>
    </row>
    <row r="1763" spans="2:16" ht="15" customHeight="1">
      <c r="B1763" s="83">
        <v>241.07488575094959</v>
      </c>
      <c r="C1763" s="83">
        <v>243.17363824241221</v>
      </c>
      <c r="D1763" s="83">
        <v>240.48432769058132</v>
      </c>
      <c r="E1763" s="83">
        <v>242.81021789757023</v>
      </c>
      <c r="F1763" s="83">
        <v>2085222.8301347224</v>
      </c>
      <c r="G1763" s="83" t="s">
        <v>468</v>
      </c>
      <c r="H1763" s="84">
        <f t="shared" si="49"/>
        <v>-7.1468662301217289E-3</v>
      </c>
      <c r="J1763" s="83">
        <v>53.61728760472203</v>
      </c>
      <c r="K1763" s="83">
        <v>54.773912384611045</v>
      </c>
      <c r="L1763" s="83">
        <v>53.561742774832638</v>
      </c>
      <c r="M1763" s="83">
        <v>54.375778973054921</v>
      </c>
      <c r="N1763" s="83">
        <v>28912104.073378682</v>
      </c>
      <c r="O1763" s="83" t="s">
        <v>468</v>
      </c>
      <c r="P1763" s="84">
        <f t="shared" si="50"/>
        <v>-1.3949066710543079E-2</v>
      </c>
    </row>
    <row r="1764" spans="2:16" ht="15" customHeight="1">
      <c r="B1764" s="83">
        <v>241.12031329405485</v>
      </c>
      <c r="C1764" s="83">
        <v>242.6739352682545</v>
      </c>
      <c r="D1764" s="83">
        <v>241.0385437164654</v>
      </c>
      <c r="E1764" s="83">
        <v>241.45647711303371</v>
      </c>
      <c r="F1764" s="83">
        <v>3132618.2371405531</v>
      </c>
      <c r="G1764" s="83" t="s">
        <v>467</v>
      </c>
      <c r="H1764" s="84">
        <f t="shared" si="49"/>
        <v>-1.3922335942203601E-3</v>
      </c>
      <c r="J1764" s="83">
        <v>53.699797150687466</v>
      </c>
      <c r="K1764" s="83">
        <v>54.310168972648668</v>
      </c>
      <c r="L1764" s="83">
        <v>53.299258039116445</v>
      </c>
      <c r="M1764" s="83">
        <v>53.331983512046349</v>
      </c>
      <c r="N1764" s="83">
        <v>29459035.940133862</v>
      </c>
      <c r="O1764" s="83" t="s">
        <v>467</v>
      </c>
      <c r="P1764" s="84">
        <f t="shared" si="50"/>
        <v>6.896680273630551E-3</v>
      </c>
    </row>
    <row r="1765" spans="2:16" ht="15" customHeight="1">
      <c r="B1765" s="83">
        <v>239.99371022504459</v>
      </c>
      <c r="C1765" s="83">
        <v>241.02945820784436</v>
      </c>
      <c r="D1765" s="83">
        <v>238.44917375946605</v>
      </c>
      <c r="E1765" s="83">
        <v>238.60362740602392</v>
      </c>
      <c r="F1765" s="83">
        <v>2066396.1461113654</v>
      </c>
      <c r="G1765" s="83" t="s">
        <v>466</v>
      </c>
      <c r="H1765" s="84">
        <f t="shared" si="49"/>
        <v>5.8259081562712645E-3</v>
      </c>
      <c r="J1765" s="83">
        <v>52.987033964455897</v>
      </c>
      <c r="K1765" s="83">
        <v>53.229592147775989</v>
      </c>
      <c r="L1765" s="83">
        <v>52.110245777208704</v>
      </c>
      <c r="M1765" s="83">
        <v>52.221086914258663</v>
      </c>
      <c r="N1765" s="83">
        <v>36261673.300847307</v>
      </c>
      <c r="O1765" s="83" t="s">
        <v>466</v>
      </c>
      <c r="P1765" s="84">
        <f t="shared" si="50"/>
        <v>1.4667390042164996E-2</v>
      </c>
    </row>
    <row r="1766" spans="2:16" ht="15" customHeight="1">
      <c r="B1766" s="83">
        <v>237.62239247495049</v>
      </c>
      <c r="C1766" s="83">
        <v>238.27200634135556</v>
      </c>
      <c r="D1766" s="83">
        <v>235.7781250799635</v>
      </c>
      <c r="E1766" s="83">
        <v>236.37767779386658</v>
      </c>
      <c r="F1766" s="83">
        <v>2507113.3549116254</v>
      </c>
      <c r="G1766" s="83" t="s">
        <v>465</v>
      </c>
      <c r="H1766" s="84">
        <f t="shared" si="49"/>
        <v>5.2657877541608666E-3</v>
      </c>
      <c r="J1766" s="83">
        <v>51.908445321413708</v>
      </c>
      <c r="K1766" s="83">
        <v>52.065014640564996</v>
      </c>
      <c r="L1766" s="83">
        <v>51.379588954502708</v>
      </c>
      <c r="M1766" s="83">
        <v>51.940753276159214</v>
      </c>
      <c r="N1766" s="83">
        <v>34267368.786446944</v>
      </c>
      <c r="O1766" s="83" t="s">
        <v>465</v>
      </c>
      <c r="P1766" s="84">
        <f t="shared" si="50"/>
        <v>-6.2201552167961971E-4</v>
      </c>
    </row>
    <row r="1767" spans="2:16" ht="15" customHeight="1">
      <c r="B1767" s="83">
        <v>236.08694151799298</v>
      </c>
      <c r="C1767" s="83">
        <v>236.11419804385611</v>
      </c>
      <c r="D1767" s="83">
        <v>233.87916292307776</v>
      </c>
      <c r="E1767" s="83">
        <v>235.53272549210891</v>
      </c>
      <c r="F1767" s="83">
        <v>2912904.6158937518</v>
      </c>
      <c r="G1767" s="83" t="s">
        <v>464</v>
      </c>
      <c r="H1767" s="84">
        <f t="shared" si="49"/>
        <v>2.3530319395155264E-3</v>
      </c>
      <c r="J1767" s="83">
        <v>51.803071684397608</v>
      </c>
      <c r="K1767" s="83">
        <v>52.366224187884612</v>
      </c>
      <c r="L1767" s="83">
        <v>51.22003736260568</v>
      </c>
      <c r="M1767" s="83">
        <v>52.266318050902363</v>
      </c>
      <c r="N1767" s="83">
        <v>43626573.118070118</v>
      </c>
      <c r="O1767" s="83" t="s">
        <v>464</v>
      </c>
      <c r="P1767" s="84">
        <f t="shared" si="50"/>
        <v>-8.8631911292009757E-3</v>
      </c>
    </row>
    <row r="1768" spans="2:16" ht="15" customHeight="1">
      <c r="B1768" s="83">
        <v>234.10630063860401</v>
      </c>
      <c r="C1768" s="83">
        <v>234.18807021619344</v>
      </c>
      <c r="D1768" s="83">
        <v>230.79917550054168</v>
      </c>
      <c r="E1768" s="83">
        <v>231.20802338848893</v>
      </c>
      <c r="F1768" s="83">
        <v>3892234.4884541915</v>
      </c>
      <c r="G1768" s="83" t="s">
        <v>463</v>
      </c>
      <c r="H1768" s="84">
        <f t="shared" si="49"/>
        <v>1.2535366237032441E-2</v>
      </c>
      <c r="J1768" s="83">
        <v>52.341371915003457</v>
      </c>
      <c r="K1768" s="83">
        <v>52.490485552290394</v>
      </c>
      <c r="L1768" s="83">
        <v>51.379091909045087</v>
      </c>
      <c r="M1768" s="83">
        <v>51.836870775515983</v>
      </c>
      <c r="N1768" s="83">
        <v>57006516.336548395</v>
      </c>
      <c r="O1768" s="83" t="s">
        <v>463</v>
      </c>
      <c r="P1768" s="84">
        <f t="shared" si="50"/>
        <v>9.7324767475308605E-3</v>
      </c>
    </row>
    <row r="1769" spans="2:16" ht="15" customHeight="1">
      <c r="B1769" s="83">
        <v>229.06384335392107</v>
      </c>
      <c r="C1769" s="83">
        <v>230.73530437493568</v>
      </c>
      <c r="D1769" s="83">
        <v>227.83729969007928</v>
      </c>
      <c r="E1769" s="83">
        <v>229.70891446601564</v>
      </c>
      <c r="F1769" s="83">
        <v>4210676.7596217832</v>
      </c>
      <c r="G1769" s="83" t="s">
        <v>462</v>
      </c>
      <c r="H1769" s="84">
        <f t="shared" si="49"/>
        <v>-2.8082110509037861E-3</v>
      </c>
      <c r="J1769" s="83">
        <v>51.505341455281354</v>
      </c>
      <c r="K1769" s="83">
        <v>52.960193509744251</v>
      </c>
      <c r="L1769" s="83">
        <v>50.947159406370581</v>
      </c>
      <c r="M1769" s="83">
        <v>52.960193509744251</v>
      </c>
      <c r="N1769" s="83">
        <v>103221464.38143554</v>
      </c>
      <c r="O1769" s="83" t="s">
        <v>462</v>
      </c>
      <c r="P1769" s="84">
        <f t="shared" si="50"/>
        <v>-2.7470671046457062E-2</v>
      </c>
    </row>
    <row r="1770" spans="2:16" ht="15" customHeight="1">
      <c r="B1770" s="83">
        <v>229.74525650049983</v>
      </c>
      <c r="C1770" s="83">
        <v>231.21710889710999</v>
      </c>
      <c r="D1770" s="83">
        <v>229.65440141428934</v>
      </c>
      <c r="E1770" s="83">
        <v>230.43575515569967</v>
      </c>
      <c r="F1770" s="83">
        <v>4071078.6311183977</v>
      </c>
      <c r="G1770" s="83" t="s">
        <v>461</v>
      </c>
      <c r="H1770" s="84">
        <f t="shared" si="49"/>
        <v>-2.9964909513858773E-3</v>
      </c>
      <c r="J1770" s="83">
        <v>54.855427839661239</v>
      </c>
      <c r="K1770" s="83">
        <v>55.152163977862237</v>
      </c>
      <c r="L1770" s="83">
        <v>54.683947156781258</v>
      </c>
      <c r="M1770" s="83">
        <v>54.73911920257742</v>
      </c>
      <c r="N1770" s="83">
        <v>30343361.494786207</v>
      </c>
      <c r="O1770" s="83" t="s">
        <v>461</v>
      </c>
      <c r="P1770" s="84">
        <f t="shared" si="50"/>
        <v>2.1247809387174854E-3</v>
      </c>
    </row>
    <row r="1771" spans="2:16" ht="15" customHeight="1">
      <c r="B1771" s="83">
        <v>232.86158595752011</v>
      </c>
      <c r="C1771" s="83">
        <v>233.66111071617254</v>
      </c>
      <c r="D1771" s="83">
        <v>231.80766695747826</v>
      </c>
      <c r="E1771" s="83">
        <v>232.84341494027797</v>
      </c>
      <c r="F1771" s="83">
        <v>3276857.8229094455</v>
      </c>
      <c r="G1771" s="83" t="s">
        <v>460</v>
      </c>
      <c r="H1771" s="84">
        <f t="shared" si="49"/>
        <v>7.803964413932718E-5</v>
      </c>
      <c r="J1771" s="83">
        <v>55.567196934977559</v>
      </c>
      <c r="K1771" s="83">
        <v>55.824666482026338</v>
      </c>
      <c r="L1771" s="83">
        <v>55.277419433183269</v>
      </c>
      <c r="M1771" s="83">
        <v>55.44740897969038</v>
      </c>
      <c r="N1771" s="83">
        <v>19150622.65233966</v>
      </c>
      <c r="O1771" s="83" t="s">
        <v>460</v>
      </c>
      <c r="P1771" s="84">
        <f t="shared" si="50"/>
        <v>2.1603886906791381E-3</v>
      </c>
    </row>
    <row r="1772" spans="2:16" ht="15" customHeight="1">
      <c r="B1772" s="83">
        <v>232.21651484542554</v>
      </c>
      <c r="C1772" s="83">
        <v>233.06600990149371</v>
      </c>
      <c r="D1772" s="83">
        <v>230.86304662614765</v>
      </c>
      <c r="E1772" s="83">
        <v>232.70713231096224</v>
      </c>
      <c r="F1772" s="83">
        <v>5055921.6787897982</v>
      </c>
      <c r="G1772" s="83" t="s">
        <v>459</v>
      </c>
      <c r="H1772" s="84">
        <f t="shared" si="49"/>
        <v>-2.108304376683634E-3</v>
      </c>
      <c r="J1772" s="83">
        <v>55.493137161791708</v>
      </c>
      <c r="K1772" s="83">
        <v>56.121402620227336</v>
      </c>
      <c r="L1772" s="83">
        <v>55.083576675164828</v>
      </c>
      <c r="M1772" s="83">
        <v>56.042869437922889</v>
      </c>
      <c r="N1772" s="83">
        <v>30947109.090499144</v>
      </c>
      <c r="O1772" s="83" t="s">
        <v>459</v>
      </c>
      <c r="P1772" s="84">
        <f t="shared" si="50"/>
        <v>-9.8091386405563252E-3</v>
      </c>
    </row>
    <row r="1773" spans="2:16" ht="15" customHeight="1">
      <c r="B1773" s="83">
        <v>233.82464987135145</v>
      </c>
      <c r="C1773" s="83">
        <v>237.09543297492954</v>
      </c>
      <c r="D1773" s="83">
        <v>233.76105131100411</v>
      </c>
      <c r="E1773" s="83">
        <v>236.18688211282449</v>
      </c>
      <c r="F1773" s="83">
        <v>2824364.7186186337</v>
      </c>
      <c r="G1773" s="83" t="s">
        <v>458</v>
      </c>
      <c r="H1773" s="84">
        <f t="shared" si="49"/>
        <v>-1.0001538698261037E-2</v>
      </c>
      <c r="J1773" s="83">
        <v>56.372410576327027</v>
      </c>
      <c r="K1773" s="83">
        <v>57.239113711239042</v>
      </c>
      <c r="L1773" s="83">
        <v>56.321214894191833</v>
      </c>
      <c r="M1773" s="83">
        <v>56.364954894462677</v>
      </c>
      <c r="N1773" s="83">
        <v>27465616.656637937</v>
      </c>
      <c r="O1773" s="83" t="s">
        <v>458</v>
      </c>
      <c r="P1773" s="84">
        <f t="shared" si="50"/>
        <v>1.3227513227520582E-4</v>
      </c>
    </row>
    <row r="1774" spans="2:16" ht="15" customHeight="1">
      <c r="B1774" s="83">
        <v>235.94157338005616</v>
      </c>
      <c r="C1774" s="83">
        <v>237.12268950079272</v>
      </c>
      <c r="D1774" s="83">
        <v>235.36918633693</v>
      </c>
      <c r="E1774" s="83">
        <v>236.76381191026124</v>
      </c>
      <c r="F1774" s="83">
        <v>2017556.8330351645</v>
      </c>
      <c r="G1774" s="83" t="s">
        <v>457</v>
      </c>
      <c r="H1774" s="84">
        <f t="shared" si="49"/>
        <v>-3.472821811623561E-3</v>
      </c>
      <c r="J1774" s="83">
        <v>56.338611485208652</v>
      </c>
      <c r="K1774" s="83">
        <v>57.148547058405541</v>
      </c>
      <c r="L1774" s="83">
        <v>56.248646257378866</v>
      </c>
      <c r="M1774" s="83">
        <v>57.029007625847171</v>
      </c>
      <c r="N1774" s="83">
        <v>22379059.760835897</v>
      </c>
      <c r="O1774" s="83" t="s">
        <v>457</v>
      </c>
      <c r="P1774" s="84">
        <f t="shared" si="50"/>
        <v>-1.2106052154511104E-2</v>
      </c>
    </row>
    <row r="1775" spans="2:16" ht="15" customHeight="1">
      <c r="B1775" s="83">
        <v>235.53272549210891</v>
      </c>
      <c r="C1775" s="83">
        <v>236.31407923351924</v>
      </c>
      <c r="D1775" s="83">
        <v>234.11538614722505</v>
      </c>
      <c r="E1775" s="83">
        <v>236.2959082162771</v>
      </c>
      <c r="F1775" s="83">
        <v>4197014.3434404368</v>
      </c>
      <c r="G1775" s="83" t="s">
        <v>456</v>
      </c>
      <c r="H1775" s="84">
        <f t="shared" si="49"/>
        <v>-3.2297754537063961E-3</v>
      </c>
      <c r="J1775" s="83">
        <v>56.701454669273531</v>
      </c>
      <c r="K1775" s="83">
        <v>56.96004256860197</v>
      </c>
      <c r="L1775" s="83">
        <v>56.127565983901867</v>
      </c>
      <c r="M1775" s="83">
        <v>56.688034441917708</v>
      </c>
      <c r="N1775" s="83">
        <v>24128577.811274145</v>
      </c>
      <c r="O1775" s="83" t="s">
        <v>456</v>
      </c>
      <c r="P1775" s="84">
        <f t="shared" si="50"/>
        <v>2.3673827268733127E-4</v>
      </c>
    </row>
    <row r="1776" spans="2:16" ht="15" customHeight="1">
      <c r="B1776" s="83">
        <v>238.32197663877136</v>
      </c>
      <c r="C1776" s="83">
        <v>239.2123564836343</v>
      </c>
      <c r="D1776" s="83">
        <v>237.92221425944513</v>
      </c>
      <c r="E1776" s="83">
        <v>238.14935197497141</v>
      </c>
      <c r="F1776" s="83">
        <v>3765889.332901712</v>
      </c>
      <c r="G1776" s="83" t="s">
        <v>455</v>
      </c>
      <c r="H1776" s="84">
        <f t="shared" ref="H1776:H1839" si="51">B1776/E1776-1</f>
        <v>7.2485884327777583E-4</v>
      </c>
      <c r="J1776" s="83">
        <v>57.230808081642166</v>
      </c>
      <c r="K1776" s="83">
        <v>57.583710356554583</v>
      </c>
      <c r="L1776" s="83">
        <v>56.955941943576576</v>
      </c>
      <c r="M1776" s="83">
        <v>56.998687852932164</v>
      </c>
      <c r="N1776" s="83">
        <v>18405539.895179041</v>
      </c>
      <c r="O1776" s="83" t="s">
        <v>455</v>
      </c>
      <c r="P1776" s="84">
        <f t="shared" ref="P1776:P1839" si="52">J1776/M1776-1</f>
        <v>4.0723784608676095E-3</v>
      </c>
    </row>
    <row r="1777" spans="2:16" ht="15" customHeight="1">
      <c r="B1777" s="83">
        <v>238.97613325948694</v>
      </c>
      <c r="C1777" s="83">
        <v>239.41223767329737</v>
      </c>
      <c r="D1777" s="83">
        <v>238.26746358704506</v>
      </c>
      <c r="E1777" s="83">
        <v>238.49460130257131</v>
      </c>
      <c r="F1777" s="83">
        <v>3038699.4445235962</v>
      </c>
      <c r="G1777" s="83" t="s">
        <v>454</v>
      </c>
      <c r="H1777" s="84">
        <f t="shared" si="51"/>
        <v>2.019047619047365E-3</v>
      </c>
      <c r="J1777" s="83">
        <v>57.141836944727629</v>
      </c>
      <c r="K1777" s="83">
        <v>57.294812625220288</v>
      </c>
      <c r="L1777" s="83">
        <v>56.560790804766192</v>
      </c>
      <c r="M1777" s="83">
        <v>57.08517376255859</v>
      </c>
      <c r="N1777" s="83">
        <v>23341084.446237128</v>
      </c>
      <c r="O1777" s="83" t="s">
        <v>454</v>
      </c>
      <c r="P1777" s="84">
        <f t="shared" si="52"/>
        <v>9.926076848731924E-4</v>
      </c>
    </row>
    <row r="1778" spans="2:16" ht="15" customHeight="1">
      <c r="B1778" s="83">
        <v>236.96823585423485</v>
      </c>
      <c r="C1778" s="83">
        <v>238.14081159686759</v>
      </c>
      <c r="D1778" s="83">
        <v>236.2413951645508</v>
      </c>
      <c r="E1778" s="83">
        <v>237.04091992320323</v>
      </c>
      <c r="F1778" s="83">
        <v>3040691.6279835366</v>
      </c>
      <c r="G1778" s="83" t="s">
        <v>453</v>
      </c>
      <c r="H1778" s="84">
        <f t="shared" si="51"/>
        <v>-3.0663089306237623E-4</v>
      </c>
      <c r="J1778" s="83">
        <v>56.606021941409885</v>
      </c>
      <c r="K1778" s="83">
        <v>57.001009055219271</v>
      </c>
      <c r="L1778" s="83">
        <v>56.237835518675567</v>
      </c>
      <c r="M1778" s="83">
        <v>56.886852624966956</v>
      </c>
      <c r="N1778" s="83">
        <v>27226725.025744025</v>
      </c>
      <c r="O1778" s="83" t="s">
        <v>453</v>
      </c>
      <c r="P1778" s="84">
        <f t="shared" si="52"/>
        <v>-4.9366535605068762E-3</v>
      </c>
    </row>
    <row r="1779" spans="2:16" ht="15" customHeight="1">
      <c r="B1779" s="83">
        <v>238.59454189740288</v>
      </c>
      <c r="C1779" s="83">
        <v>240.78414947507596</v>
      </c>
      <c r="D1779" s="83">
        <v>237.91312875082409</v>
      </c>
      <c r="E1779" s="83">
        <v>237.94038527668724</v>
      </c>
      <c r="F1779" s="83">
        <v>2993242.4407139127</v>
      </c>
      <c r="G1779" s="83" t="s">
        <v>452</v>
      </c>
      <c r="H1779" s="84">
        <f t="shared" si="51"/>
        <v>2.7492458665852038E-3</v>
      </c>
      <c r="J1779" s="83">
        <v>57.771593539536127</v>
      </c>
      <c r="K1779" s="83">
        <v>58.65881968139341</v>
      </c>
      <c r="L1779" s="83">
        <v>57.657770129740427</v>
      </c>
      <c r="M1779" s="83">
        <v>58.078270586889595</v>
      </c>
      <c r="N1779" s="83">
        <v>24316146.16859467</v>
      </c>
      <c r="O1779" s="83" t="s">
        <v>452</v>
      </c>
      <c r="P1779" s="84">
        <f t="shared" si="52"/>
        <v>-5.2804094242898669E-3</v>
      </c>
    </row>
    <row r="1780" spans="2:16" ht="15" customHeight="1">
      <c r="B1780" s="83">
        <v>240.0482232767709</v>
      </c>
      <c r="C1780" s="83">
        <v>241.31110897509694</v>
      </c>
      <c r="D1780" s="83">
        <v>238.44917375946605</v>
      </c>
      <c r="E1780" s="83">
        <v>238.46734477670819</v>
      </c>
      <c r="F1780" s="83">
        <v>3545770.6710398509</v>
      </c>
      <c r="G1780" s="83" t="s">
        <v>451</v>
      </c>
      <c r="H1780" s="84">
        <f t="shared" si="51"/>
        <v>6.6293290661787463E-3</v>
      </c>
      <c r="J1780" s="83">
        <v>58.600665362851501</v>
      </c>
      <c r="K1780" s="83">
        <v>59.056953092949541</v>
      </c>
      <c r="L1780" s="83">
        <v>57.798433994247773</v>
      </c>
      <c r="M1780" s="83">
        <v>57.881440585670838</v>
      </c>
      <c r="N1780" s="83">
        <v>30810139.726921093</v>
      </c>
      <c r="O1780" s="83" t="s">
        <v>451</v>
      </c>
      <c r="P1780" s="84">
        <f t="shared" si="52"/>
        <v>1.2425827171943515E-2</v>
      </c>
    </row>
    <row r="1781" spans="2:16" ht="15" customHeight="1">
      <c r="B1781" s="83">
        <v>237.86770120771882</v>
      </c>
      <c r="C1781" s="83">
        <v>238.44917375946605</v>
      </c>
      <c r="D1781" s="83">
        <v>234.76954276794064</v>
      </c>
      <c r="E1781" s="83">
        <v>234.97850946622484</v>
      </c>
      <c r="F1781" s="83">
        <v>2690444.8633030001</v>
      </c>
      <c r="G1781" s="83" t="s">
        <v>450</v>
      </c>
      <c r="H1781" s="84">
        <f t="shared" si="51"/>
        <v>1.2295557359935039E-2</v>
      </c>
      <c r="J1781" s="83">
        <v>57.866529221942145</v>
      </c>
      <c r="K1781" s="83">
        <v>58.220425587769803</v>
      </c>
      <c r="L1781" s="83">
        <v>55.503361386855019</v>
      </c>
      <c r="M1781" s="83">
        <v>55.563220571316563</v>
      </c>
      <c r="N1781" s="83">
        <v>46058201.818148516</v>
      </c>
      <c r="O1781" s="83" t="s">
        <v>450</v>
      </c>
      <c r="P1781" s="84">
        <f t="shared" si="52"/>
        <v>4.1453836313703807E-2</v>
      </c>
    </row>
    <row r="1782" spans="2:16" ht="15" customHeight="1">
      <c r="B1782" s="83">
        <v>236.46853288007708</v>
      </c>
      <c r="C1782" s="83">
        <v>237.87678671633986</v>
      </c>
      <c r="D1782" s="83">
        <v>235.16930514726687</v>
      </c>
      <c r="E1782" s="83">
        <v>235.30558777658266</v>
      </c>
      <c r="F1782" s="83">
        <v>5175986.5035011629</v>
      </c>
      <c r="G1782" s="83" t="s">
        <v>449</v>
      </c>
      <c r="H1782" s="84">
        <f t="shared" si="51"/>
        <v>4.9422757635428916E-3</v>
      </c>
      <c r="J1782" s="83">
        <v>55.690961253925714</v>
      </c>
      <c r="K1782" s="83">
        <v>56.684058078256726</v>
      </c>
      <c r="L1782" s="83">
        <v>55.646724208197256</v>
      </c>
      <c r="M1782" s="83">
        <v>56.524506486359698</v>
      </c>
      <c r="N1782" s="83">
        <v>36950423.182270773</v>
      </c>
      <c r="O1782" s="83" t="s">
        <v>449</v>
      </c>
      <c r="P1782" s="84">
        <f t="shared" si="52"/>
        <v>-1.474661671986699E-2</v>
      </c>
    </row>
    <row r="1783" spans="2:16" ht="15" customHeight="1">
      <c r="B1783" s="83">
        <v>234.43337894896177</v>
      </c>
      <c r="C1783" s="83">
        <v>236.53213144042442</v>
      </c>
      <c r="D1783" s="83">
        <v>233.56117012134098</v>
      </c>
      <c r="E1783" s="83">
        <v>235.65083710418256</v>
      </c>
      <c r="F1783" s="83">
        <v>6106666.375446788</v>
      </c>
      <c r="G1783" s="83" t="s">
        <v>448</v>
      </c>
      <c r="H1783" s="84">
        <f t="shared" si="51"/>
        <v>-5.1663646528127272E-3</v>
      </c>
      <c r="J1783" s="83">
        <v>56.26703693931092</v>
      </c>
      <c r="K1783" s="83">
        <v>57.057836262389316</v>
      </c>
      <c r="L1783" s="83">
        <v>55.773967845348771</v>
      </c>
      <c r="M1783" s="83">
        <v>56.760603078730689</v>
      </c>
      <c r="N1783" s="83">
        <v>37434161.633779384</v>
      </c>
      <c r="O1783" s="83" t="s">
        <v>448</v>
      </c>
      <c r="P1783" s="84">
        <f t="shared" si="52"/>
        <v>-8.6955760271814064E-3</v>
      </c>
    </row>
    <row r="1784" spans="2:16" ht="15" customHeight="1">
      <c r="B1784" s="83">
        <v>240.32987404402346</v>
      </c>
      <c r="C1784" s="83">
        <v>241.11122778543381</v>
      </c>
      <c r="D1784" s="83">
        <v>235.56288938073075</v>
      </c>
      <c r="E1784" s="83">
        <v>238.37648969049766</v>
      </c>
      <c r="F1784" s="83">
        <v>3447287.4669265561</v>
      </c>
      <c r="G1784" s="83" t="s">
        <v>447</v>
      </c>
      <c r="H1784" s="84">
        <f t="shared" si="51"/>
        <v>8.1945344361016303E-3</v>
      </c>
      <c r="J1784" s="83">
        <v>57.869511494687885</v>
      </c>
      <c r="K1784" s="83">
        <v>58.283550360887943</v>
      </c>
      <c r="L1784" s="83">
        <v>56.787443533442335</v>
      </c>
      <c r="M1784" s="83">
        <v>57.835712403569502</v>
      </c>
      <c r="N1784" s="83">
        <v>26447198.738846976</v>
      </c>
      <c r="O1784" s="83" t="s">
        <v>447</v>
      </c>
      <c r="P1784" s="84">
        <f t="shared" si="52"/>
        <v>5.8439828461942511E-4</v>
      </c>
    </row>
    <row r="1785" spans="2:16" ht="15" customHeight="1">
      <c r="B1785" s="83">
        <v>239.2123564836343</v>
      </c>
      <c r="C1785" s="83">
        <v>239.71205945779204</v>
      </c>
      <c r="D1785" s="83">
        <v>236.40493431972973</v>
      </c>
      <c r="E1785" s="83">
        <v>237.9858128197925</v>
      </c>
      <c r="F1785" s="83">
        <v>3406312.3255748153</v>
      </c>
      <c r="G1785" s="83" t="s">
        <v>446</v>
      </c>
      <c r="H1785" s="84">
        <f t="shared" si="51"/>
        <v>5.1538520271818822E-3</v>
      </c>
      <c r="J1785" s="83">
        <v>57.775569903197116</v>
      </c>
      <c r="K1785" s="83">
        <v>58.137418996346753</v>
      </c>
      <c r="L1785" s="83">
        <v>57.202476490557643</v>
      </c>
      <c r="M1785" s="83">
        <v>57.609059674893359</v>
      </c>
      <c r="N1785" s="83">
        <v>23860453.441649485</v>
      </c>
      <c r="O1785" s="83" t="s">
        <v>446</v>
      </c>
      <c r="P1785" s="84">
        <f t="shared" si="52"/>
        <v>2.8903479633832774E-3</v>
      </c>
    </row>
    <row r="1786" spans="2:16" ht="15" customHeight="1">
      <c r="B1786" s="83">
        <v>239.94828268193939</v>
      </c>
      <c r="C1786" s="83">
        <v>241.51099016476002</v>
      </c>
      <c r="D1786" s="83">
        <v>239.3758956388132</v>
      </c>
      <c r="E1786" s="83">
        <v>239.98462471642355</v>
      </c>
      <c r="F1786" s="83">
        <v>2930706.5911871619</v>
      </c>
      <c r="G1786" s="83" t="s">
        <v>445</v>
      </c>
      <c r="H1786" s="84">
        <f t="shared" si="51"/>
        <v>-1.5143484515767192E-4</v>
      </c>
      <c r="J1786" s="83">
        <v>57.968920586212505</v>
      </c>
      <c r="K1786" s="83">
        <v>58.672453638296005</v>
      </c>
      <c r="L1786" s="83">
        <v>57.94257717695848</v>
      </c>
      <c r="M1786" s="83">
        <v>58.254224678888185</v>
      </c>
      <c r="N1786" s="83">
        <v>26345960.513593636</v>
      </c>
      <c r="O1786" s="83" t="s">
        <v>445</v>
      </c>
      <c r="P1786" s="84">
        <f t="shared" si="52"/>
        <v>-4.8975691333692506E-3</v>
      </c>
    </row>
    <row r="1787" spans="2:16" ht="15" customHeight="1">
      <c r="B1787" s="83">
        <v>240.42072913023398</v>
      </c>
      <c r="C1787" s="83">
        <v>242.65576425101236</v>
      </c>
      <c r="D1787" s="83">
        <v>238.47643028532923</v>
      </c>
      <c r="E1787" s="83">
        <v>242.11063373374935</v>
      </c>
      <c r="F1787" s="83">
        <v>5230899.2244955683</v>
      </c>
      <c r="G1787" s="83" t="s">
        <v>444</v>
      </c>
      <c r="H1787" s="84">
        <f t="shared" si="51"/>
        <v>-6.979885920144091E-3</v>
      </c>
      <c r="J1787" s="83">
        <v>58.358107179531409</v>
      </c>
      <c r="K1787" s="83">
        <v>59.170279457287613</v>
      </c>
      <c r="L1787" s="83">
        <v>57.708965811875608</v>
      </c>
      <c r="M1787" s="83">
        <v>58.674725136037353</v>
      </c>
      <c r="N1787" s="83">
        <v>31211793.130926996</v>
      </c>
      <c r="O1787" s="83" t="s">
        <v>444</v>
      </c>
      <c r="P1787" s="84">
        <f t="shared" si="52"/>
        <v>-5.396155768465305E-3</v>
      </c>
    </row>
    <row r="1788" spans="2:16" ht="15" customHeight="1">
      <c r="B1788" s="83">
        <v>244.38201088901195</v>
      </c>
      <c r="C1788" s="83">
        <v>244.72726021661185</v>
      </c>
      <c r="D1788" s="83">
        <v>241.04762922508647</v>
      </c>
      <c r="E1788" s="83">
        <v>241.35653651820215</v>
      </c>
      <c r="F1788" s="83">
        <v>4366213.456458535</v>
      </c>
      <c r="G1788" s="83" t="s">
        <v>443</v>
      </c>
      <c r="H1788" s="84">
        <f t="shared" si="51"/>
        <v>1.2535290796160448E-2</v>
      </c>
      <c r="J1788" s="83">
        <v>59.118089684237184</v>
      </c>
      <c r="K1788" s="83">
        <v>59.190658321050151</v>
      </c>
      <c r="L1788" s="83">
        <v>57.968423540754884</v>
      </c>
      <c r="M1788" s="83">
        <v>57.968423540754884</v>
      </c>
      <c r="N1788" s="83">
        <v>31464788.099639386</v>
      </c>
      <c r="O1788" s="83" t="s">
        <v>443</v>
      </c>
      <c r="P1788" s="84">
        <f t="shared" si="52"/>
        <v>1.9832627372970091E-2</v>
      </c>
    </row>
    <row r="1789" spans="2:16" ht="15" customHeight="1">
      <c r="B1789" s="83">
        <v>245.35416031146431</v>
      </c>
      <c r="C1789" s="83">
        <v>245.59946904423268</v>
      </c>
      <c r="D1789" s="83">
        <v>244.12761664762252</v>
      </c>
      <c r="E1789" s="83">
        <v>244.32749783728565</v>
      </c>
      <c r="F1789" s="83">
        <v>2167535.2279532989</v>
      </c>
      <c r="G1789" s="83" t="s">
        <v>442</v>
      </c>
      <c r="H1789" s="84">
        <f t="shared" si="51"/>
        <v>4.2019931578163305E-3</v>
      </c>
      <c r="J1789" s="83">
        <v>58.919768546645557</v>
      </c>
      <c r="K1789" s="83">
        <v>58.989354910712784</v>
      </c>
      <c r="L1789" s="83">
        <v>58.10461399614362</v>
      </c>
      <c r="M1789" s="83">
        <v>58.33574013393838</v>
      </c>
      <c r="N1789" s="83">
        <v>39848528.331221186</v>
      </c>
      <c r="O1789" s="83" t="s">
        <v>442</v>
      </c>
      <c r="P1789" s="84">
        <f t="shared" si="52"/>
        <v>1.0011502577429443E-2</v>
      </c>
    </row>
    <row r="1790" spans="2:16" ht="15" customHeight="1">
      <c r="B1790" s="83">
        <v>243.04644112171752</v>
      </c>
      <c r="C1790" s="83">
        <v>244.21847173383304</v>
      </c>
      <c r="D1790" s="83">
        <v>241.61093075959158</v>
      </c>
      <c r="E1790" s="83">
        <v>243.38260494069638</v>
      </c>
      <c r="F1790" s="83">
        <v>3311916.9498428558</v>
      </c>
      <c r="G1790" s="83" t="s">
        <v>441</v>
      </c>
      <c r="H1790" s="84">
        <f t="shared" si="51"/>
        <v>-1.3812154696132284E-3</v>
      </c>
      <c r="J1790" s="83">
        <v>57.787001948722441</v>
      </c>
      <c r="K1790" s="83">
        <v>58.362555736377139</v>
      </c>
      <c r="L1790" s="83">
        <v>57.408839823653615</v>
      </c>
      <c r="M1790" s="83">
        <v>58.042980359398356</v>
      </c>
      <c r="N1790" s="83">
        <v>39127547.997322395</v>
      </c>
      <c r="O1790" s="83" t="s">
        <v>441</v>
      </c>
      <c r="P1790" s="84">
        <f t="shared" si="52"/>
        <v>-4.4101527711174482E-3</v>
      </c>
    </row>
    <row r="1791" spans="2:16" ht="15" customHeight="1">
      <c r="B1791" s="83">
        <v>243.52797307863321</v>
      </c>
      <c r="C1791" s="83">
        <v>246.09462926407991</v>
      </c>
      <c r="D1791" s="83">
        <v>243.49163104414899</v>
      </c>
      <c r="E1791" s="83">
        <v>245.9265473545905</v>
      </c>
      <c r="F1791" s="83">
        <v>2938036.9457966653</v>
      </c>
      <c r="G1791" s="83" t="s">
        <v>440</v>
      </c>
      <c r="H1791" s="84">
        <f t="shared" si="51"/>
        <v>-9.7532141273828366E-3</v>
      </c>
      <c r="J1791" s="83">
        <v>58.058885814042291</v>
      </c>
      <c r="K1791" s="83">
        <v>59.051485592915675</v>
      </c>
      <c r="L1791" s="83">
        <v>58.014151722856212</v>
      </c>
      <c r="M1791" s="83">
        <v>59.051485592915675</v>
      </c>
      <c r="N1791" s="83">
        <v>53173868.898002811</v>
      </c>
      <c r="O1791" s="83" t="s">
        <v>440</v>
      </c>
      <c r="P1791" s="84">
        <f t="shared" si="52"/>
        <v>-1.680905685787637E-2</v>
      </c>
    </row>
    <row r="1792" spans="2:16" ht="15" customHeight="1">
      <c r="B1792" s="83">
        <v>245.31781827698009</v>
      </c>
      <c r="C1792" s="83">
        <v>245.59038353561161</v>
      </c>
      <c r="D1792" s="83">
        <v>243.59157163898055</v>
      </c>
      <c r="E1792" s="83">
        <v>244.90897038903285</v>
      </c>
      <c r="F1792" s="83">
        <v>2228329.8430968309</v>
      </c>
      <c r="G1792" s="83" t="s">
        <v>439</v>
      </c>
      <c r="H1792" s="84">
        <f t="shared" si="51"/>
        <v>1.6693871494286583E-3</v>
      </c>
      <c r="J1792" s="83">
        <v>59.072858547593476</v>
      </c>
      <c r="K1792" s="83">
        <v>59.288079230744287</v>
      </c>
      <c r="L1792" s="83">
        <v>58.402841270717495</v>
      </c>
      <c r="M1792" s="83">
        <v>58.899886728340626</v>
      </c>
      <c r="N1792" s="83">
        <v>124878457.38862629</v>
      </c>
      <c r="O1792" s="83" t="s">
        <v>439</v>
      </c>
      <c r="P1792" s="84">
        <f t="shared" si="52"/>
        <v>2.9367088607594738E-3</v>
      </c>
    </row>
    <row r="1793" spans="2:16" ht="15" customHeight="1">
      <c r="B1793" s="83">
        <v>245.16336463042222</v>
      </c>
      <c r="C1793" s="83">
        <v>245.68123862182213</v>
      </c>
      <c r="D1793" s="83">
        <v>244.81956898420168</v>
      </c>
      <c r="E1793" s="83">
        <v>244.90897038903285</v>
      </c>
      <c r="F1793" s="83">
        <v>2083027.0257134072</v>
      </c>
      <c r="G1793" s="83" t="s">
        <v>438</v>
      </c>
      <c r="H1793" s="84">
        <f t="shared" si="51"/>
        <v>1.0387297818665875E-3</v>
      </c>
      <c r="J1793" s="83">
        <v>63.998579032638666</v>
      </c>
      <c r="K1793" s="83">
        <v>64.082579714976973</v>
      </c>
      <c r="L1793" s="83">
        <v>62.940612805633272</v>
      </c>
      <c r="M1793" s="83">
        <v>63.323591301186461</v>
      </c>
      <c r="N1793" s="83">
        <v>50285782.953379937</v>
      </c>
      <c r="O1793" s="83" t="s">
        <v>438</v>
      </c>
      <c r="P1793" s="84">
        <f t="shared" si="52"/>
        <v>1.065934065934071E-2</v>
      </c>
    </row>
    <row r="1794" spans="2:16" ht="15" customHeight="1">
      <c r="B1794" s="83">
        <v>244.85445733730654</v>
      </c>
      <c r="C1794" s="83">
        <v>244.89079937179076</v>
      </c>
      <c r="D1794" s="83">
        <v>243.00101357861226</v>
      </c>
      <c r="E1794" s="83">
        <v>243.74602528553837</v>
      </c>
      <c r="F1794" s="83">
        <v>2391297.0540430057</v>
      </c>
      <c r="G1794" s="83" t="s">
        <v>437</v>
      </c>
      <c r="H1794" s="84">
        <f t="shared" si="51"/>
        <v>4.5474876994187063E-3</v>
      </c>
      <c r="J1794" s="83">
        <v>63.233129027899054</v>
      </c>
      <c r="K1794" s="83">
        <v>63.277366073627505</v>
      </c>
      <c r="L1794" s="83">
        <v>62.643633115158018</v>
      </c>
      <c r="M1794" s="83">
        <v>63.075068572374896</v>
      </c>
      <c r="N1794" s="83">
        <v>24976146.164507993</v>
      </c>
      <c r="O1794" s="83" t="s">
        <v>437</v>
      </c>
      <c r="P1794" s="84">
        <f t="shared" si="52"/>
        <v>2.5059101654847371E-3</v>
      </c>
    </row>
    <row r="1795" spans="2:16" ht="15" customHeight="1">
      <c r="B1795" s="83">
        <v>243.73693977691732</v>
      </c>
      <c r="C1795" s="83">
        <v>244.29115580280143</v>
      </c>
      <c r="D1795" s="83">
        <v>242.56490916480186</v>
      </c>
      <c r="E1795" s="83">
        <v>243.74602528553837</v>
      </c>
      <c r="F1795" s="83">
        <v>1361958.9740226879</v>
      </c>
      <c r="G1795" s="83" t="s">
        <v>436</v>
      </c>
      <c r="H1795" s="84">
        <f t="shared" si="51"/>
        <v>-3.7274489339433892E-5</v>
      </c>
      <c r="J1795" s="83">
        <v>62.799208343394064</v>
      </c>
      <c r="K1795" s="83">
        <v>62.99595384688503</v>
      </c>
      <c r="L1795" s="83">
        <v>62.23158243078845</v>
      </c>
      <c r="M1795" s="83">
        <v>62.864818343800316</v>
      </c>
      <c r="N1795" s="83">
        <v>22277539.87120387</v>
      </c>
      <c r="O1795" s="83" t="s">
        <v>436</v>
      </c>
      <c r="P1795" s="84">
        <f t="shared" si="52"/>
        <v>-1.0436680186911573E-3</v>
      </c>
    </row>
    <row r="1796" spans="2:16" ht="15" customHeight="1">
      <c r="B1796" s="83">
        <v>243.82779486312785</v>
      </c>
      <c r="C1796" s="83">
        <v>244.59088673220987</v>
      </c>
      <c r="D1796" s="83">
        <v>243.70059774243316</v>
      </c>
      <c r="E1796" s="83">
        <v>244.30024131142247</v>
      </c>
      <c r="F1796" s="83">
        <v>1533619.1490388114</v>
      </c>
      <c r="G1796" s="83" t="s">
        <v>435</v>
      </c>
      <c r="H1796" s="84">
        <f t="shared" si="51"/>
        <v>-1.9338763062962672E-3</v>
      </c>
      <c r="J1796" s="83">
        <v>62.428909477464835</v>
      </c>
      <c r="K1796" s="83">
        <v>63.025861072070207</v>
      </c>
      <c r="L1796" s="83">
        <v>62.379204931702517</v>
      </c>
      <c r="M1796" s="83">
        <v>62.832510389054804</v>
      </c>
      <c r="N1796" s="83">
        <v>20496173.62708994</v>
      </c>
      <c r="O1796" s="83" t="s">
        <v>435</v>
      </c>
      <c r="P1796" s="84">
        <f t="shared" si="52"/>
        <v>-6.4234408125809495E-3</v>
      </c>
    </row>
    <row r="1797" spans="2:16" ht="15" customHeight="1">
      <c r="B1797" s="83">
        <v>244.30932682004351</v>
      </c>
      <c r="C1797" s="83">
        <v>244.57280657005398</v>
      </c>
      <c r="D1797" s="83">
        <v>242.31960043203347</v>
      </c>
      <c r="E1797" s="83">
        <v>242.54673814755975</v>
      </c>
      <c r="F1797" s="83">
        <v>2881867.278110961</v>
      </c>
      <c r="G1797" s="83" t="s">
        <v>434</v>
      </c>
      <c r="H1797" s="84">
        <f t="shared" si="51"/>
        <v>7.267006293077527E-3</v>
      </c>
      <c r="J1797" s="83">
        <v>62.853883343732605</v>
      </c>
      <c r="K1797" s="83">
        <v>63.075068572374896</v>
      </c>
      <c r="L1797" s="83">
        <v>61.950751747231386</v>
      </c>
      <c r="M1797" s="83">
        <v>62.164978339466956</v>
      </c>
      <c r="N1797" s="83">
        <v>26555116.43365201</v>
      </c>
      <c r="O1797" s="83" t="s">
        <v>434</v>
      </c>
      <c r="P1797" s="84">
        <f t="shared" si="52"/>
        <v>1.1081882800693998E-2</v>
      </c>
    </row>
    <row r="1798" spans="2:16" ht="15" customHeight="1">
      <c r="B1798" s="83">
        <v>242.21965983720196</v>
      </c>
      <c r="C1798" s="83">
        <v>242.31960043203347</v>
      </c>
      <c r="D1798" s="83">
        <v>241.1929973630233</v>
      </c>
      <c r="E1798" s="83">
        <v>241.27476694061272</v>
      </c>
      <c r="F1798" s="83">
        <v>1240156.2168896408</v>
      </c>
      <c r="G1798" s="83" t="s">
        <v>433</v>
      </c>
      <c r="H1798" s="84">
        <f t="shared" si="51"/>
        <v>3.9162524476576976E-3</v>
      </c>
      <c r="J1798" s="83">
        <v>62.073024929806671</v>
      </c>
      <c r="K1798" s="83">
        <v>62.085451066247245</v>
      </c>
      <c r="L1798" s="83">
        <v>61.052590605306392</v>
      </c>
      <c r="M1798" s="83">
        <v>61.434321516760953</v>
      </c>
      <c r="N1798" s="83">
        <v>16242659.250135245</v>
      </c>
      <c r="O1798" s="83" t="s">
        <v>433</v>
      </c>
      <c r="P1798" s="84">
        <f t="shared" si="52"/>
        <v>1.0396524243723615E-2</v>
      </c>
    </row>
    <row r="1799" spans="2:16" ht="15" customHeight="1">
      <c r="B1799" s="83">
        <v>241.98343661305461</v>
      </c>
      <c r="C1799" s="83">
        <v>242.21965983720196</v>
      </c>
      <c r="D1799" s="83">
        <v>240.84020706326788</v>
      </c>
      <c r="E1799" s="83">
        <v>242.07429169926513</v>
      </c>
      <c r="F1799" s="83">
        <v>3069794.0163063416</v>
      </c>
      <c r="G1799" s="83" t="s">
        <v>432</v>
      </c>
      <c r="H1799" s="84">
        <f t="shared" si="51"/>
        <v>-3.7531902116805238E-4</v>
      </c>
      <c r="J1799" s="83">
        <v>61.453209244150628</v>
      </c>
      <c r="K1799" s="83">
        <v>61.733045836792456</v>
      </c>
      <c r="L1799" s="83">
        <v>61.365729243608953</v>
      </c>
      <c r="M1799" s="83">
        <v>61.592879017742732</v>
      </c>
      <c r="N1799" s="83">
        <v>26794792.701029401</v>
      </c>
      <c r="O1799" s="83" t="s">
        <v>432</v>
      </c>
      <c r="P1799" s="84">
        <f t="shared" si="52"/>
        <v>-2.2676285931019224E-3</v>
      </c>
    </row>
    <row r="1800" spans="2:16" ht="15" customHeight="1">
      <c r="B1800" s="83">
        <v>241.5291611820021</v>
      </c>
      <c r="C1800" s="83">
        <v>243.13729620792805</v>
      </c>
      <c r="D1800" s="83">
        <v>241.12939880267589</v>
      </c>
      <c r="E1800" s="83">
        <v>243.11912519068591</v>
      </c>
      <c r="F1800" s="83">
        <v>2060830.1396158312</v>
      </c>
      <c r="G1800" s="83" t="s">
        <v>431</v>
      </c>
      <c r="H1800" s="84">
        <f t="shared" si="51"/>
        <v>-6.5398557494674714E-3</v>
      </c>
      <c r="J1800" s="83">
        <v>61.451718107777758</v>
      </c>
      <c r="K1800" s="83">
        <v>61.661471290894717</v>
      </c>
      <c r="L1800" s="83">
        <v>61.028235377882858</v>
      </c>
      <c r="M1800" s="83">
        <v>61.285704924931636</v>
      </c>
      <c r="N1800" s="83">
        <v>24583868.160535492</v>
      </c>
      <c r="O1800" s="83" t="s">
        <v>431</v>
      </c>
      <c r="P1800" s="84">
        <f t="shared" si="52"/>
        <v>2.7088402270882828E-3</v>
      </c>
    </row>
    <row r="1801" spans="2:16" ht="15" customHeight="1">
      <c r="B1801" s="83">
        <v>242.11971924237039</v>
      </c>
      <c r="C1801" s="83">
        <v>242.80113238894918</v>
      </c>
      <c r="D1801" s="83">
        <v>241.54733219924424</v>
      </c>
      <c r="E1801" s="83">
        <v>242.76479035446496</v>
      </c>
      <c r="F1801" s="83">
        <v>2694425.9282613448</v>
      </c>
      <c r="G1801" s="83" t="s">
        <v>430</v>
      </c>
      <c r="H1801" s="84">
        <f t="shared" si="51"/>
        <v>-2.6571856287425089E-3</v>
      </c>
      <c r="J1801" s="83">
        <v>60.993939241306869</v>
      </c>
      <c r="K1801" s="83">
        <v>61.177349015169796</v>
      </c>
      <c r="L1801" s="83">
        <v>60.645510375513048</v>
      </c>
      <c r="M1801" s="83">
        <v>60.888068558833133</v>
      </c>
      <c r="N1801" s="83">
        <v>17227881.009009667</v>
      </c>
      <c r="O1801" s="83" t="s">
        <v>430</v>
      </c>
      <c r="P1801" s="84">
        <f t="shared" si="52"/>
        <v>1.7387755102042934E-3</v>
      </c>
    </row>
    <row r="1802" spans="2:16" ht="15" customHeight="1">
      <c r="B1802" s="83">
        <v>241.94709457857044</v>
      </c>
      <c r="C1802" s="83">
        <v>242.25600187168612</v>
      </c>
      <c r="D1802" s="83">
        <v>241.1908168409542</v>
      </c>
      <c r="E1802" s="83">
        <v>242.19240331133878</v>
      </c>
      <c r="F1802" s="83">
        <v>1744251.2754082831</v>
      </c>
      <c r="G1802" s="83" t="s">
        <v>429</v>
      </c>
      <c r="H1802" s="84">
        <f t="shared" si="51"/>
        <v>-1.0128671643470089E-3</v>
      </c>
      <c r="J1802" s="83">
        <v>60.694220830360109</v>
      </c>
      <c r="K1802" s="83">
        <v>60.848304922223285</v>
      </c>
      <c r="L1802" s="83">
        <v>60.098268297124569</v>
      </c>
      <c r="M1802" s="83">
        <v>60.540136738496948</v>
      </c>
      <c r="N1802" s="83">
        <v>23891557.236610074</v>
      </c>
      <c r="O1802" s="83" t="s">
        <v>429</v>
      </c>
      <c r="P1802" s="84">
        <f t="shared" si="52"/>
        <v>2.5451559934317469E-3</v>
      </c>
    </row>
    <row r="1803" spans="2:16" ht="15" customHeight="1">
      <c r="B1803" s="83">
        <v>242.11063373374935</v>
      </c>
      <c r="C1803" s="83">
        <v>242.37411348375977</v>
      </c>
      <c r="D1803" s="83">
        <v>241.33836550096007</v>
      </c>
      <c r="E1803" s="83">
        <v>241.97435110443357</v>
      </c>
      <c r="F1803" s="83">
        <v>2094974.6232038217</v>
      </c>
      <c r="G1803" s="83" t="s">
        <v>428</v>
      </c>
      <c r="H1803" s="84">
        <f t="shared" si="51"/>
        <v>5.6321105395573667E-4</v>
      </c>
      <c r="J1803" s="83">
        <v>60.533675147547839</v>
      </c>
      <c r="K1803" s="83">
        <v>60.557533329513753</v>
      </c>
      <c r="L1803" s="83">
        <v>60.048558780907669</v>
      </c>
      <c r="M1803" s="83">
        <v>60.142500372398445</v>
      </c>
      <c r="N1803" s="83">
        <v>18786893.345035378</v>
      </c>
      <c r="O1803" s="83" t="s">
        <v>428</v>
      </c>
      <c r="P1803" s="84">
        <f t="shared" si="52"/>
        <v>6.50413223140478E-3</v>
      </c>
    </row>
    <row r="1804" spans="2:16" ht="15" customHeight="1">
      <c r="B1804" s="83">
        <v>240.48432769058132</v>
      </c>
      <c r="C1804" s="83">
        <v>240.98403066473909</v>
      </c>
      <c r="D1804" s="83">
        <v>239.93919717331829</v>
      </c>
      <c r="E1804" s="83">
        <v>240.98403066473909</v>
      </c>
      <c r="F1804" s="83">
        <v>1725499.4358464046</v>
      </c>
      <c r="G1804" s="83" t="s">
        <v>427</v>
      </c>
      <c r="H1804" s="84">
        <f t="shared" si="51"/>
        <v>-2.0735937264364512E-3</v>
      </c>
      <c r="J1804" s="83">
        <v>59.875089916197197</v>
      </c>
      <c r="K1804" s="83">
        <v>60.041103099043326</v>
      </c>
      <c r="L1804" s="83">
        <v>59.651916505724422</v>
      </c>
      <c r="M1804" s="83">
        <v>59.842284915994078</v>
      </c>
      <c r="N1804" s="83">
        <v>14289055.23845497</v>
      </c>
      <c r="O1804" s="83" t="s">
        <v>427</v>
      </c>
      <c r="P1804" s="84">
        <f t="shared" si="52"/>
        <v>5.4819096979952242E-4</v>
      </c>
    </row>
    <row r="1805" spans="2:16" ht="15" customHeight="1">
      <c r="B1805" s="83">
        <v>240.52975523368659</v>
      </c>
      <c r="C1805" s="83">
        <v>240.62061031989705</v>
      </c>
      <c r="D1805" s="83">
        <v>239.72114496641314</v>
      </c>
      <c r="E1805" s="83">
        <v>240.08456531125512</v>
      </c>
      <c r="F1805" s="83">
        <v>3291956.59235887</v>
      </c>
      <c r="G1805" s="83" t="s">
        <v>426</v>
      </c>
      <c r="H1805" s="84">
        <f t="shared" si="51"/>
        <v>1.8543046357615278E-3</v>
      </c>
      <c r="J1805" s="83">
        <v>59.75281673362192</v>
      </c>
      <c r="K1805" s="83">
        <v>59.833586620485676</v>
      </c>
      <c r="L1805" s="83">
        <v>59.468258209132671</v>
      </c>
      <c r="M1805" s="83">
        <v>59.679254005893696</v>
      </c>
      <c r="N1805" s="83">
        <v>14579008.597427774</v>
      </c>
      <c r="O1805" s="83" t="s">
        <v>426</v>
      </c>
      <c r="P1805" s="84">
        <f t="shared" si="52"/>
        <v>1.2326348402571519E-3</v>
      </c>
    </row>
    <row r="1806" spans="2:16" ht="15" customHeight="1">
      <c r="B1806" s="83">
        <v>239.702973949171</v>
      </c>
      <c r="C1806" s="83">
        <v>240.34804506126559</v>
      </c>
      <c r="D1806" s="83">
        <v>239.21326503449637</v>
      </c>
      <c r="E1806" s="83">
        <v>240.057308785392</v>
      </c>
      <c r="F1806" s="83">
        <v>2219865.8150266986</v>
      </c>
      <c r="G1806" s="83" t="s">
        <v>425</v>
      </c>
      <c r="H1806" s="84">
        <f t="shared" si="51"/>
        <v>-1.4760426916964331E-3</v>
      </c>
      <c r="J1806" s="83">
        <v>59.508767413928958</v>
      </c>
      <c r="K1806" s="83">
        <v>59.759278324571014</v>
      </c>
      <c r="L1806" s="83">
        <v>59.30149945810011</v>
      </c>
      <c r="M1806" s="83">
        <v>59.446636731726066</v>
      </c>
      <c r="N1806" s="83">
        <v>17631807.846929245</v>
      </c>
      <c r="O1806" s="83" t="s">
        <v>425</v>
      </c>
      <c r="P1806" s="84">
        <f t="shared" si="52"/>
        <v>1.0451505016721985E-3</v>
      </c>
    </row>
    <row r="1807" spans="2:16" ht="15" customHeight="1">
      <c r="B1807" s="83">
        <v>240.98403066473909</v>
      </c>
      <c r="C1807" s="83">
        <v>241.04762922508647</v>
      </c>
      <c r="D1807" s="83">
        <v>239.77565801813944</v>
      </c>
      <c r="E1807" s="83">
        <v>240.37530158712872</v>
      </c>
      <c r="F1807" s="83">
        <v>1893432.7969424413</v>
      </c>
      <c r="G1807" s="83" t="s">
        <v>424</v>
      </c>
      <c r="H1807" s="84">
        <f t="shared" si="51"/>
        <v>2.5324110821332013E-3</v>
      </c>
      <c r="J1807" s="83">
        <v>59.836320370502591</v>
      </c>
      <c r="K1807" s="83">
        <v>60.07738741744982</v>
      </c>
      <c r="L1807" s="83">
        <v>59.638496278368585</v>
      </c>
      <c r="M1807" s="83">
        <v>60.037623780839972</v>
      </c>
      <c r="N1807" s="83">
        <v>17309543.559944347</v>
      </c>
      <c r="O1807" s="83" t="s">
        <v>424</v>
      </c>
      <c r="P1807" s="84">
        <f t="shared" si="52"/>
        <v>-3.3529543253113525E-3</v>
      </c>
    </row>
    <row r="1808" spans="2:16" ht="15" customHeight="1">
      <c r="B1808" s="83">
        <v>240.77506396645492</v>
      </c>
      <c r="C1808" s="83">
        <v>240.82049150956018</v>
      </c>
      <c r="D1808" s="83">
        <v>239.9700879026299</v>
      </c>
      <c r="E1808" s="83">
        <v>240.23901895781299</v>
      </c>
      <c r="F1808" s="83">
        <v>1656441.1116325792</v>
      </c>
      <c r="G1808" s="83" t="s">
        <v>423</v>
      </c>
      <c r="H1808" s="84">
        <f t="shared" si="51"/>
        <v>2.2312986914756472E-3</v>
      </c>
      <c r="J1808" s="83">
        <v>60.000842416975857</v>
      </c>
      <c r="K1808" s="83">
        <v>60.451662647040031</v>
      </c>
      <c r="L1808" s="83">
        <v>59.895468779959749</v>
      </c>
      <c r="M1808" s="83">
        <v>60.390526055752389</v>
      </c>
      <c r="N1808" s="83">
        <v>18250886.032396365</v>
      </c>
      <c r="O1808" s="83" t="s">
        <v>423</v>
      </c>
      <c r="P1808" s="84">
        <f t="shared" si="52"/>
        <v>-6.4527280059918368E-3</v>
      </c>
    </row>
    <row r="1809" spans="2:16" ht="15" customHeight="1">
      <c r="B1809" s="83">
        <v>239.62120437158157</v>
      </c>
      <c r="C1809" s="83">
        <v>239.82108556124464</v>
      </c>
      <c r="D1809" s="83">
        <v>238.64905494912918</v>
      </c>
      <c r="E1809" s="83">
        <v>239.28504055260268</v>
      </c>
      <c r="F1809" s="83">
        <v>1913444.8851571549</v>
      </c>
      <c r="G1809" s="83" t="s">
        <v>422</v>
      </c>
      <c r="H1809" s="84">
        <f t="shared" si="51"/>
        <v>1.4048676766527102E-3</v>
      </c>
      <c r="J1809" s="83">
        <v>60.39102310121001</v>
      </c>
      <c r="K1809" s="83">
        <v>60.424325146870764</v>
      </c>
      <c r="L1809" s="83">
        <v>59.850734688773677</v>
      </c>
      <c r="M1809" s="83">
        <v>59.940699916603457</v>
      </c>
      <c r="N1809" s="83">
        <v>19127968.788739648</v>
      </c>
      <c r="O1809" s="83" t="s">
        <v>422</v>
      </c>
      <c r="P1809" s="84">
        <f t="shared" si="52"/>
        <v>7.5128115826657016E-3</v>
      </c>
    </row>
    <row r="1810" spans="2:16" ht="15" customHeight="1">
      <c r="B1810" s="83">
        <v>239.04881732845539</v>
      </c>
      <c r="C1810" s="83">
        <v>240.08456531125512</v>
      </c>
      <c r="D1810" s="83">
        <v>238.40374621636079</v>
      </c>
      <c r="E1810" s="83">
        <v>239.73931598365522</v>
      </c>
      <c r="F1810" s="83">
        <v>2132484.9062506505</v>
      </c>
      <c r="G1810" s="83" t="s">
        <v>421</v>
      </c>
      <c r="H1810" s="84">
        <f t="shared" si="51"/>
        <v>-2.880206162125365E-3</v>
      </c>
      <c r="J1810" s="83">
        <v>59.939705825688215</v>
      </c>
      <c r="K1810" s="83">
        <v>60.455639010701013</v>
      </c>
      <c r="L1810" s="83">
        <v>59.670307187656476</v>
      </c>
      <c r="M1810" s="83">
        <v>60.01724491707742</v>
      </c>
      <c r="N1810" s="83">
        <v>20477764.848054409</v>
      </c>
      <c r="O1810" s="83" t="s">
        <v>421</v>
      </c>
      <c r="P1810" s="84">
        <f t="shared" si="52"/>
        <v>-1.2919468645442578E-3</v>
      </c>
    </row>
    <row r="1811" spans="2:16" ht="15" customHeight="1">
      <c r="B1811" s="83">
        <v>238.60362740602392</v>
      </c>
      <c r="C1811" s="83">
        <v>238.81077700258388</v>
      </c>
      <c r="D1811" s="83">
        <v>237.86770120771882</v>
      </c>
      <c r="E1811" s="83">
        <v>238.64905494912918</v>
      </c>
      <c r="F1811" s="83">
        <v>1664877.6233565798</v>
      </c>
      <c r="G1811" s="83" t="s">
        <v>420</v>
      </c>
      <c r="H1811" s="84">
        <f t="shared" si="51"/>
        <v>-1.9035291430313794E-4</v>
      </c>
      <c r="J1811" s="83">
        <v>59.669810142198848</v>
      </c>
      <c r="K1811" s="83">
        <v>59.712556051554436</v>
      </c>
      <c r="L1811" s="83">
        <v>58.935176955831871</v>
      </c>
      <c r="M1811" s="83">
        <v>59.412837640607691</v>
      </c>
      <c r="N1811" s="83">
        <v>16657892.900970638</v>
      </c>
      <c r="O1811" s="83" t="s">
        <v>420</v>
      </c>
      <c r="P1811" s="84">
        <f t="shared" si="52"/>
        <v>4.3252016196499987E-3</v>
      </c>
    </row>
    <row r="1812" spans="2:16" ht="15" customHeight="1">
      <c r="B1812" s="83">
        <v>238.52185782843443</v>
      </c>
      <c r="C1812" s="83">
        <v>238.74545219559849</v>
      </c>
      <c r="D1812" s="83">
        <v>237.30439967321371</v>
      </c>
      <c r="E1812" s="83">
        <v>237.54970840598205</v>
      </c>
      <c r="F1812" s="83">
        <v>3636648.3570823246</v>
      </c>
      <c r="G1812" s="83" t="s">
        <v>419</v>
      </c>
      <c r="H1812" s="84">
        <f t="shared" si="51"/>
        <v>4.0924041918457554E-3</v>
      </c>
      <c r="J1812" s="83">
        <v>59.36860059487924</v>
      </c>
      <c r="K1812" s="83">
        <v>59.479441731929199</v>
      </c>
      <c r="L1812" s="83">
        <v>58.750773091053688</v>
      </c>
      <c r="M1812" s="83">
        <v>58.855152637154539</v>
      </c>
      <c r="N1812" s="83">
        <v>25204073.003517352</v>
      </c>
      <c r="O1812" s="83" t="s">
        <v>419</v>
      </c>
      <c r="P1812" s="84">
        <f t="shared" si="52"/>
        <v>8.7239253441433462E-3</v>
      </c>
    </row>
    <row r="1813" spans="2:16" ht="15" customHeight="1">
      <c r="B1813" s="83">
        <v>235.80529075074043</v>
      </c>
      <c r="C1813" s="83">
        <v>235.96882990591934</v>
      </c>
      <c r="D1813" s="83">
        <v>234.56966157827756</v>
      </c>
      <c r="E1813" s="83">
        <v>235.62358057831938</v>
      </c>
      <c r="F1813" s="83">
        <v>3116308.7484613303</v>
      </c>
      <c r="G1813" s="83" t="s">
        <v>418</v>
      </c>
      <c r="H1813" s="84">
        <f t="shared" si="51"/>
        <v>7.7118840132661681E-4</v>
      </c>
      <c r="J1813" s="83">
        <v>58.318840588379189</v>
      </c>
      <c r="K1813" s="83">
        <v>58.601162408309129</v>
      </c>
      <c r="L1813" s="83">
        <v>57.800422176078271</v>
      </c>
      <c r="M1813" s="83">
        <v>58.397870816141271</v>
      </c>
      <c r="N1813" s="83">
        <v>25550560.427069228</v>
      </c>
      <c r="O1813" s="83" t="s">
        <v>418</v>
      </c>
      <c r="P1813" s="84">
        <f t="shared" si="52"/>
        <v>-1.353306664397036E-3</v>
      </c>
    </row>
    <row r="1814" spans="2:16" ht="15" customHeight="1">
      <c r="B1814" s="83">
        <v>234.29709631964604</v>
      </c>
      <c r="C1814" s="83">
        <v>234.60600361276178</v>
      </c>
      <c r="D1814" s="83">
        <v>232.83432943165693</v>
      </c>
      <c r="E1814" s="83">
        <v>233.90641944894088</v>
      </c>
      <c r="F1814" s="83">
        <v>1889471.5437533117</v>
      </c>
      <c r="G1814" s="83" t="s">
        <v>417</v>
      </c>
      <c r="H1814" s="84">
        <f t="shared" si="51"/>
        <v>1.670227228588006E-3</v>
      </c>
      <c r="J1814" s="83">
        <v>58.079264677804844</v>
      </c>
      <c r="K1814" s="83">
        <v>58.23210615602396</v>
      </c>
      <c r="L1814" s="83">
        <v>57.629001138653202</v>
      </c>
      <c r="M1814" s="83">
        <v>58.230863542379893</v>
      </c>
      <c r="N1814" s="83">
        <v>20368961.922344934</v>
      </c>
      <c r="O1814" s="83" t="s">
        <v>417</v>
      </c>
      <c r="P1814" s="84">
        <f t="shared" si="52"/>
        <v>-2.603410895061109E-3</v>
      </c>
    </row>
    <row r="1815" spans="2:16" ht="15" customHeight="1">
      <c r="B1815" s="83">
        <v>233.38854545754103</v>
      </c>
      <c r="C1815" s="83">
        <v>235.06936455243536</v>
      </c>
      <c r="D1815" s="83">
        <v>231.88943653506772</v>
      </c>
      <c r="E1815" s="83">
        <v>234.54240505241438</v>
      </c>
      <c r="F1815" s="83">
        <v>2987571.8721030774</v>
      </c>
      <c r="G1815" s="83" t="s">
        <v>416</v>
      </c>
      <c r="H1815" s="84">
        <f t="shared" si="51"/>
        <v>-4.9196203757503332E-3</v>
      </c>
      <c r="J1815" s="83">
        <v>58.304426270108117</v>
      </c>
      <c r="K1815" s="83">
        <v>59.027080660946382</v>
      </c>
      <c r="L1815" s="83">
        <v>57.625959220452543</v>
      </c>
      <c r="M1815" s="83">
        <v>58.924739001221781</v>
      </c>
      <c r="N1815" s="83">
        <v>28171266.400782544</v>
      </c>
      <c r="O1815" s="83" t="s">
        <v>416</v>
      </c>
      <c r="P1815" s="84">
        <f t="shared" si="52"/>
        <v>-1.0527203711514166E-2</v>
      </c>
    </row>
    <row r="1816" spans="2:16" ht="15" customHeight="1">
      <c r="B1816" s="83">
        <v>234.47880649206704</v>
      </c>
      <c r="C1816" s="83">
        <v>235.4236993886563</v>
      </c>
      <c r="D1816" s="83">
        <v>233.25226282822527</v>
      </c>
      <c r="E1816" s="83">
        <v>234.41520793171969</v>
      </c>
      <c r="F1816" s="83">
        <v>3497461.8731170706</v>
      </c>
      <c r="G1816" s="83" t="s">
        <v>415</v>
      </c>
      <c r="H1816" s="84">
        <f t="shared" si="51"/>
        <v>2.7130731366997729E-4</v>
      </c>
      <c r="J1816" s="83">
        <v>58.880999000950943</v>
      </c>
      <c r="K1816" s="83">
        <v>59.78611877928266</v>
      </c>
      <c r="L1816" s="83">
        <v>58.488333089428679</v>
      </c>
      <c r="M1816" s="83">
        <v>59.572389232504719</v>
      </c>
      <c r="N1816" s="83">
        <v>38249137.394622453</v>
      </c>
      <c r="O1816" s="83" t="s">
        <v>415</v>
      </c>
      <c r="P1816" s="84">
        <f t="shared" si="52"/>
        <v>-1.1605883874412859E-2</v>
      </c>
    </row>
    <row r="1817" spans="2:16" ht="15" customHeight="1">
      <c r="B1817" s="83">
        <v>232.79798739717276</v>
      </c>
      <c r="C1817" s="83">
        <v>233.75196580238301</v>
      </c>
      <c r="D1817" s="83">
        <v>231.63504229367828</v>
      </c>
      <c r="E1817" s="83">
        <v>232.67079027647802</v>
      </c>
      <c r="F1817" s="83">
        <v>3184844.2620986523</v>
      </c>
      <c r="G1817" s="83" t="s">
        <v>414</v>
      </c>
      <c r="H1817" s="84">
        <f t="shared" si="51"/>
        <v>5.4668280682590442E-4</v>
      </c>
      <c r="J1817" s="83">
        <v>59.297523094439128</v>
      </c>
      <c r="K1817" s="83">
        <v>59.963439746289716</v>
      </c>
      <c r="L1817" s="83">
        <v>59.001284001695744</v>
      </c>
      <c r="M1817" s="83">
        <v>59.492861959285023</v>
      </c>
      <c r="N1817" s="83">
        <v>30114810.970366899</v>
      </c>
      <c r="O1817" s="83" t="s">
        <v>414</v>
      </c>
      <c r="P1817" s="84">
        <f t="shared" si="52"/>
        <v>-3.283400031747985E-3</v>
      </c>
    </row>
    <row r="1818" spans="2:16" ht="15" customHeight="1">
      <c r="B1818" s="83">
        <v>233.00695409545688</v>
      </c>
      <c r="C1818" s="83">
        <v>236.77734931810656</v>
      </c>
      <c r="D1818" s="83">
        <v>232.92518451786745</v>
      </c>
      <c r="E1818" s="83">
        <v>236.28682270765606</v>
      </c>
      <c r="F1818" s="83">
        <v>4751982.7233413402</v>
      </c>
      <c r="G1818" s="83" t="s">
        <v>413</v>
      </c>
      <c r="H1818" s="84">
        <f t="shared" si="51"/>
        <v>-1.3880878225093318E-2</v>
      </c>
      <c r="J1818" s="83">
        <v>59.918829916468034</v>
      </c>
      <c r="K1818" s="83">
        <v>61.136591287644698</v>
      </c>
      <c r="L1818" s="83">
        <v>59.785870256553856</v>
      </c>
      <c r="M1818" s="83">
        <v>60.953678559239385</v>
      </c>
      <c r="N1818" s="83">
        <v>34488736.869209759</v>
      </c>
      <c r="O1818" s="83" t="s">
        <v>413</v>
      </c>
      <c r="P1818" s="84">
        <f t="shared" si="52"/>
        <v>-1.6977624111161882E-2</v>
      </c>
    </row>
    <row r="1819" spans="2:16" ht="15" customHeight="1">
      <c r="B1819" s="83">
        <v>237.52245188011892</v>
      </c>
      <c r="C1819" s="83">
        <v>237.91312875082409</v>
      </c>
      <c r="D1819" s="83">
        <v>234.11538614722505</v>
      </c>
      <c r="E1819" s="83">
        <v>234.11538614722505</v>
      </c>
      <c r="F1819" s="83">
        <v>3267069.7082634522</v>
      </c>
      <c r="G1819" s="83" t="s">
        <v>412</v>
      </c>
      <c r="H1819" s="84">
        <f t="shared" si="51"/>
        <v>1.4552933871468499E-2</v>
      </c>
      <c r="J1819" s="83">
        <v>61.213136288118662</v>
      </c>
      <c r="K1819" s="83">
        <v>61.225562424559236</v>
      </c>
      <c r="L1819" s="83">
        <v>60.299069691549732</v>
      </c>
      <c r="M1819" s="83">
        <v>60.44072764697232</v>
      </c>
      <c r="N1819" s="83">
        <v>24224041.916764427</v>
      </c>
      <c r="O1819" s="83" t="s">
        <v>412</v>
      </c>
      <c r="P1819" s="84">
        <f t="shared" si="52"/>
        <v>1.2779605263157912E-2</v>
      </c>
    </row>
    <row r="1820" spans="2:16" ht="15" customHeight="1">
      <c r="B1820" s="83">
        <v>234.83759322751234</v>
      </c>
      <c r="C1820" s="83">
        <v>236.49996837289231</v>
      </c>
      <c r="D1820" s="83">
        <v>233.85281664682526</v>
      </c>
      <c r="E1820" s="83">
        <v>235.38870672679596</v>
      </c>
      <c r="F1820" s="83">
        <v>3780542.6154656587</v>
      </c>
      <c r="G1820" s="83" t="s">
        <v>411</v>
      </c>
      <c r="H1820" s="84">
        <f t="shared" si="51"/>
        <v>-2.3412911645046552E-3</v>
      </c>
      <c r="J1820" s="83">
        <v>60.836872876697953</v>
      </c>
      <c r="K1820" s="83">
        <v>60.99443628676449</v>
      </c>
      <c r="L1820" s="83">
        <v>59.455086504505665</v>
      </c>
      <c r="M1820" s="83">
        <v>59.513737868505181</v>
      </c>
      <c r="N1820" s="83">
        <v>44820568.538203269</v>
      </c>
      <c r="O1820" s="83" t="s">
        <v>411</v>
      </c>
      <c r="P1820" s="84">
        <f t="shared" si="52"/>
        <v>2.2232429949471832E-2</v>
      </c>
    </row>
    <row r="1821" spans="2:16" ht="15" customHeight="1">
      <c r="B1821" s="83">
        <v>235.6778154477316</v>
      </c>
      <c r="C1821" s="83">
        <v>237.24080947028992</v>
      </c>
      <c r="D1821" s="83">
        <v>234.79241998986615</v>
      </c>
      <c r="E1821" s="83">
        <v>236.5361069630093</v>
      </c>
      <c r="F1821" s="83">
        <v>4495809.0361075532</v>
      </c>
      <c r="G1821" s="83" t="s">
        <v>410</v>
      </c>
      <c r="H1821" s="84">
        <f t="shared" si="51"/>
        <v>-3.6285856155225948E-3</v>
      </c>
      <c r="J1821" s="83">
        <v>59.588294687148654</v>
      </c>
      <c r="K1821" s="83">
        <v>59.645454914775314</v>
      </c>
      <c r="L1821" s="83">
        <v>58.943129683153835</v>
      </c>
      <c r="M1821" s="83">
        <v>59.089261047695032</v>
      </c>
      <c r="N1821" s="83">
        <v>30594545.763921332</v>
      </c>
      <c r="O1821" s="83" t="s">
        <v>410</v>
      </c>
      <c r="P1821" s="84">
        <f t="shared" si="52"/>
        <v>8.4454202101260645E-3</v>
      </c>
    </row>
    <row r="1822" spans="2:16" ht="15" customHeight="1">
      <c r="B1822" s="83">
        <v>235.60553826749765</v>
      </c>
      <c r="C1822" s="83">
        <v>235.7952658656117</v>
      </c>
      <c r="D1822" s="83">
        <v>234.69303886704449</v>
      </c>
      <c r="E1822" s="83">
        <v>234.90083576021701</v>
      </c>
      <c r="F1822" s="83">
        <v>2025541.1116786757</v>
      </c>
      <c r="G1822" s="83" t="s">
        <v>409</v>
      </c>
      <c r="H1822" s="84">
        <f t="shared" si="51"/>
        <v>2.9999999999998916E-3</v>
      </c>
      <c r="J1822" s="83">
        <v>58.86310536447651</v>
      </c>
      <c r="K1822" s="83">
        <v>59.148409457152191</v>
      </c>
      <c r="L1822" s="83">
        <v>58.523180946462638</v>
      </c>
      <c r="M1822" s="83">
        <v>58.815389000544691</v>
      </c>
      <c r="N1822" s="83">
        <v>26006333.62955118</v>
      </c>
      <c r="O1822" s="83" t="s">
        <v>409</v>
      </c>
      <c r="P1822" s="84">
        <f t="shared" si="52"/>
        <v>8.1129045888617135E-4</v>
      </c>
    </row>
    <row r="1823" spans="2:16" ht="15" customHeight="1">
      <c r="B1823" s="83">
        <v>234.76531604727845</v>
      </c>
      <c r="C1823" s="83">
        <v>235.41581066938363</v>
      </c>
      <c r="D1823" s="83">
        <v>233.87992058941299</v>
      </c>
      <c r="E1823" s="83">
        <v>234.01544030235158</v>
      </c>
      <c r="F1823" s="83">
        <v>3487966.7300816039</v>
      </c>
      <c r="G1823" s="83" t="s">
        <v>408</v>
      </c>
      <c r="H1823" s="84">
        <f t="shared" si="51"/>
        <v>3.2043857617174432E-3</v>
      </c>
      <c r="J1823" s="83">
        <v>58.873046273628979</v>
      </c>
      <c r="K1823" s="83">
        <v>59.474968322810582</v>
      </c>
      <c r="L1823" s="83">
        <v>58.781092863968695</v>
      </c>
      <c r="M1823" s="83">
        <v>59.316410821828811</v>
      </c>
      <c r="N1823" s="83">
        <v>49491589.999907032</v>
      </c>
      <c r="O1823" s="83" t="s">
        <v>408</v>
      </c>
      <c r="P1823" s="84">
        <f t="shared" si="52"/>
        <v>-7.4745680336523179E-3</v>
      </c>
    </row>
    <row r="1824" spans="2:16" ht="15" customHeight="1">
      <c r="B1824" s="83">
        <v>233.62695045859428</v>
      </c>
      <c r="C1824" s="83">
        <v>234.10578677764397</v>
      </c>
      <c r="D1824" s="83">
        <v>233.13004484448618</v>
      </c>
      <c r="E1824" s="83">
        <v>233.70826228635747</v>
      </c>
      <c r="F1824" s="83">
        <v>1723937.7573495351</v>
      </c>
      <c r="G1824" s="83" t="s">
        <v>407</v>
      </c>
      <c r="H1824" s="84">
        <f t="shared" si="51"/>
        <v>-3.4792021029861342E-4</v>
      </c>
      <c r="J1824" s="83">
        <v>58.927224228509893</v>
      </c>
      <c r="K1824" s="83">
        <v>59.540081277759221</v>
      </c>
      <c r="L1824" s="83">
        <v>58.874040364544221</v>
      </c>
      <c r="M1824" s="83">
        <v>59.372576958540222</v>
      </c>
      <c r="N1824" s="83">
        <v>23595729.163453251</v>
      </c>
      <c r="O1824" s="83" t="s">
        <v>407</v>
      </c>
      <c r="P1824" s="84">
        <f t="shared" si="52"/>
        <v>-7.5009836669430729E-3</v>
      </c>
    </row>
    <row r="1825" spans="2:16" ht="15" customHeight="1">
      <c r="B1825" s="83">
        <v>233.70826228635747</v>
      </c>
      <c r="C1825" s="83">
        <v>234.53041521151818</v>
      </c>
      <c r="D1825" s="83">
        <v>232.81663292169685</v>
      </c>
      <c r="E1825" s="83">
        <v>232.94935189390134</v>
      </c>
      <c r="F1825" s="83">
        <v>2185229.6878329581</v>
      </c>
      <c r="G1825" s="83" t="s">
        <v>406</v>
      </c>
      <c r="H1825" s="84">
        <f t="shared" si="51"/>
        <v>3.2578343158549128E-3</v>
      </c>
      <c r="J1825" s="83">
        <v>59.313428549083064</v>
      </c>
      <c r="K1825" s="83">
        <v>59.69168014233427</v>
      </c>
      <c r="L1825" s="83">
        <v>59.244836275931078</v>
      </c>
      <c r="M1825" s="83">
        <v>59.677514346792009</v>
      </c>
      <c r="N1825" s="83">
        <v>28889430.090894479</v>
      </c>
      <c r="O1825" s="83" t="s">
        <v>406</v>
      </c>
      <c r="P1825" s="84">
        <f t="shared" si="52"/>
        <v>-6.100887439667968E-3</v>
      </c>
    </row>
    <row r="1826" spans="2:16" ht="15" customHeight="1">
      <c r="B1826" s="83">
        <v>232.1271989687406</v>
      </c>
      <c r="C1826" s="83">
        <v>232.6073001384444</v>
      </c>
      <c r="D1826" s="83">
        <v>231.62125870710321</v>
      </c>
      <c r="E1826" s="83">
        <v>231.7567784200418</v>
      </c>
      <c r="F1826" s="83">
        <v>2515033.3675400889</v>
      </c>
      <c r="G1826" s="83" t="s">
        <v>405</v>
      </c>
      <c r="H1826" s="84">
        <f t="shared" si="51"/>
        <v>1.5983159207859643E-3</v>
      </c>
      <c r="J1826" s="83">
        <v>59.307464003591591</v>
      </c>
      <c r="K1826" s="83">
        <v>59.645454914775314</v>
      </c>
      <c r="L1826" s="83">
        <v>58.564878089902635</v>
      </c>
      <c r="M1826" s="83">
        <v>58.564878089902635</v>
      </c>
      <c r="N1826" s="83">
        <v>40501627.549856707</v>
      </c>
      <c r="O1826" s="83" t="s">
        <v>405</v>
      </c>
      <c r="P1826" s="84">
        <f t="shared" si="52"/>
        <v>1.2679714154770538E-2</v>
      </c>
    </row>
    <row r="1827" spans="2:16" ht="15" customHeight="1">
      <c r="B1827" s="83">
        <v>231.30504604357984</v>
      </c>
      <c r="C1827" s="83">
        <v>231.39539251887223</v>
      </c>
      <c r="D1827" s="83">
        <v>228.59465178480812</v>
      </c>
      <c r="E1827" s="83">
        <v>228.61272107986659</v>
      </c>
      <c r="F1827" s="83">
        <v>2085547.8798725046</v>
      </c>
      <c r="G1827" s="83" t="s">
        <v>404</v>
      </c>
      <c r="H1827" s="84">
        <f t="shared" si="51"/>
        <v>1.1776794182737804E-2</v>
      </c>
      <c r="J1827" s="83">
        <v>58.440616725496852</v>
      </c>
      <c r="K1827" s="83">
        <v>58.461989680174653</v>
      </c>
      <c r="L1827" s="83">
        <v>56.884367397678844</v>
      </c>
      <c r="M1827" s="83">
        <v>56.884367397678844</v>
      </c>
      <c r="N1827" s="83">
        <v>34588224.751538411</v>
      </c>
      <c r="O1827" s="83" t="s">
        <v>404</v>
      </c>
      <c r="P1827" s="84">
        <f t="shared" si="52"/>
        <v>2.7358119620778387E-2</v>
      </c>
    </row>
    <row r="1828" spans="2:16" ht="15" customHeight="1">
      <c r="B1828" s="83">
        <v>227.98029575281984</v>
      </c>
      <c r="C1828" s="83">
        <v>228.07967687564147</v>
      </c>
      <c r="D1828" s="83">
        <v>226.17336624697202</v>
      </c>
      <c r="E1828" s="83">
        <v>226.66123721355095</v>
      </c>
      <c r="F1828" s="83">
        <v>5005511.2668915167</v>
      </c>
      <c r="G1828" s="83" t="s">
        <v>403</v>
      </c>
      <c r="H1828" s="84">
        <f t="shared" si="51"/>
        <v>5.819515306122458E-3</v>
      </c>
      <c r="J1828" s="83">
        <v>56.778496715205115</v>
      </c>
      <c r="K1828" s="83">
        <v>57.01509035303372</v>
      </c>
      <c r="L1828" s="83">
        <v>55.833116254805923</v>
      </c>
      <c r="M1828" s="83">
        <v>56.003602846770661</v>
      </c>
      <c r="N1828" s="83">
        <v>24393925.774880327</v>
      </c>
      <c r="O1828" s="83" t="s">
        <v>403</v>
      </c>
      <c r="P1828" s="84">
        <f t="shared" si="52"/>
        <v>1.383650031507111E-2</v>
      </c>
    </row>
    <row r="1829" spans="2:16" ht="15" customHeight="1">
      <c r="B1829" s="83">
        <v>228.44106277681104</v>
      </c>
      <c r="C1829" s="83">
        <v>230.02212609442788</v>
      </c>
      <c r="D1829" s="83">
        <v>227.62794449917951</v>
      </c>
      <c r="E1829" s="83">
        <v>229.91371032407702</v>
      </c>
      <c r="F1829" s="83">
        <v>7129445.8130813967</v>
      </c>
      <c r="G1829" s="83" t="s">
        <v>402</v>
      </c>
      <c r="H1829" s="84">
        <f t="shared" si="51"/>
        <v>-6.4052184847532834E-3</v>
      </c>
      <c r="J1829" s="83">
        <v>56.827207170052183</v>
      </c>
      <c r="K1829" s="83">
        <v>57.495981833284105</v>
      </c>
      <c r="L1829" s="83">
        <v>56.410186031106385</v>
      </c>
      <c r="M1829" s="83">
        <v>57.444537628420107</v>
      </c>
      <c r="N1829" s="83">
        <v>23469865.423949096</v>
      </c>
      <c r="O1829" s="83" t="s">
        <v>402</v>
      </c>
      <c r="P1829" s="84">
        <f t="shared" si="52"/>
        <v>-1.0746547606686696E-2</v>
      </c>
    </row>
    <row r="1830" spans="2:16" ht="15" customHeight="1">
      <c r="B1830" s="83">
        <v>230.29316552030508</v>
      </c>
      <c r="C1830" s="83">
        <v>231.84712489533419</v>
      </c>
      <c r="D1830" s="83">
        <v>230.02212609442788</v>
      </c>
      <c r="E1830" s="83">
        <v>231.84712489533419</v>
      </c>
      <c r="F1830" s="83">
        <v>2783562.9357549455</v>
      </c>
      <c r="G1830" s="83" t="s">
        <v>401</v>
      </c>
      <c r="H1830" s="84">
        <f t="shared" si="51"/>
        <v>-6.7025173408151728E-3</v>
      </c>
      <c r="J1830" s="83">
        <v>57.55090535635145</v>
      </c>
      <c r="K1830" s="83">
        <v>58.033327736611319</v>
      </c>
      <c r="L1830" s="83">
        <v>57.433105582894775</v>
      </c>
      <c r="M1830" s="83">
        <v>57.781037403230968</v>
      </c>
      <c r="N1830" s="83">
        <v>22116468.084363997</v>
      </c>
      <c r="O1830" s="83" t="s">
        <v>401</v>
      </c>
      <c r="P1830" s="84">
        <f t="shared" si="52"/>
        <v>-3.9828299598277939E-3</v>
      </c>
    </row>
    <row r="1831" spans="2:16" ht="15" customHeight="1">
      <c r="B1831" s="83">
        <v>231.77484771510029</v>
      </c>
      <c r="C1831" s="83">
        <v>232.34403050944235</v>
      </c>
      <c r="D1831" s="83">
        <v>231.25083815840441</v>
      </c>
      <c r="E1831" s="83">
        <v>232.18140685391606</v>
      </c>
      <c r="F1831" s="83">
        <v>2740493.1869085543</v>
      </c>
      <c r="G1831" s="83" t="s">
        <v>400</v>
      </c>
      <c r="H1831" s="84">
        <f t="shared" si="51"/>
        <v>-1.751040896532996E-3</v>
      </c>
      <c r="J1831" s="83">
        <v>57.758173312180297</v>
      </c>
      <c r="K1831" s="83">
        <v>58.134933769058627</v>
      </c>
      <c r="L1831" s="83">
        <v>56.971101830034073</v>
      </c>
      <c r="M1831" s="83">
        <v>57.163209899405416</v>
      </c>
      <c r="N1831" s="83">
        <v>29035050.57467502</v>
      </c>
      <c r="O1831" s="83" t="s">
        <v>400</v>
      </c>
      <c r="P1831" s="84">
        <f t="shared" si="52"/>
        <v>1.0408152618124111E-2</v>
      </c>
    </row>
    <row r="1832" spans="2:16" ht="15" customHeight="1">
      <c r="B1832" s="83">
        <v>232.04588714097744</v>
      </c>
      <c r="C1832" s="83">
        <v>234.0877174825855</v>
      </c>
      <c r="D1832" s="83">
        <v>229.92274497160628</v>
      </c>
      <c r="E1832" s="83">
        <v>233.87992058941299</v>
      </c>
      <c r="F1832" s="83">
        <v>3745815.1953881625</v>
      </c>
      <c r="G1832" s="83" t="s">
        <v>399</v>
      </c>
      <c r="H1832" s="84">
        <f t="shared" si="51"/>
        <v>-7.8417738633290712E-3</v>
      </c>
      <c r="J1832" s="83">
        <v>57.050877625982586</v>
      </c>
      <c r="K1832" s="83">
        <v>57.571801147389941</v>
      </c>
      <c r="L1832" s="83">
        <v>56.200432847989426</v>
      </c>
      <c r="M1832" s="83">
        <v>57.010616943915117</v>
      </c>
      <c r="N1832" s="83">
        <v>29092852.128958177</v>
      </c>
      <c r="O1832" s="83" t="s">
        <v>399</v>
      </c>
      <c r="P1832" s="84">
        <f t="shared" si="52"/>
        <v>7.0619621792689102E-4</v>
      </c>
    </row>
    <row r="1833" spans="2:16" ht="15" customHeight="1">
      <c r="B1833" s="83">
        <v>232.9403172463721</v>
      </c>
      <c r="C1833" s="83">
        <v>233.28363385248321</v>
      </c>
      <c r="D1833" s="83">
        <v>231.58512011698625</v>
      </c>
      <c r="E1833" s="83">
        <v>232.92224795131366</v>
      </c>
      <c r="F1833" s="83">
        <v>3173398.8412068789</v>
      </c>
      <c r="G1833" s="83" t="s">
        <v>398</v>
      </c>
      <c r="H1833" s="84">
        <f t="shared" si="51"/>
        <v>7.7576509832644192E-5</v>
      </c>
      <c r="J1833" s="83">
        <v>56.712389669341242</v>
      </c>
      <c r="K1833" s="83">
        <v>56.81080466995062</v>
      </c>
      <c r="L1833" s="83">
        <v>55.905187846161283</v>
      </c>
      <c r="M1833" s="83">
        <v>55.912643528025633</v>
      </c>
      <c r="N1833" s="83">
        <v>29178739.645573143</v>
      </c>
      <c r="O1833" s="83" t="s">
        <v>398</v>
      </c>
      <c r="P1833" s="84">
        <f t="shared" si="52"/>
        <v>1.4303493643879284E-2</v>
      </c>
    </row>
    <row r="1834" spans="2:16" ht="15" customHeight="1">
      <c r="B1834" s="83">
        <v>231.35021928122603</v>
      </c>
      <c r="C1834" s="83">
        <v>232.0820257310944</v>
      </c>
      <c r="D1834" s="83">
        <v>231.15145703558278</v>
      </c>
      <c r="E1834" s="83">
        <v>231.66643194474943</v>
      </c>
      <c r="F1834" s="83">
        <v>2442885.5612321552</v>
      </c>
      <c r="G1834" s="83" t="s">
        <v>397</v>
      </c>
      <c r="H1834" s="84">
        <f t="shared" si="51"/>
        <v>-1.3649481319710777E-3</v>
      </c>
      <c r="J1834" s="83">
        <v>55.665114890129317</v>
      </c>
      <c r="K1834" s="83">
        <v>56.04933102887199</v>
      </c>
      <c r="L1834" s="83">
        <v>55.222247387387107</v>
      </c>
      <c r="M1834" s="83">
        <v>55.236661705658172</v>
      </c>
      <c r="N1834" s="83">
        <v>31035571.824290667</v>
      </c>
      <c r="O1834" s="83" t="s">
        <v>397</v>
      </c>
      <c r="P1834" s="84">
        <f t="shared" si="52"/>
        <v>7.7566813641682941E-3</v>
      </c>
    </row>
    <row r="1835" spans="2:16" ht="15" customHeight="1">
      <c r="B1835" s="83">
        <v>231.89229813298041</v>
      </c>
      <c r="C1835" s="83">
        <v>232.20851079650373</v>
      </c>
      <c r="D1835" s="83">
        <v>230.47385847088984</v>
      </c>
      <c r="E1835" s="83">
        <v>231.3411846336968</v>
      </c>
      <c r="F1835" s="83">
        <v>2364812.7866477319</v>
      </c>
      <c r="G1835" s="83" t="s">
        <v>396</v>
      </c>
      <c r="H1835" s="84">
        <f t="shared" si="51"/>
        <v>2.3822541591815849E-3</v>
      </c>
      <c r="J1835" s="83">
        <v>55.472758298029156</v>
      </c>
      <c r="K1835" s="83">
        <v>55.568688071350422</v>
      </c>
      <c r="L1835" s="83">
        <v>54.724704884306355</v>
      </c>
      <c r="M1835" s="83">
        <v>55.020446931592119</v>
      </c>
      <c r="N1835" s="83">
        <v>19490370.249687266</v>
      </c>
      <c r="O1835" s="83" t="s">
        <v>396</v>
      </c>
      <c r="P1835" s="84">
        <f t="shared" si="52"/>
        <v>8.2207868467407685E-3</v>
      </c>
    </row>
    <row r="1836" spans="2:16" ht="15" customHeight="1">
      <c r="B1836" s="83">
        <v>232.00974855086051</v>
      </c>
      <c r="C1836" s="83">
        <v>232.77136933757532</v>
      </c>
      <c r="D1836" s="83">
        <v>231.6573972972202</v>
      </c>
      <c r="E1836" s="83">
        <v>231.78388236262953</v>
      </c>
      <c r="F1836" s="83">
        <v>5124269.6353311939</v>
      </c>
      <c r="G1836" s="83" t="s">
        <v>395</v>
      </c>
      <c r="H1836" s="84">
        <f t="shared" si="51"/>
        <v>9.7446891444175066E-4</v>
      </c>
      <c r="J1836" s="83">
        <v>55.427030115927842</v>
      </c>
      <c r="K1836" s="83">
        <v>55.644736026366765</v>
      </c>
      <c r="L1836" s="83">
        <v>54.671023974883056</v>
      </c>
      <c r="M1836" s="83">
        <v>54.960801476677339</v>
      </c>
      <c r="N1836" s="83">
        <v>29609826.977151707</v>
      </c>
      <c r="O1836" s="83" t="s">
        <v>395</v>
      </c>
      <c r="P1836" s="84">
        <f t="shared" si="52"/>
        <v>8.4829301379156785E-3</v>
      </c>
    </row>
    <row r="1837" spans="2:16" ht="15" customHeight="1">
      <c r="B1837" s="83">
        <v>232.18140685391606</v>
      </c>
      <c r="C1837" s="83">
        <v>233.6450197536528</v>
      </c>
      <c r="D1837" s="83">
        <v>232.0820257310944</v>
      </c>
      <c r="E1837" s="83">
        <v>233.17521808213232</v>
      </c>
      <c r="F1837" s="83">
        <v>3255579.1362983165</v>
      </c>
      <c r="G1837" s="83" t="s">
        <v>394</v>
      </c>
      <c r="H1837" s="84">
        <f t="shared" si="51"/>
        <v>-4.2620791196867902E-3</v>
      </c>
      <c r="J1837" s="83">
        <v>55.142223068709782</v>
      </c>
      <c r="K1837" s="83">
        <v>55.596522616977317</v>
      </c>
      <c r="L1837" s="83">
        <v>55.036352386236054</v>
      </c>
      <c r="M1837" s="83">
        <v>55.470273070741044</v>
      </c>
      <c r="N1837" s="83">
        <v>28429210.61500613</v>
      </c>
      <c r="O1837" s="83" t="s">
        <v>394</v>
      </c>
      <c r="P1837" s="84">
        <f t="shared" si="52"/>
        <v>-5.9139784946236063E-3</v>
      </c>
    </row>
    <row r="1838" spans="2:16" ht="15" customHeight="1">
      <c r="B1838" s="83">
        <v>231.83809024780496</v>
      </c>
      <c r="C1838" s="83">
        <v>232.01878319838974</v>
      </c>
      <c r="D1838" s="83">
        <v>230.79133598506732</v>
      </c>
      <c r="E1838" s="83">
        <v>231.00690267511496</v>
      </c>
      <c r="F1838" s="83">
        <v>2345853.5522729931</v>
      </c>
      <c r="G1838" s="83" t="s">
        <v>393</v>
      </c>
      <c r="H1838" s="84">
        <f t="shared" si="51"/>
        <v>3.5981070827955097E-3</v>
      </c>
      <c r="J1838" s="83">
        <v>55.190436478099215</v>
      </c>
      <c r="K1838" s="83">
        <v>55.233679432912439</v>
      </c>
      <c r="L1838" s="83">
        <v>54.456300337189859</v>
      </c>
      <c r="M1838" s="83">
        <v>54.719734429730124</v>
      </c>
      <c r="N1838" s="83">
        <v>21115674.309125092</v>
      </c>
      <c r="O1838" s="83" t="s">
        <v>393</v>
      </c>
      <c r="P1838" s="84">
        <f t="shared" si="52"/>
        <v>8.6020528658368178E-3</v>
      </c>
    </row>
    <row r="1839" spans="2:16" ht="15" customHeight="1">
      <c r="B1839" s="83">
        <v>230.45578917583137</v>
      </c>
      <c r="C1839" s="83">
        <v>230.96172943746876</v>
      </c>
      <c r="D1839" s="83">
        <v>229.51618583279048</v>
      </c>
      <c r="E1839" s="83">
        <v>230.68165536406235</v>
      </c>
      <c r="F1839" s="83">
        <v>2236174.6747303898</v>
      </c>
      <c r="G1839" s="83" t="s">
        <v>392</v>
      </c>
      <c r="H1839" s="84">
        <f t="shared" si="51"/>
        <v>-9.7912505385189252E-4</v>
      </c>
      <c r="J1839" s="83">
        <v>54.524395564884237</v>
      </c>
      <c r="K1839" s="83">
        <v>55.268472614946056</v>
      </c>
      <c r="L1839" s="83">
        <v>54.303210336241939</v>
      </c>
      <c r="M1839" s="83">
        <v>55.213797614607508</v>
      </c>
      <c r="N1839" s="83">
        <v>28477737.36367685</v>
      </c>
      <c r="O1839" s="83" t="s">
        <v>392</v>
      </c>
      <c r="P1839" s="84">
        <f t="shared" si="52"/>
        <v>-1.2486046595369116E-2</v>
      </c>
    </row>
    <row r="1840" spans="2:16" ht="15" customHeight="1">
      <c r="B1840" s="83">
        <v>231.2960113960506</v>
      </c>
      <c r="C1840" s="83">
        <v>231.63029335463244</v>
      </c>
      <c r="D1840" s="83">
        <v>230.28413087277582</v>
      </c>
      <c r="E1840" s="83">
        <v>230.75393254429625</v>
      </c>
      <c r="F1840" s="83">
        <v>2386753.8750364557</v>
      </c>
      <c r="G1840" s="83" t="s">
        <v>391</v>
      </c>
      <c r="H1840" s="84">
        <f t="shared" ref="H1840:H1903" si="53">B1840/E1840-1</f>
        <v>2.3491640891115662E-3</v>
      </c>
      <c r="J1840" s="83">
        <v>55.360923070063954</v>
      </c>
      <c r="K1840" s="83">
        <v>55.838583754839789</v>
      </c>
      <c r="L1840" s="83">
        <v>54.937440340169047</v>
      </c>
      <c r="M1840" s="83">
        <v>55.668594208332671</v>
      </c>
      <c r="N1840" s="83">
        <v>21885664.244915206</v>
      </c>
      <c r="O1840" s="83" t="s">
        <v>391</v>
      </c>
      <c r="P1840" s="84">
        <f t="shared" ref="P1840:P1903" si="54">J1840/M1840-1</f>
        <v>-5.5268350610273576E-3</v>
      </c>
    </row>
    <row r="1841" spans="2:16" ht="15" customHeight="1">
      <c r="B1841" s="83">
        <v>230.76296719182548</v>
      </c>
      <c r="C1841" s="83">
        <v>231.3682885762845</v>
      </c>
      <c r="D1841" s="83">
        <v>229.61556695561214</v>
      </c>
      <c r="E1841" s="83">
        <v>229.61556695561214</v>
      </c>
      <c r="F1841" s="83">
        <v>2777440.9481709255</v>
      </c>
      <c r="G1841" s="83" t="s">
        <v>390</v>
      </c>
      <c r="H1841" s="84">
        <f t="shared" si="53"/>
        <v>4.9970489868187418E-3</v>
      </c>
      <c r="J1841" s="83">
        <v>55.597516707892559</v>
      </c>
      <c r="K1841" s="83">
        <v>55.763032845281074</v>
      </c>
      <c r="L1841" s="83">
        <v>55.172045796167168</v>
      </c>
      <c r="M1841" s="83">
        <v>55.172045796167168</v>
      </c>
      <c r="N1841" s="83">
        <v>21056987.52393749</v>
      </c>
      <c r="O1841" s="83" t="s">
        <v>390</v>
      </c>
      <c r="P1841" s="84">
        <f t="shared" si="54"/>
        <v>7.7117117117115885E-3</v>
      </c>
    </row>
    <row r="1842" spans="2:16" ht="15" customHeight="1">
      <c r="B1842" s="83">
        <v>230.36544270053898</v>
      </c>
      <c r="C1842" s="83">
        <v>230.38351199559744</v>
      </c>
      <c r="D1842" s="83">
        <v>229.308388939618</v>
      </c>
      <c r="E1842" s="83">
        <v>229.50353732624959</v>
      </c>
      <c r="F1842" s="83">
        <v>3106439.9478972969</v>
      </c>
      <c r="G1842" s="83" t="s">
        <v>389</v>
      </c>
      <c r="H1842" s="84">
        <f t="shared" si="53"/>
        <v>3.7555210883923884E-3</v>
      </c>
      <c r="J1842" s="83">
        <v>55.353467388199611</v>
      </c>
      <c r="K1842" s="83">
        <v>56.249143302836487</v>
      </c>
      <c r="L1842" s="83">
        <v>55.204353750912674</v>
      </c>
      <c r="M1842" s="83">
        <v>56.170113075074404</v>
      </c>
      <c r="N1842" s="83">
        <v>29168961.867855906</v>
      </c>
      <c r="O1842" s="83" t="s">
        <v>389</v>
      </c>
      <c r="P1842" s="84">
        <f t="shared" si="54"/>
        <v>-1.4538793713719245E-2</v>
      </c>
    </row>
    <row r="1843" spans="2:16" ht="15" customHeight="1">
      <c r="B1843" s="83">
        <v>227.85381068741049</v>
      </c>
      <c r="C1843" s="83">
        <v>228.90182980080226</v>
      </c>
      <c r="D1843" s="83">
        <v>226.61606397590475</v>
      </c>
      <c r="E1843" s="83">
        <v>227.35690507330236</v>
      </c>
      <c r="F1843" s="83">
        <v>3594853.0249674572</v>
      </c>
      <c r="G1843" s="83" t="s">
        <v>388</v>
      </c>
      <c r="H1843" s="84">
        <f t="shared" si="53"/>
        <v>2.1855752036556986E-3</v>
      </c>
      <c r="J1843" s="83">
        <v>55.752097845213363</v>
      </c>
      <c r="K1843" s="83">
        <v>56.078159665414134</v>
      </c>
      <c r="L1843" s="83">
        <v>55.194164319031394</v>
      </c>
      <c r="M1843" s="83">
        <v>55.572167389553783</v>
      </c>
      <c r="N1843" s="83">
        <v>19065298.464482065</v>
      </c>
      <c r="O1843" s="83" t="s">
        <v>388</v>
      </c>
      <c r="P1843" s="84">
        <f t="shared" si="54"/>
        <v>3.2377800635035037E-3</v>
      </c>
    </row>
    <row r="1844" spans="2:16" ht="15" customHeight="1">
      <c r="B1844" s="83">
        <v>228.35975094904788</v>
      </c>
      <c r="C1844" s="83">
        <v>229.17024917889594</v>
      </c>
      <c r="D1844" s="83">
        <v>228.02546899046604</v>
      </c>
      <c r="E1844" s="83">
        <v>228.41395883422334</v>
      </c>
      <c r="F1844" s="83">
        <v>3950704.2067202847</v>
      </c>
      <c r="G1844" s="83" t="s">
        <v>387</v>
      </c>
      <c r="H1844" s="84">
        <f t="shared" si="53"/>
        <v>-2.3732299659851019E-4</v>
      </c>
      <c r="J1844" s="83">
        <v>55.67704398111227</v>
      </c>
      <c r="K1844" s="83">
        <v>56.401239212869164</v>
      </c>
      <c r="L1844" s="83">
        <v>55.594534435146826</v>
      </c>
      <c r="M1844" s="83">
        <v>55.917116937144236</v>
      </c>
      <c r="N1844" s="83">
        <v>21120422.365794364</v>
      </c>
      <c r="O1844" s="83" t="s">
        <v>387</v>
      </c>
      <c r="P1844" s="84">
        <f t="shared" si="54"/>
        <v>-4.2933714966354453E-3</v>
      </c>
    </row>
    <row r="1845" spans="2:16" ht="15" customHeight="1">
      <c r="B1845" s="83">
        <v>227.67311773682573</v>
      </c>
      <c r="C1845" s="83">
        <v>227.99836504787834</v>
      </c>
      <c r="D1845" s="83">
        <v>226.17336624697202</v>
      </c>
      <c r="E1845" s="83">
        <v>226.20950483708899</v>
      </c>
      <c r="F1845" s="83">
        <v>6619527.746539183</v>
      </c>
      <c r="G1845" s="83" t="s">
        <v>386</v>
      </c>
      <c r="H1845" s="84">
        <f t="shared" si="53"/>
        <v>6.470165348670065E-3</v>
      </c>
      <c r="J1845" s="83">
        <v>55.737186481484656</v>
      </c>
      <c r="K1845" s="83">
        <v>55.932276823601747</v>
      </c>
      <c r="L1845" s="83">
        <v>54.965771931253563</v>
      </c>
      <c r="M1845" s="83">
        <v>55.012991249727769</v>
      </c>
      <c r="N1845" s="83">
        <v>32381605.652261551</v>
      </c>
      <c r="O1845" s="83" t="s">
        <v>386</v>
      </c>
      <c r="P1845" s="84">
        <f t="shared" si="54"/>
        <v>1.3164076617274922E-2</v>
      </c>
    </row>
    <row r="1846" spans="2:16" ht="15" customHeight="1">
      <c r="B1846" s="83">
        <v>224.76396123241074</v>
      </c>
      <c r="C1846" s="83">
        <v>225.42620089630395</v>
      </c>
      <c r="D1846" s="83">
        <v>224.25802097077334</v>
      </c>
      <c r="E1846" s="83">
        <v>225.21569360887267</v>
      </c>
      <c r="F1846" s="83">
        <v>3305712.8021147344</v>
      </c>
      <c r="G1846" s="83" t="s">
        <v>385</v>
      </c>
      <c r="H1846" s="84">
        <f t="shared" si="53"/>
        <v>-2.0057766367136409E-3</v>
      </c>
      <c r="J1846" s="83">
        <v>54.426974655190101</v>
      </c>
      <c r="K1846" s="83">
        <v>54.970493863100984</v>
      </c>
      <c r="L1846" s="83">
        <v>54.320109881801123</v>
      </c>
      <c r="M1846" s="83">
        <v>54.523401473968988</v>
      </c>
      <c r="N1846" s="83">
        <v>21430514.727843199</v>
      </c>
      <c r="O1846" s="83" t="s">
        <v>385</v>
      </c>
      <c r="P1846" s="84">
        <f t="shared" si="54"/>
        <v>-1.7685400428461007E-3</v>
      </c>
    </row>
    <row r="1847" spans="2:16" ht="15" customHeight="1">
      <c r="B1847" s="83">
        <v>224.64651081453061</v>
      </c>
      <c r="C1847" s="83">
        <v>224.70071869970607</v>
      </c>
      <c r="D1847" s="83">
        <v>222.43302216986703</v>
      </c>
      <c r="E1847" s="83">
        <v>223.1648286197354</v>
      </c>
      <c r="F1847" s="83">
        <v>2781444.4247739632</v>
      </c>
      <c r="G1847" s="83" t="s">
        <v>384</v>
      </c>
      <c r="H1847" s="84">
        <f t="shared" si="53"/>
        <v>6.639407311444856E-3</v>
      </c>
      <c r="J1847" s="83">
        <v>54.429459882478213</v>
      </c>
      <c r="K1847" s="83">
        <v>54.620822383663125</v>
      </c>
      <c r="L1847" s="83">
        <v>54.006474198040934</v>
      </c>
      <c r="M1847" s="83">
        <v>54.028841243633977</v>
      </c>
      <c r="N1847" s="83">
        <v>21643271.92817191</v>
      </c>
      <c r="O1847" s="83" t="s">
        <v>384</v>
      </c>
      <c r="P1847" s="84">
        <f t="shared" si="54"/>
        <v>7.4149034038637485E-3</v>
      </c>
    </row>
    <row r="1848" spans="2:16" ht="15" customHeight="1">
      <c r="B1848" s="83">
        <v>224.35740209359497</v>
      </c>
      <c r="C1848" s="83">
        <v>225.48329986868873</v>
      </c>
      <c r="D1848" s="83">
        <v>222.8124773660951</v>
      </c>
      <c r="E1848" s="83">
        <v>224.99886206817095</v>
      </c>
      <c r="F1848" s="83">
        <v>4325318.710390362</v>
      </c>
      <c r="G1848" s="83" t="s">
        <v>383</v>
      </c>
      <c r="H1848" s="84">
        <f t="shared" si="53"/>
        <v>-2.8509476389335653E-3</v>
      </c>
      <c r="J1848" s="83">
        <v>54.610881474510656</v>
      </c>
      <c r="K1848" s="83">
        <v>54.915570340033632</v>
      </c>
      <c r="L1848" s="83">
        <v>53.97913669787166</v>
      </c>
      <c r="M1848" s="83">
        <v>54.881771248915264</v>
      </c>
      <c r="N1848" s="83">
        <v>41139637.605348349</v>
      </c>
      <c r="O1848" s="83" t="s">
        <v>383</v>
      </c>
      <c r="P1848" s="84">
        <f t="shared" si="54"/>
        <v>-4.935878858136622E-3</v>
      </c>
    </row>
    <row r="1849" spans="2:16" ht="15" customHeight="1">
      <c r="B1849" s="83">
        <v>226.57992538578779</v>
      </c>
      <c r="C1849" s="83">
        <v>226.96841522954506</v>
      </c>
      <c r="D1849" s="83">
        <v>225.82101499333169</v>
      </c>
      <c r="E1849" s="83">
        <v>226.54378679567083</v>
      </c>
      <c r="F1849" s="83">
        <v>2271504.2212309032</v>
      </c>
      <c r="G1849" s="83" t="s">
        <v>382</v>
      </c>
      <c r="H1849" s="84">
        <f t="shared" si="53"/>
        <v>1.5952143569286648E-4</v>
      </c>
      <c r="J1849" s="83">
        <v>55.432000570504066</v>
      </c>
      <c r="K1849" s="83">
        <v>57.011113989372738</v>
      </c>
      <c r="L1849" s="83">
        <v>55.309727387928774</v>
      </c>
      <c r="M1849" s="83">
        <v>56.641809214358751</v>
      </c>
      <c r="N1849" s="83">
        <v>42362161.603265524</v>
      </c>
      <c r="O1849" s="83" t="s">
        <v>382</v>
      </c>
      <c r="P1849" s="84">
        <f t="shared" si="54"/>
        <v>-2.1358933632861343E-2</v>
      </c>
    </row>
    <row r="1850" spans="2:16" ht="15" customHeight="1">
      <c r="B1850" s="83">
        <v>226.8599994591942</v>
      </c>
      <c r="C1850" s="83">
        <v>227.06779635236671</v>
      </c>
      <c r="D1850" s="83">
        <v>225.79391105074399</v>
      </c>
      <c r="E1850" s="83">
        <v>226.26371272226442</v>
      </c>
      <c r="F1850" s="83">
        <v>3999694.4964429955</v>
      </c>
      <c r="G1850" s="83" t="s">
        <v>381</v>
      </c>
      <c r="H1850" s="84">
        <f t="shared" si="53"/>
        <v>2.6353617632965953E-3</v>
      </c>
      <c r="J1850" s="83">
        <v>56.960912398152807</v>
      </c>
      <c r="K1850" s="83">
        <v>57.003658307508388</v>
      </c>
      <c r="L1850" s="83">
        <v>55.532304343852417</v>
      </c>
      <c r="M1850" s="83">
        <v>55.909661255279886</v>
      </c>
      <c r="N1850" s="83">
        <v>71466179.71295017</v>
      </c>
      <c r="O1850" s="83" t="s">
        <v>381</v>
      </c>
      <c r="P1850" s="84">
        <f t="shared" si="54"/>
        <v>1.8802674158102661E-2</v>
      </c>
    </row>
    <row r="1851" spans="2:16" ht="15" customHeight="1">
      <c r="B1851" s="83">
        <v>225.85715358344868</v>
      </c>
      <c r="C1851" s="83">
        <v>225.88425752603638</v>
      </c>
      <c r="D1851" s="83">
        <v>223.68802505815364</v>
      </c>
      <c r="E1851" s="83">
        <v>224.33029815100727</v>
      </c>
      <c r="F1851" s="83">
        <v>2813300.6758417054</v>
      </c>
      <c r="G1851" s="83" t="s">
        <v>380</v>
      </c>
      <c r="H1851" s="84">
        <f t="shared" si="53"/>
        <v>6.8062827225130462E-3</v>
      </c>
      <c r="J1851" s="83">
        <v>56.305309439547898</v>
      </c>
      <c r="K1851" s="83">
        <v>56.305309439547898</v>
      </c>
      <c r="L1851" s="83">
        <v>55.1233353413201</v>
      </c>
      <c r="M1851" s="83">
        <v>55.304259887894922</v>
      </c>
      <c r="N1851" s="83">
        <v>51835701.553750932</v>
      </c>
      <c r="O1851" s="83" t="s">
        <v>380</v>
      </c>
      <c r="P1851" s="84">
        <f t="shared" si="54"/>
        <v>1.8100767530063067E-2</v>
      </c>
    </row>
    <row r="1852" spans="2:16" ht="15" customHeight="1">
      <c r="B1852" s="83">
        <v>224.25802097077334</v>
      </c>
      <c r="C1852" s="83">
        <v>225.2247282564019</v>
      </c>
      <c r="D1852" s="83">
        <v>223.56687043478655</v>
      </c>
      <c r="E1852" s="83">
        <v>224.3393327985365</v>
      </c>
      <c r="F1852" s="83">
        <v>4115775.3946303236</v>
      </c>
      <c r="G1852" s="83" t="s">
        <v>379</v>
      </c>
      <c r="H1852" s="84">
        <f t="shared" si="53"/>
        <v>-3.6245016310265665E-4</v>
      </c>
      <c r="J1852" s="83">
        <v>55.209324205488905</v>
      </c>
      <c r="K1852" s="83">
        <v>55.917613982601857</v>
      </c>
      <c r="L1852" s="83">
        <v>54.918055567321758</v>
      </c>
      <c r="M1852" s="83">
        <v>55.29133670599672</v>
      </c>
      <c r="N1852" s="83">
        <v>29417993.416382506</v>
      </c>
      <c r="O1852" s="83" t="s">
        <v>379</v>
      </c>
      <c r="P1852" s="84">
        <f t="shared" si="54"/>
        <v>-1.4832793959007606E-3</v>
      </c>
    </row>
    <row r="1853" spans="2:16" ht="15" customHeight="1">
      <c r="B1853" s="83">
        <v>224.0682933726593</v>
      </c>
      <c r="C1853" s="83">
        <v>224.53809504417976</v>
      </c>
      <c r="D1853" s="83">
        <v>221.9632204983466</v>
      </c>
      <c r="E1853" s="83">
        <v>222.12584415387292</v>
      </c>
      <c r="F1853" s="83">
        <v>5875241.9314879877</v>
      </c>
      <c r="G1853" s="83" t="s">
        <v>378</v>
      </c>
      <c r="H1853" s="84">
        <f t="shared" si="53"/>
        <v>8.7448141218577913E-3</v>
      </c>
      <c r="J1853" s="83">
        <v>55.488663752673098</v>
      </c>
      <c r="K1853" s="83">
        <v>55.536380116604917</v>
      </c>
      <c r="L1853" s="83">
        <v>54.446856473495032</v>
      </c>
      <c r="M1853" s="83">
        <v>54.824113975830976</v>
      </c>
      <c r="N1853" s="83">
        <v>30949362.405528627</v>
      </c>
      <c r="O1853" s="83" t="s">
        <v>378</v>
      </c>
      <c r="P1853" s="84">
        <f t="shared" si="54"/>
        <v>1.2121486854034469E-2</v>
      </c>
    </row>
    <row r="1854" spans="2:16" ht="15" customHeight="1">
      <c r="B1854" s="83">
        <v>222.21619062916531</v>
      </c>
      <c r="C1854" s="83">
        <v>222.95703172656292</v>
      </c>
      <c r="D1854" s="83">
        <v>219.43351919015964</v>
      </c>
      <c r="E1854" s="83">
        <v>220.13822169744029</v>
      </c>
      <c r="F1854" s="83">
        <v>6672500.4827141277</v>
      </c>
      <c r="G1854" s="83" t="s">
        <v>377</v>
      </c>
      <c r="H1854" s="84">
        <f t="shared" si="53"/>
        <v>9.4393827464500646E-3</v>
      </c>
      <c r="J1854" s="83">
        <v>54.131232607904337</v>
      </c>
      <c r="K1854" s="83">
        <v>54.227659426683225</v>
      </c>
      <c r="L1854" s="83">
        <v>53.027294646523366</v>
      </c>
      <c r="M1854" s="83">
        <v>53.105827828827827</v>
      </c>
      <c r="N1854" s="83">
        <v>25748590.604169514</v>
      </c>
      <c r="O1854" s="83" t="s">
        <v>377</v>
      </c>
      <c r="P1854" s="84">
        <f t="shared" si="54"/>
        <v>1.9308705296556594E-2</v>
      </c>
    </row>
    <row r="1855" spans="2:16" ht="15" customHeight="1">
      <c r="B1855" s="83">
        <v>218.7559206254667</v>
      </c>
      <c r="C1855" s="83">
        <v>219.65035073086139</v>
      </c>
      <c r="D1855" s="83">
        <v>217.97894093795216</v>
      </c>
      <c r="E1855" s="83">
        <v>219.13537582169477</v>
      </c>
      <c r="F1855" s="83">
        <v>2697241.914655224</v>
      </c>
      <c r="G1855" s="83" t="s">
        <v>376</v>
      </c>
      <c r="H1855" s="84">
        <f t="shared" si="53"/>
        <v>-1.7316017316018062E-3</v>
      </c>
      <c r="J1855" s="83">
        <v>52.717635326424158</v>
      </c>
      <c r="K1855" s="83">
        <v>53.439842376350576</v>
      </c>
      <c r="L1855" s="83">
        <v>52.481275299960643</v>
      </c>
      <c r="M1855" s="83">
        <v>53.317072148317656</v>
      </c>
      <c r="N1855" s="83">
        <v>20557858.126022123</v>
      </c>
      <c r="O1855" s="83" t="s">
        <v>376</v>
      </c>
      <c r="P1855" s="84">
        <f t="shared" si="54"/>
        <v>-1.1242868329790934E-2</v>
      </c>
    </row>
    <row r="1856" spans="2:16" ht="15" customHeight="1">
      <c r="B1856" s="83">
        <v>219.02696005134391</v>
      </c>
      <c r="C1856" s="83">
        <v>219.08116793651934</v>
      </c>
      <c r="D1856" s="83">
        <v>217.40072349608084</v>
      </c>
      <c r="E1856" s="83">
        <v>218.71978203534977</v>
      </c>
      <c r="F1856" s="83">
        <v>2665092.3483262691</v>
      </c>
      <c r="G1856" s="83" t="s">
        <v>375</v>
      </c>
      <c r="H1856" s="84">
        <f t="shared" si="53"/>
        <v>1.4044363666405602E-3</v>
      </c>
      <c r="J1856" s="83">
        <v>53.187840329335636</v>
      </c>
      <c r="K1856" s="83">
        <v>53.830023060584722</v>
      </c>
      <c r="L1856" s="83">
        <v>52.875695781948316</v>
      </c>
      <c r="M1856" s="83">
        <v>53.686376923331636</v>
      </c>
      <c r="N1856" s="83">
        <v>25838300.708780929</v>
      </c>
      <c r="O1856" s="83" t="s">
        <v>375</v>
      </c>
      <c r="P1856" s="84">
        <f t="shared" si="54"/>
        <v>-9.2860912314487454E-3</v>
      </c>
    </row>
    <row r="1857" spans="2:16" ht="15" customHeight="1">
      <c r="B1857" s="83">
        <v>220.73450843437007</v>
      </c>
      <c r="C1857" s="83">
        <v>221.44824558917998</v>
      </c>
      <c r="D1857" s="83">
        <v>220.14725634496952</v>
      </c>
      <c r="E1857" s="83">
        <v>220.54478083625608</v>
      </c>
      <c r="F1857" s="83">
        <v>4070389.0086453757</v>
      </c>
      <c r="G1857" s="83" t="s">
        <v>374</v>
      </c>
      <c r="H1857" s="84">
        <f t="shared" si="53"/>
        <v>8.6026791200666253E-4</v>
      </c>
      <c r="J1857" s="83">
        <v>54.227162381225604</v>
      </c>
      <c r="K1857" s="83">
        <v>54.376773063970163</v>
      </c>
      <c r="L1857" s="83">
        <v>53.771371696585192</v>
      </c>
      <c r="M1857" s="83">
        <v>53.929432152109349</v>
      </c>
      <c r="N1857" s="83">
        <v>22517377.0896548</v>
      </c>
      <c r="O1857" s="83" t="s">
        <v>374</v>
      </c>
      <c r="P1857" s="84">
        <f t="shared" si="54"/>
        <v>5.5207373271890514E-3</v>
      </c>
    </row>
    <row r="1858" spans="2:16" ht="15" customHeight="1">
      <c r="B1858" s="83">
        <v>218.87337104334682</v>
      </c>
      <c r="C1858" s="83">
        <v>219.37931130498421</v>
      </c>
      <c r="D1858" s="83">
        <v>217.65369362689955</v>
      </c>
      <c r="E1858" s="83">
        <v>218.54812373229421</v>
      </c>
      <c r="F1858" s="83">
        <v>2431841.4115099795</v>
      </c>
      <c r="G1858" s="83" t="s">
        <v>373</v>
      </c>
      <c r="H1858" s="84">
        <f t="shared" si="53"/>
        <v>1.4882182720132864E-3</v>
      </c>
      <c r="J1858" s="83">
        <v>53.377711694147685</v>
      </c>
      <c r="K1858" s="83">
        <v>53.65481453677257</v>
      </c>
      <c r="L1858" s="83">
        <v>52.721611690085155</v>
      </c>
      <c r="M1858" s="83">
        <v>53.505949422214442</v>
      </c>
      <c r="N1858" s="83">
        <v>27395341.394155838</v>
      </c>
      <c r="O1858" s="83" t="s">
        <v>373</v>
      </c>
      <c r="P1858" s="84">
        <f t="shared" si="54"/>
        <v>-2.3967003567180178E-3</v>
      </c>
    </row>
    <row r="1859" spans="2:16" ht="15" customHeight="1">
      <c r="B1859" s="83">
        <v>218.6565395026451</v>
      </c>
      <c r="C1859" s="83">
        <v>219.84911297650464</v>
      </c>
      <c r="D1859" s="83">
        <v>216.45118204075783</v>
      </c>
      <c r="E1859" s="83">
        <v>219.25282623957486</v>
      </c>
      <c r="F1859" s="83">
        <v>3405125.6455149064</v>
      </c>
      <c r="G1859" s="83" t="s">
        <v>372</v>
      </c>
      <c r="H1859" s="84">
        <f t="shared" si="53"/>
        <v>-2.7196307895169802E-3</v>
      </c>
      <c r="J1859" s="83">
        <v>53.460718285570735</v>
      </c>
      <c r="K1859" s="83">
        <v>53.925952833905988</v>
      </c>
      <c r="L1859" s="83">
        <v>52.674392371610949</v>
      </c>
      <c r="M1859" s="83">
        <v>53.549192377027651</v>
      </c>
      <c r="N1859" s="83">
        <v>19454075.782605186</v>
      </c>
      <c r="O1859" s="83" t="s">
        <v>372</v>
      </c>
      <c r="P1859" s="84">
        <f t="shared" si="54"/>
        <v>-1.6522021627141115E-3</v>
      </c>
    </row>
    <row r="1860" spans="2:16" ht="15" customHeight="1">
      <c r="B1860" s="83">
        <v>218.33129219159247</v>
      </c>
      <c r="C1860" s="83">
        <v>220.06594451720639</v>
      </c>
      <c r="D1860" s="83">
        <v>216.80443675915106</v>
      </c>
      <c r="E1860" s="83">
        <v>219.89428621415084</v>
      </c>
      <c r="F1860" s="83">
        <v>6404579.6820225418</v>
      </c>
      <c r="G1860" s="83" t="s">
        <v>371</v>
      </c>
      <c r="H1860" s="84">
        <f t="shared" si="53"/>
        <v>-7.1079337688483291E-3</v>
      </c>
      <c r="J1860" s="83">
        <v>53.209710329471058</v>
      </c>
      <c r="K1860" s="83">
        <v>54.253008745022008</v>
      </c>
      <c r="L1860" s="83">
        <v>52.85929328184676</v>
      </c>
      <c r="M1860" s="83">
        <v>54.078545789396287</v>
      </c>
      <c r="N1860" s="83">
        <v>32462362.853407599</v>
      </c>
      <c r="O1860" s="83" t="s">
        <v>371</v>
      </c>
      <c r="P1860" s="84">
        <f t="shared" si="54"/>
        <v>-1.6066176470588278E-2</v>
      </c>
    </row>
    <row r="1861" spans="2:16" ht="15" customHeight="1">
      <c r="B1861" s="83">
        <v>221.27658728612442</v>
      </c>
      <c r="C1861" s="83">
        <v>221.68314642494019</v>
      </c>
      <c r="D1861" s="83">
        <v>219.32510341980878</v>
      </c>
      <c r="E1861" s="83">
        <v>220.04787522214792</v>
      </c>
      <c r="F1861" s="83">
        <v>5471484.0662038717</v>
      </c>
      <c r="G1861" s="83" t="s">
        <v>370</v>
      </c>
      <c r="H1861" s="84">
        <f t="shared" si="53"/>
        <v>5.5838397109539972E-3</v>
      </c>
      <c r="J1861" s="83">
        <v>54.588514428917613</v>
      </c>
      <c r="K1861" s="83">
        <v>55.090132704750879</v>
      </c>
      <c r="L1861" s="83">
        <v>54.222688972107001</v>
      </c>
      <c r="M1861" s="83">
        <v>54.675000338544038</v>
      </c>
      <c r="N1861" s="83">
        <v>39343665.051311143</v>
      </c>
      <c r="O1861" s="83" t="s">
        <v>370</v>
      </c>
      <c r="P1861" s="84">
        <f t="shared" si="54"/>
        <v>-1.5818181818182397E-3</v>
      </c>
    </row>
    <row r="1862" spans="2:16" ht="15" customHeight="1">
      <c r="B1862" s="83">
        <v>218.3403268391217</v>
      </c>
      <c r="C1862" s="83">
        <v>219.13537582169477</v>
      </c>
      <c r="D1862" s="83">
        <v>215.88290271116867</v>
      </c>
      <c r="E1862" s="83">
        <v>215.92807594881486</v>
      </c>
      <c r="F1862" s="83">
        <v>3385843.2109278128</v>
      </c>
      <c r="G1862" s="83" t="s">
        <v>369</v>
      </c>
      <c r="H1862" s="84">
        <f t="shared" si="53"/>
        <v>1.1171548117154817E-2</v>
      </c>
      <c r="J1862" s="83">
        <v>54.172984426344684</v>
      </c>
      <c r="K1862" s="83">
        <v>54.267423063293073</v>
      </c>
      <c r="L1862" s="83">
        <v>53.357829875842754</v>
      </c>
      <c r="M1862" s="83">
        <v>53.654566014043759</v>
      </c>
      <c r="N1862" s="83">
        <v>25001013.10536911</v>
      </c>
      <c r="O1862" s="83" t="s">
        <v>369</v>
      </c>
      <c r="P1862" s="84">
        <f t="shared" si="54"/>
        <v>9.6621490175734515E-3</v>
      </c>
    </row>
    <row r="1863" spans="2:16" ht="15" customHeight="1">
      <c r="B1863" s="83">
        <v>216.7231249313879</v>
      </c>
      <c r="C1863" s="83">
        <v>217.52269123772555</v>
      </c>
      <c r="D1863" s="83">
        <v>216.39787762033532</v>
      </c>
      <c r="E1863" s="83">
        <v>216.57857057092008</v>
      </c>
      <c r="F1863" s="83">
        <v>4501254.738315722</v>
      </c>
      <c r="G1863" s="83" t="s">
        <v>368</v>
      </c>
      <c r="H1863" s="84">
        <f t="shared" si="53"/>
        <v>6.6744535291163309E-4</v>
      </c>
      <c r="J1863" s="83">
        <v>53.729122832687231</v>
      </c>
      <c r="K1863" s="83">
        <v>54.296003177106407</v>
      </c>
      <c r="L1863" s="83">
        <v>53.648104423094658</v>
      </c>
      <c r="M1863" s="83">
        <v>53.680909423297784</v>
      </c>
      <c r="N1863" s="83">
        <v>26794712.225492634</v>
      </c>
      <c r="O1863" s="83" t="s">
        <v>368</v>
      </c>
      <c r="P1863" s="84">
        <f t="shared" si="54"/>
        <v>8.9814814814825894E-4</v>
      </c>
    </row>
    <row r="1864" spans="2:16" ht="15" customHeight="1">
      <c r="B1864" s="83">
        <v>216.24428861233824</v>
      </c>
      <c r="C1864" s="83">
        <v>216.45660282927537</v>
      </c>
      <c r="D1864" s="83">
        <v>214.09404250037932</v>
      </c>
      <c r="E1864" s="83">
        <v>214.09404250037932</v>
      </c>
      <c r="F1864" s="83">
        <v>5649053.8047916824</v>
      </c>
      <c r="G1864" s="83" t="s">
        <v>367</v>
      </c>
      <c r="H1864" s="84">
        <f t="shared" si="53"/>
        <v>1.0043465417563402E-2</v>
      </c>
      <c r="J1864" s="83">
        <v>53.539251467875197</v>
      </c>
      <c r="K1864" s="83">
        <v>53.683394650585896</v>
      </c>
      <c r="L1864" s="83">
        <v>52.057558958700646</v>
      </c>
      <c r="M1864" s="83">
        <v>52.198222823207999</v>
      </c>
      <c r="N1864" s="83">
        <v>29445395.336651795</v>
      </c>
      <c r="O1864" s="83" t="s">
        <v>367</v>
      </c>
      <c r="P1864" s="84">
        <f t="shared" si="54"/>
        <v>2.5691078587276373E-2</v>
      </c>
    </row>
    <row r="1865" spans="2:16" ht="15" customHeight="1">
      <c r="B1865" s="83">
        <v>213.74169124673901</v>
      </c>
      <c r="C1865" s="83">
        <v>214.47349769660735</v>
      </c>
      <c r="D1865" s="83">
        <v>212.93760761663671</v>
      </c>
      <c r="E1865" s="83">
        <v>213.30802816533551</v>
      </c>
      <c r="F1865" s="83">
        <v>2936886.0173158995</v>
      </c>
      <c r="G1865" s="83" t="s">
        <v>366</v>
      </c>
      <c r="H1865" s="84">
        <f t="shared" si="53"/>
        <v>2.0330368487928574E-3</v>
      </c>
      <c r="J1865" s="83">
        <v>51.925841912430528</v>
      </c>
      <c r="K1865" s="83">
        <v>52.265821005444742</v>
      </c>
      <c r="L1865" s="83">
        <v>51.755106797736985</v>
      </c>
      <c r="M1865" s="83">
        <v>52.03668304948048</v>
      </c>
      <c r="N1865" s="83">
        <v>23021294.782007825</v>
      </c>
      <c r="O1865" s="83" t="s">
        <v>366</v>
      </c>
      <c r="P1865" s="84">
        <f t="shared" si="54"/>
        <v>-2.1300576930423087E-3</v>
      </c>
    </row>
    <row r="1866" spans="2:16" ht="15" customHeight="1">
      <c r="B1866" s="83">
        <v>214.92523007306932</v>
      </c>
      <c r="C1866" s="83">
        <v>215.0265988183474</v>
      </c>
      <c r="D1866" s="83">
        <v>213.4345132307449</v>
      </c>
      <c r="E1866" s="83">
        <v>213.98562673002846</v>
      </c>
      <c r="F1866" s="83">
        <v>2823610.9839858292</v>
      </c>
      <c r="G1866" s="83" t="s">
        <v>365</v>
      </c>
      <c r="H1866" s="84">
        <f t="shared" si="53"/>
        <v>4.3909647456195078E-3</v>
      </c>
      <c r="J1866" s="83">
        <v>52.547148734459434</v>
      </c>
      <c r="K1866" s="83">
        <v>52.874453168304264</v>
      </c>
      <c r="L1866" s="83">
        <v>52.114222140869686</v>
      </c>
      <c r="M1866" s="83">
        <v>52.844878963575688</v>
      </c>
      <c r="N1866" s="83">
        <v>30595913.848046377</v>
      </c>
      <c r="O1866" s="83" t="s">
        <v>365</v>
      </c>
      <c r="P1866" s="84">
        <f t="shared" si="54"/>
        <v>-5.6340412724091848E-3</v>
      </c>
    </row>
    <row r="1867" spans="2:16" ht="15" customHeight="1">
      <c r="B1867" s="83">
        <v>215.02461119589097</v>
      </c>
      <c r="C1867" s="83">
        <v>215.17820020388803</v>
      </c>
      <c r="D1867" s="83">
        <v>212.17842618475478</v>
      </c>
      <c r="E1867" s="83">
        <v>212.90146902651978</v>
      </c>
      <c r="F1867" s="83">
        <v>3114125.9145911019</v>
      </c>
      <c r="G1867" s="83" t="s">
        <v>364</v>
      </c>
      <c r="H1867" s="84">
        <f t="shared" si="53"/>
        <v>9.9724167197114966E-3</v>
      </c>
      <c r="J1867" s="83">
        <v>53.200266465776217</v>
      </c>
      <c r="K1867" s="83">
        <v>53.241024193301321</v>
      </c>
      <c r="L1867" s="83">
        <v>52.572995098255838</v>
      </c>
      <c r="M1867" s="83">
        <v>53.067555328590849</v>
      </c>
      <c r="N1867" s="83">
        <v>29301565.433564328</v>
      </c>
      <c r="O1867" s="83" t="s">
        <v>364</v>
      </c>
      <c r="P1867" s="84">
        <f t="shared" si="54"/>
        <v>2.5007961336005469E-3</v>
      </c>
    </row>
    <row r="1868" spans="2:16" ht="15" customHeight="1">
      <c r="B1868" s="83">
        <v>214.13018109049628</v>
      </c>
      <c r="C1868" s="83">
        <v>214.97040331071551</v>
      </c>
      <c r="D1868" s="83">
        <v>212.72981072346423</v>
      </c>
      <c r="E1868" s="83">
        <v>213.85914166461913</v>
      </c>
      <c r="F1868" s="83">
        <v>5052742.7718969965</v>
      </c>
      <c r="G1868" s="83" t="s">
        <v>363</v>
      </c>
      <c r="H1868" s="84">
        <f t="shared" si="53"/>
        <v>1.2673735794852536E-3</v>
      </c>
      <c r="J1868" s="83">
        <v>53.415487148927042</v>
      </c>
      <c r="K1868" s="83">
        <v>53.811632378652675</v>
      </c>
      <c r="L1868" s="83">
        <v>53.004927600930337</v>
      </c>
      <c r="M1868" s="83">
        <v>53.762921923805607</v>
      </c>
      <c r="N1868" s="83">
        <v>24128014.482516773</v>
      </c>
      <c r="O1868" s="83" t="s">
        <v>363</v>
      </c>
      <c r="P1868" s="84">
        <f t="shared" si="54"/>
        <v>-6.4623491887394469E-3</v>
      </c>
    </row>
    <row r="1869" spans="2:16" ht="15" customHeight="1">
      <c r="B1869" s="83">
        <v>213.14540450980923</v>
      </c>
      <c r="C1869" s="83">
        <v>213.63327547638815</v>
      </c>
      <c r="D1869" s="83">
        <v>210.89577727502868</v>
      </c>
      <c r="E1869" s="83">
        <v>213.26285492768935</v>
      </c>
      <c r="F1869" s="83">
        <v>3925608.5957109756</v>
      </c>
      <c r="G1869" s="83" t="s">
        <v>362</v>
      </c>
      <c r="H1869" s="84">
        <f t="shared" si="53"/>
        <v>-5.5073077737777254E-4</v>
      </c>
      <c r="J1869" s="83">
        <v>53.49600851306198</v>
      </c>
      <c r="K1869" s="83">
        <v>53.907562151973927</v>
      </c>
      <c r="L1869" s="83">
        <v>52.713161917305555</v>
      </c>
      <c r="M1869" s="83">
        <v>53.487558740282381</v>
      </c>
      <c r="N1869" s="83">
        <v>35515202.340677455</v>
      </c>
      <c r="O1869" s="83" t="s">
        <v>362</v>
      </c>
      <c r="P1869" s="84">
        <f t="shared" si="54"/>
        <v>1.579764150505536E-4</v>
      </c>
    </row>
    <row r="1870" spans="2:16" ht="15" customHeight="1">
      <c r="B1870" s="83">
        <v>211.09453952067196</v>
      </c>
      <c r="C1870" s="83">
        <v>212.52201383029171</v>
      </c>
      <c r="D1870" s="83">
        <v>208.98946664635923</v>
      </c>
      <c r="E1870" s="83">
        <v>209.86582745669543</v>
      </c>
      <c r="F1870" s="83">
        <v>4102001.7527038101</v>
      </c>
      <c r="G1870" s="83" t="s">
        <v>361</v>
      </c>
      <c r="H1870" s="84">
        <f t="shared" si="53"/>
        <v>5.8547505273580658E-3</v>
      </c>
      <c r="J1870" s="83">
        <v>53.103839646997336</v>
      </c>
      <c r="K1870" s="83">
        <v>53.382677178269333</v>
      </c>
      <c r="L1870" s="83">
        <v>52.426366688257012</v>
      </c>
      <c r="M1870" s="83">
        <v>53.258420784318126</v>
      </c>
      <c r="N1870" s="83">
        <v>39873093.48881942</v>
      </c>
      <c r="O1870" s="83" t="s">
        <v>361</v>
      </c>
      <c r="P1870" s="84">
        <f t="shared" si="54"/>
        <v>-2.9024731684553773E-3</v>
      </c>
    </row>
    <row r="1871" spans="2:16" ht="15" customHeight="1">
      <c r="B1871" s="83">
        <v>209.52251085058433</v>
      </c>
      <c r="C1871" s="83">
        <v>210.16397082516031</v>
      </c>
      <c r="D1871" s="83">
        <v>205.22201862666651</v>
      </c>
      <c r="E1871" s="83">
        <v>205.57436988030685</v>
      </c>
      <c r="F1871" s="83">
        <v>5645032.6185879679</v>
      </c>
      <c r="G1871" s="83" t="s">
        <v>360</v>
      </c>
      <c r="H1871" s="84">
        <f t="shared" si="53"/>
        <v>1.9205414432627244E-2</v>
      </c>
      <c r="J1871" s="83">
        <v>53.219154193165899</v>
      </c>
      <c r="K1871" s="83">
        <v>53.225615784115</v>
      </c>
      <c r="L1871" s="83">
        <v>51.067340027569273</v>
      </c>
      <c r="M1871" s="83">
        <v>51.324416908706532</v>
      </c>
      <c r="N1871" s="83">
        <v>42126810.895989381</v>
      </c>
      <c r="O1871" s="83" t="s">
        <v>360</v>
      </c>
      <c r="P1871" s="84">
        <f t="shared" si="54"/>
        <v>3.6916878916123608E-2</v>
      </c>
    </row>
    <row r="1872" spans="2:16" ht="15" customHeight="1">
      <c r="B1872" s="83">
        <v>202.82783703141814</v>
      </c>
      <c r="C1872" s="83">
        <v>206.36941886287988</v>
      </c>
      <c r="D1872" s="83">
        <v>202.34900071236848</v>
      </c>
      <c r="E1872" s="83">
        <v>206.08031014194424</v>
      </c>
      <c r="F1872" s="83">
        <v>3685839.4189955187</v>
      </c>
      <c r="G1872" s="83" t="s">
        <v>359</v>
      </c>
      <c r="H1872" s="84">
        <f t="shared" si="53"/>
        <v>-1.5782551512494636E-2</v>
      </c>
      <c r="J1872" s="83">
        <v>50.502800767255508</v>
      </c>
      <c r="K1872" s="83">
        <v>52.536710779849344</v>
      </c>
      <c r="L1872" s="83">
        <v>50.403888721188508</v>
      </c>
      <c r="M1872" s="83">
        <v>51.742432138567587</v>
      </c>
      <c r="N1872" s="83">
        <v>37040193.643534765</v>
      </c>
      <c r="O1872" s="83" t="s">
        <v>359</v>
      </c>
      <c r="P1872" s="84">
        <f t="shared" si="54"/>
        <v>-2.3957732949087429E-2</v>
      </c>
    </row>
    <row r="1873" spans="2:16" ht="15" customHeight="1">
      <c r="B1873" s="83">
        <v>207.78785852497043</v>
      </c>
      <c r="C1873" s="83">
        <v>208.564838212485</v>
      </c>
      <c r="D1873" s="83">
        <v>204.20110345586249</v>
      </c>
      <c r="E1873" s="83">
        <v>204.34565781633034</v>
      </c>
      <c r="F1873" s="83">
        <v>5413967.7106052414</v>
      </c>
      <c r="G1873" s="83" t="s">
        <v>358</v>
      </c>
      <c r="H1873" s="84">
        <f t="shared" si="53"/>
        <v>1.6844990715359387E-2</v>
      </c>
      <c r="J1873" s="83">
        <v>51.983499185514802</v>
      </c>
      <c r="K1873" s="83">
        <v>52.305087596596962</v>
      </c>
      <c r="L1873" s="83">
        <v>50.485404176238703</v>
      </c>
      <c r="M1873" s="83">
        <v>50.528150085594291</v>
      </c>
      <c r="N1873" s="83">
        <v>30834362.863488071</v>
      </c>
      <c r="O1873" s="83" t="s">
        <v>358</v>
      </c>
      <c r="P1873" s="84">
        <f t="shared" si="54"/>
        <v>2.8802738621048984E-2</v>
      </c>
    </row>
    <row r="1874" spans="2:16" ht="15" customHeight="1">
      <c r="B1874" s="83">
        <v>207.62523486944411</v>
      </c>
      <c r="C1874" s="83">
        <v>207.76978922991194</v>
      </c>
      <c r="D1874" s="83">
        <v>205.49305805254369</v>
      </c>
      <c r="E1874" s="83">
        <v>207.17350249298218</v>
      </c>
      <c r="F1874" s="83">
        <v>7398138.0882524727</v>
      </c>
      <c r="G1874" s="83" t="s">
        <v>357</v>
      </c>
      <c r="H1874" s="84">
        <f t="shared" si="53"/>
        <v>2.18045440669834E-3</v>
      </c>
      <c r="J1874" s="83">
        <v>51.474524636908718</v>
      </c>
      <c r="K1874" s="83">
        <v>52.323975323986652</v>
      </c>
      <c r="L1874" s="83">
        <v>50.877075996845726</v>
      </c>
      <c r="M1874" s="83">
        <v>52.237489414360226</v>
      </c>
      <c r="N1874" s="83">
        <v>30052019.932804164</v>
      </c>
      <c r="O1874" s="83" t="s">
        <v>357</v>
      </c>
      <c r="P1874" s="84">
        <f t="shared" si="54"/>
        <v>-1.4605693841820977E-2</v>
      </c>
    </row>
    <row r="1875" spans="2:16" ht="15" customHeight="1">
      <c r="B1875" s="83">
        <v>205.7731321259501</v>
      </c>
      <c r="C1875" s="83">
        <v>208.76360045812825</v>
      </c>
      <c r="D1875" s="83">
        <v>204.65021578454096</v>
      </c>
      <c r="E1875" s="83">
        <v>207.18253714051141</v>
      </c>
      <c r="F1875" s="83">
        <v>8230927.6326868264</v>
      </c>
      <c r="G1875" s="83" t="s">
        <v>356</v>
      </c>
      <c r="H1875" s="84">
        <f t="shared" si="53"/>
        <v>-6.8027210884354927E-3</v>
      </c>
      <c r="J1875" s="83">
        <v>51.547590319179321</v>
      </c>
      <c r="K1875" s="83">
        <v>52.46613032486686</v>
      </c>
      <c r="L1875" s="83">
        <v>51.349766227045315</v>
      </c>
      <c r="M1875" s="83">
        <v>52.170885323038718</v>
      </c>
      <c r="N1875" s="83">
        <v>28443515.141666528</v>
      </c>
      <c r="O1875" s="83" t="s">
        <v>356</v>
      </c>
      <c r="P1875" s="84">
        <f t="shared" si="54"/>
        <v>-1.1947180884510522E-2</v>
      </c>
    </row>
    <row r="1876" spans="2:16" ht="15" customHeight="1">
      <c r="B1876" s="83">
        <v>206.03513690429804</v>
      </c>
      <c r="C1876" s="83">
        <v>206.09837943700271</v>
      </c>
      <c r="D1876" s="83">
        <v>198.40085974209097</v>
      </c>
      <c r="E1876" s="83">
        <v>201.43704339076709</v>
      </c>
      <c r="F1876" s="83">
        <v>10601808.171266505</v>
      </c>
      <c r="G1876" s="83" t="s">
        <v>355</v>
      </c>
      <c r="H1876" s="84">
        <f t="shared" si="53"/>
        <v>2.2826454539501606E-2</v>
      </c>
      <c r="J1876" s="83">
        <v>51.885581230363051</v>
      </c>
      <c r="K1876" s="83">
        <v>51.88607827582068</v>
      </c>
      <c r="L1876" s="83">
        <v>49.555432125025824</v>
      </c>
      <c r="M1876" s="83">
        <v>50.556978722136428</v>
      </c>
      <c r="N1876" s="83">
        <v>42446359.133608378</v>
      </c>
      <c r="O1876" s="83" t="s">
        <v>355</v>
      </c>
      <c r="P1876" s="84">
        <f t="shared" si="54"/>
        <v>2.6279309836307441E-2</v>
      </c>
    </row>
    <row r="1877" spans="2:16" ht="15" customHeight="1">
      <c r="B1877" s="83">
        <v>204.1378609231578</v>
      </c>
      <c r="C1877" s="83">
        <v>204.27338063609642</v>
      </c>
      <c r="D1877" s="83">
        <v>194.09133287064395</v>
      </c>
      <c r="E1877" s="83">
        <v>195.94343561413794</v>
      </c>
      <c r="F1877" s="83">
        <v>12837208.050967278</v>
      </c>
      <c r="G1877" s="83" t="s">
        <v>354</v>
      </c>
      <c r="H1877" s="84">
        <f t="shared" si="53"/>
        <v>4.1820361490224833E-2</v>
      </c>
      <c r="J1877" s="83">
        <v>51.66588713809363</v>
      </c>
      <c r="K1877" s="83">
        <v>51.692727592805277</v>
      </c>
      <c r="L1877" s="83">
        <v>48.859568484353446</v>
      </c>
      <c r="M1877" s="83">
        <v>49.158292804384949</v>
      </c>
      <c r="N1877" s="83">
        <v>47747544.285968967</v>
      </c>
      <c r="O1877" s="83" t="s">
        <v>354</v>
      </c>
      <c r="P1877" s="84">
        <f t="shared" si="54"/>
        <v>5.1010606566162187E-2</v>
      </c>
    </row>
    <row r="1878" spans="2:16" ht="15" customHeight="1">
      <c r="B1878" s="83">
        <v>194.30816441134567</v>
      </c>
      <c r="C1878" s="83">
        <v>199.48501744559968</v>
      </c>
      <c r="D1878" s="83">
        <v>194.30816441134567</v>
      </c>
      <c r="E1878" s="83">
        <v>198.52734480750036</v>
      </c>
      <c r="F1878" s="83">
        <v>9401037.4754656423</v>
      </c>
      <c r="G1878" s="83" t="s">
        <v>353</v>
      </c>
      <c r="H1878" s="84">
        <f t="shared" si="53"/>
        <v>-2.1252389187221388E-2</v>
      </c>
      <c r="J1878" s="83">
        <v>48.522571664084971</v>
      </c>
      <c r="K1878" s="83">
        <v>49.880499854311353</v>
      </c>
      <c r="L1878" s="83">
        <v>48.218876889477237</v>
      </c>
      <c r="M1878" s="83">
        <v>48.407257117916402</v>
      </c>
      <c r="N1878" s="83">
        <v>31995624.859041095</v>
      </c>
      <c r="O1878" s="83" t="s">
        <v>353</v>
      </c>
      <c r="P1878" s="84">
        <f t="shared" si="54"/>
        <v>2.382174761269118E-3</v>
      </c>
    </row>
    <row r="1879" spans="2:16" ht="15" customHeight="1">
      <c r="B1879" s="83">
        <v>199.81026475665229</v>
      </c>
      <c r="C1879" s="83">
        <v>207.30902220592077</v>
      </c>
      <c r="D1879" s="83">
        <v>199.27722055242717</v>
      </c>
      <c r="E1879" s="83">
        <v>204.85159807796774</v>
      </c>
      <c r="F1879" s="83">
        <v>13073617.937804321</v>
      </c>
      <c r="G1879" s="83" t="s">
        <v>352</v>
      </c>
      <c r="H1879" s="84">
        <f t="shared" si="53"/>
        <v>-2.4609685101878886E-2</v>
      </c>
      <c r="J1879" s="83">
        <v>48.687590756015844</v>
      </c>
      <c r="K1879" s="83">
        <v>50.898448951523513</v>
      </c>
      <c r="L1879" s="83">
        <v>48.396819163306319</v>
      </c>
      <c r="M1879" s="83">
        <v>50.465025312476151</v>
      </c>
      <c r="N1879" s="83">
        <v>92464198.787321389</v>
      </c>
      <c r="O1879" s="83" t="s">
        <v>352</v>
      </c>
      <c r="P1879" s="84">
        <f t="shared" si="54"/>
        <v>-3.5221116911257844E-2</v>
      </c>
    </row>
    <row r="1880" spans="2:16" ht="15" customHeight="1">
      <c r="B1880" s="83">
        <v>203.86682149728065</v>
      </c>
      <c r="C1880" s="83">
        <v>207.70654669720727</v>
      </c>
      <c r="D1880" s="83">
        <v>201.96051086861118</v>
      </c>
      <c r="E1880" s="83">
        <v>206.30617633017522</v>
      </c>
      <c r="F1880" s="83">
        <v>13439233.750630414</v>
      </c>
      <c r="G1880" s="83" t="s">
        <v>351</v>
      </c>
      <c r="H1880" s="84">
        <f t="shared" si="53"/>
        <v>-1.1823954455879138E-2</v>
      </c>
      <c r="J1880" s="83">
        <v>50.172265537936127</v>
      </c>
      <c r="K1880" s="83">
        <v>51.405435318299105</v>
      </c>
      <c r="L1880" s="83">
        <v>49.523621215737947</v>
      </c>
      <c r="M1880" s="83">
        <v>50.605689176983496</v>
      </c>
      <c r="N1880" s="83">
        <v>53787112.607054293</v>
      </c>
      <c r="O1880" s="83" t="s">
        <v>351</v>
      </c>
      <c r="P1880" s="84">
        <f t="shared" si="54"/>
        <v>-8.5647215974384849E-3</v>
      </c>
    </row>
    <row r="1881" spans="2:16" ht="15" customHeight="1">
      <c r="B1881" s="83">
        <v>207.27288361580378</v>
      </c>
      <c r="C1881" s="83">
        <v>214.12114644296705</v>
      </c>
      <c r="D1881" s="83">
        <v>205.79120142100859</v>
      </c>
      <c r="E1881" s="83">
        <v>210.69701502938543</v>
      </c>
      <c r="F1881" s="83">
        <v>9093389.6130554434</v>
      </c>
      <c r="G1881" s="83" t="s">
        <v>350</v>
      </c>
      <c r="H1881" s="84">
        <f t="shared" si="53"/>
        <v>-1.6251447193516677E-2</v>
      </c>
      <c r="J1881" s="83">
        <v>50.848247360303581</v>
      </c>
      <c r="K1881" s="83">
        <v>52.786227599576158</v>
      </c>
      <c r="L1881" s="83">
        <v>50.104667355699377</v>
      </c>
      <c r="M1881" s="83">
        <v>51.394003272773773</v>
      </c>
      <c r="N1881" s="83">
        <v>49881514.094429091</v>
      </c>
      <c r="O1881" s="83" t="s">
        <v>350</v>
      </c>
      <c r="P1881" s="84">
        <f t="shared" si="54"/>
        <v>-1.0619058211394639E-2</v>
      </c>
    </row>
    <row r="1882" spans="2:16" ht="15" customHeight="1">
      <c r="B1882" s="83">
        <v>210.63377249668073</v>
      </c>
      <c r="C1882" s="83">
        <v>212.92857296910748</v>
      </c>
      <c r="D1882" s="83">
        <v>209.13311754207413</v>
      </c>
      <c r="E1882" s="83">
        <v>212.31421693711923</v>
      </c>
      <c r="F1882" s="83">
        <v>5192672.967945992</v>
      </c>
      <c r="G1882" s="83" t="s">
        <v>349</v>
      </c>
      <c r="H1882" s="84">
        <f t="shared" si="53"/>
        <v>-7.9148936170213569E-3</v>
      </c>
      <c r="J1882" s="83">
        <v>51.131563271148764</v>
      </c>
      <c r="K1882" s="83">
        <v>52.163926686632003</v>
      </c>
      <c r="L1882" s="83">
        <v>50.770211223456755</v>
      </c>
      <c r="M1882" s="83">
        <v>51.001337361251501</v>
      </c>
      <c r="N1882" s="83">
        <v>44111317.51378832</v>
      </c>
      <c r="O1882" s="83" t="s">
        <v>349</v>
      </c>
      <c r="P1882" s="84">
        <f t="shared" si="54"/>
        <v>2.5533822569170361E-3</v>
      </c>
    </row>
    <row r="1883" spans="2:16" ht="15" customHeight="1">
      <c r="B1883" s="83">
        <v>210.71508432444389</v>
      </c>
      <c r="C1883" s="83">
        <v>215.22337344153422</v>
      </c>
      <c r="D1883" s="83">
        <v>209.31471395741184</v>
      </c>
      <c r="E1883" s="83">
        <v>214.17535432814248</v>
      </c>
      <c r="F1883" s="83">
        <v>6781878.2970452225</v>
      </c>
      <c r="G1883" s="83" t="s">
        <v>348</v>
      </c>
      <c r="H1883" s="84">
        <f t="shared" si="53"/>
        <v>-1.6156247363536713E-2</v>
      </c>
      <c r="J1883" s="83">
        <v>50.526161903763793</v>
      </c>
      <c r="K1883" s="83">
        <v>52.346342369579695</v>
      </c>
      <c r="L1883" s="83">
        <v>50.097211673835034</v>
      </c>
      <c r="M1883" s="83">
        <v>51.568963273857115</v>
      </c>
      <c r="N1883" s="83">
        <v>47990862.071385086</v>
      </c>
      <c r="O1883" s="83" t="s">
        <v>348</v>
      </c>
      <c r="P1883" s="84">
        <f t="shared" si="54"/>
        <v>-2.0221491841042494E-2</v>
      </c>
    </row>
    <row r="1884" spans="2:16" ht="15" customHeight="1">
      <c r="B1884" s="83">
        <v>215.10682648840702</v>
      </c>
      <c r="C1884" s="83">
        <v>218.02727592481492</v>
      </c>
      <c r="D1884" s="83">
        <v>214.55868059418896</v>
      </c>
      <c r="E1884" s="83">
        <v>217.14664809475963</v>
      </c>
      <c r="F1884" s="83">
        <v>5662787.6496780934</v>
      </c>
      <c r="G1884" s="83" t="s">
        <v>347</v>
      </c>
      <c r="H1884" s="84">
        <f t="shared" si="53"/>
        <v>-9.3937512931926426E-3</v>
      </c>
      <c r="J1884" s="83">
        <v>51.797107138906128</v>
      </c>
      <c r="K1884" s="83">
        <v>52.816050327033537</v>
      </c>
      <c r="L1884" s="83">
        <v>51.731994183957497</v>
      </c>
      <c r="M1884" s="83">
        <v>52.188778959513158</v>
      </c>
      <c r="N1884" s="83">
        <v>33932892.336757593</v>
      </c>
      <c r="O1884" s="83" t="s">
        <v>347</v>
      </c>
      <c r="P1884" s="84">
        <f t="shared" si="54"/>
        <v>-7.5049048553307296E-3</v>
      </c>
    </row>
    <row r="1885" spans="2:16" ht="15" customHeight="1">
      <c r="B1885" s="83">
        <v>219.15052570804875</v>
      </c>
      <c r="C1885" s="83">
        <v>220.83989338203239</v>
      </c>
      <c r="D1885" s="83">
        <v>218.09017791267601</v>
      </c>
      <c r="E1885" s="83">
        <v>220.03115353810406</v>
      </c>
      <c r="F1885" s="83">
        <v>2905370.0242920085</v>
      </c>
      <c r="G1885" s="83" t="s">
        <v>346</v>
      </c>
      <c r="H1885" s="84">
        <f t="shared" si="53"/>
        <v>-4.0022870211550154E-3</v>
      </c>
      <c r="J1885" s="83">
        <v>52.781257144999927</v>
      </c>
      <c r="K1885" s="83">
        <v>53.668965420951103</v>
      </c>
      <c r="L1885" s="83">
        <v>52.385111915274294</v>
      </c>
      <c r="M1885" s="83">
        <v>53.087934192353394</v>
      </c>
      <c r="N1885" s="83">
        <v>26753448.394015171</v>
      </c>
      <c r="O1885" s="83" t="s">
        <v>346</v>
      </c>
      <c r="P1885" s="84">
        <f t="shared" si="54"/>
        <v>-5.7767749304820093E-3</v>
      </c>
    </row>
    <row r="1886" spans="2:16" ht="15" customHeight="1">
      <c r="B1886" s="83">
        <v>219.22241369417571</v>
      </c>
      <c r="C1886" s="83">
        <v>222.09793313925425</v>
      </c>
      <c r="D1886" s="83">
        <v>219.12356771325113</v>
      </c>
      <c r="E1886" s="83">
        <v>220.87583737509587</v>
      </c>
      <c r="F1886" s="83">
        <v>4581608.9411421558</v>
      </c>
      <c r="G1886" s="83" t="s">
        <v>345</v>
      </c>
      <c r="H1886" s="84">
        <f t="shared" si="53"/>
        <v>-7.485760781122841E-3</v>
      </c>
      <c r="J1886" s="83">
        <v>52.869731236456843</v>
      </c>
      <c r="K1886" s="83">
        <v>53.762921923805607</v>
      </c>
      <c r="L1886" s="83">
        <v>52.825494190728378</v>
      </c>
      <c r="M1886" s="83">
        <v>53.084454874150033</v>
      </c>
      <c r="N1886" s="83">
        <v>30657236.207063109</v>
      </c>
      <c r="O1886" s="83" t="s">
        <v>345</v>
      </c>
      <c r="P1886" s="84">
        <f t="shared" si="54"/>
        <v>-4.044943820224689E-3</v>
      </c>
    </row>
    <row r="1887" spans="2:16" ht="15" customHeight="1">
      <c r="B1887" s="83">
        <v>218.01828992654907</v>
      </c>
      <c r="C1887" s="83">
        <v>221.16338931960374</v>
      </c>
      <c r="D1887" s="83">
        <v>216.73329217452959</v>
      </c>
      <c r="E1887" s="83">
        <v>221.0106273490839</v>
      </c>
      <c r="F1887" s="83">
        <v>5055836.7201731373</v>
      </c>
      <c r="G1887" s="83" t="s">
        <v>344</v>
      </c>
      <c r="H1887" s="84">
        <f t="shared" si="53"/>
        <v>-1.3539337263671292E-2</v>
      </c>
      <c r="J1887" s="83">
        <v>52.276756005512446</v>
      </c>
      <c r="K1887" s="83">
        <v>52.716641235508916</v>
      </c>
      <c r="L1887" s="83">
        <v>51.684774865483298</v>
      </c>
      <c r="M1887" s="83">
        <v>52.512355552425809</v>
      </c>
      <c r="N1887" s="83">
        <v>28060431.467769697</v>
      </c>
      <c r="O1887" s="83" t="s">
        <v>344</v>
      </c>
      <c r="P1887" s="84">
        <f t="shared" si="54"/>
        <v>-4.4865545343543145E-3</v>
      </c>
    </row>
    <row r="1888" spans="2:16" ht="15" customHeight="1">
      <c r="B1888" s="83">
        <v>217.95538793868798</v>
      </c>
      <c r="C1888" s="83">
        <v>218.9168897531361</v>
      </c>
      <c r="D1888" s="83">
        <v>213.52529079361383</v>
      </c>
      <c r="E1888" s="83">
        <v>217.46115803406511</v>
      </c>
      <c r="F1888" s="83">
        <v>6658917.3767444175</v>
      </c>
      <c r="G1888" s="83" t="s">
        <v>343</v>
      </c>
      <c r="H1888" s="84">
        <f t="shared" si="53"/>
        <v>2.2727272727272041E-3</v>
      </c>
      <c r="J1888" s="83">
        <v>51.670360547212233</v>
      </c>
      <c r="K1888" s="83">
        <v>52.112731004496823</v>
      </c>
      <c r="L1888" s="83">
        <v>50.862164633117025</v>
      </c>
      <c r="M1888" s="83">
        <v>51.446690091281823</v>
      </c>
      <c r="N1888" s="83">
        <v>36369409.925694615</v>
      </c>
      <c r="O1888" s="83" t="s">
        <v>343</v>
      </c>
      <c r="P1888" s="84">
        <f t="shared" si="54"/>
        <v>4.3476160571953582E-3</v>
      </c>
    </row>
    <row r="1889" spans="2:16" ht="15" customHeight="1">
      <c r="B1889" s="83">
        <v>217.69479398897772</v>
      </c>
      <c r="C1889" s="83">
        <v>223.96702077855531</v>
      </c>
      <c r="D1889" s="83">
        <v>216.89504014331527</v>
      </c>
      <c r="E1889" s="83">
        <v>222.52027505775015</v>
      </c>
      <c r="F1889" s="83">
        <v>4371660.0913671162</v>
      </c>
      <c r="G1889" s="83" t="s">
        <v>342</v>
      </c>
      <c r="H1889" s="84">
        <f t="shared" si="53"/>
        <v>-2.1685579291685131E-2</v>
      </c>
      <c r="J1889" s="83">
        <v>51.522738046298159</v>
      </c>
      <c r="K1889" s="83">
        <v>53.445309876384421</v>
      </c>
      <c r="L1889" s="83">
        <v>51.121125316538681</v>
      </c>
      <c r="M1889" s="83">
        <v>52.687315553509151</v>
      </c>
      <c r="N1889" s="83">
        <v>42273920.177200116</v>
      </c>
      <c r="O1889" s="83" t="s">
        <v>342</v>
      </c>
      <c r="P1889" s="84">
        <f t="shared" si="54"/>
        <v>-2.2103565060707098E-2</v>
      </c>
    </row>
    <row r="1890" spans="2:16" ht="15" customHeight="1">
      <c r="B1890" s="83">
        <v>222.87072899011912</v>
      </c>
      <c r="C1890" s="83">
        <v>222.93363097798021</v>
      </c>
      <c r="D1890" s="83">
        <v>216.67946604491704</v>
      </c>
      <c r="E1890" s="83">
        <v>219.63576961440575</v>
      </c>
      <c r="F1890" s="83">
        <v>8583059.7467324138</v>
      </c>
      <c r="G1890" s="83" t="s">
        <v>341</v>
      </c>
      <c r="H1890" s="84">
        <f t="shared" si="53"/>
        <v>1.4728745601833015E-2</v>
      </c>
      <c r="J1890" s="83">
        <v>53.12073919255652</v>
      </c>
      <c r="K1890" s="83">
        <v>53.243509420589433</v>
      </c>
      <c r="L1890" s="83">
        <v>51.2339596058737</v>
      </c>
      <c r="M1890" s="83">
        <v>51.407423500129596</v>
      </c>
      <c r="N1890" s="83">
        <v>55713717.076149121</v>
      </c>
      <c r="O1890" s="83" t="s">
        <v>341</v>
      </c>
      <c r="P1890" s="84">
        <f t="shared" si="54"/>
        <v>3.3328176667375864E-2</v>
      </c>
    </row>
    <row r="1891" spans="2:16" ht="15" customHeight="1">
      <c r="B1891" s="83">
        <v>223.43684688086896</v>
      </c>
      <c r="C1891" s="83">
        <v>230.28417755946222</v>
      </c>
      <c r="D1891" s="83">
        <v>222.9066729831826</v>
      </c>
      <c r="E1891" s="83">
        <v>229.90676563229567</v>
      </c>
      <c r="F1891" s="83">
        <v>4270384.7546628481</v>
      </c>
      <c r="G1891" s="83" t="s">
        <v>340</v>
      </c>
      <c r="H1891" s="84">
        <f t="shared" si="53"/>
        <v>-2.8141489153800991E-2</v>
      </c>
      <c r="J1891" s="83">
        <v>52.230530777953497</v>
      </c>
      <c r="K1891" s="83">
        <v>54.894694430813466</v>
      </c>
      <c r="L1891" s="83">
        <v>52.188778959513158</v>
      </c>
      <c r="M1891" s="83">
        <v>54.830078521322449</v>
      </c>
      <c r="N1891" s="83">
        <v>47182123.164641485</v>
      </c>
      <c r="O1891" s="83" t="s">
        <v>340</v>
      </c>
      <c r="P1891" s="84">
        <f t="shared" si="54"/>
        <v>-4.7410979766480454E-2</v>
      </c>
    </row>
    <row r="1892" spans="2:16" ht="15" customHeight="1">
      <c r="B1892" s="83">
        <v>230.58970150050186</v>
      </c>
      <c r="C1892" s="83">
        <v>231.60511930454521</v>
      </c>
      <c r="D1892" s="83">
        <v>229.1968717692919</v>
      </c>
      <c r="E1892" s="83">
        <v>231.52424532015235</v>
      </c>
      <c r="F1892" s="83">
        <v>4387597.1075742003</v>
      </c>
      <c r="G1892" s="83" t="s">
        <v>339</v>
      </c>
      <c r="H1892" s="84">
        <f t="shared" si="53"/>
        <v>-4.0364836017852124E-3</v>
      </c>
      <c r="J1892" s="83">
        <v>54.994600567795715</v>
      </c>
      <c r="K1892" s="83">
        <v>55.900217391585052</v>
      </c>
      <c r="L1892" s="83">
        <v>54.85714264649004</v>
      </c>
      <c r="M1892" s="83">
        <v>55.825163527483966</v>
      </c>
      <c r="N1892" s="83">
        <v>40051829.65597973</v>
      </c>
      <c r="O1892" s="83" t="s">
        <v>339</v>
      </c>
      <c r="P1892" s="84">
        <f t="shared" si="54"/>
        <v>-1.4877931513435638E-2</v>
      </c>
    </row>
    <row r="1893" spans="2:16" ht="15" customHeight="1">
      <c r="B1893" s="83">
        <v>227.77708404328436</v>
      </c>
      <c r="C1893" s="83">
        <v>228.19043996351442</v>
      </c>
      <c r="D1893" s="83">
        <v>225.86306641265398</v>
      </c>
      <c r="E1893" s="83">
        <v>226.12366036236421</v>
      </c>
      <c r="F1893" s="83">
        <v>3330461.3593869833</v>
      </c>
      <c r="G1893" s="83" t="s">
        <v>338</v>
      </c>
      <c r="H1893" s="84">
        <f t="shared" si="53"/>
        <v>7.312033063106016E-3</v>
      </c>
      <c r="J1893" s="83">
        <v>54.398146018647964</v>
      </c>
      <c r="K1893" s="83">
        <v>54.454809200816989</v>
      </c>
      <c r="L1893" s="83">
        <v>53.575535786281691</v>
      </c>
      <c r="M1893" s="83">
        <v>54.131729653361958</v>
      </c>
      <c r="N1893" s="83">
        <v>51919033.972073533</v>
      </c>
      <c r="O1893" s="83" t="s">
        <v>338</v>
      </c>
      <c r="P1893" s="84">
        <f t="shared" si="54"/>
        <v>4.9216303818855334E-3</v>
      </c>
    </row>
    <row r="1894" spans="2:16" ht="15" customHeight="1">
      <c r="B1894" s="83">
        <v>226.27642233288401</v>
      </c>
      <c r="C1894" s="83">
        <v>227.57040608316936</v>
      </c>
      <c r="D1894" s="83">
        <v>224.97345258433282</v>
      </c>
      <c r="E1894" s="83">
        <v>226.0338003797055</v>
      </c>
      <c r="F1894" s="83">
        <v>3649474.3299200139</v>
      </c>
      <c r="G1894" s="83" t="s">
        <v>337</v>
      </c>
      <c r="H1894" s="84">
        <f t="shared" si="53"/>
        <v>1.0733879303490568E-3</v>
      </c>
      <c r="J1894" s="83">
        <v>54.09345715312498</v>
      </c>
      <c r="K1894" s="83">
        <v>54.388950677681926</v>
      </c>
      <c r="L1894" s="83">
        <v>53.482091240248536</v>
      </c>
      <c r="M1894" s="83">
        <v>53.486067603909518</v>
      </c>
      <c r="N1894" s="83">
        <v>29551804.115142439</v>
      </c>
      <c r="O1894" s="83" t="s">
        <v>337</v>
      </c>
      <c r="P1894" s="84">
        <f t="shared" si="54"/>
        <v>1.1356033008698141E-2</v>
      </c>
    </row>
    <row r="1895" spans="2:16" ht="15" customHeight="1">
      <c r="B1895" s="83">
        <v>226.7436942427093</v>
      </c>
      <c r="C1895" s="83">
        <v>226.7436942427093</v>
      </c>
      <c r="D1895" s="83">
        <v>221.72950721035357</v>
      </c>
      <c r="E1895" s="83">
        <v>222.60114904214299</v>
      </c>
      <c r="F1895" s="83">
        <v>4143401.6453589136</v>
      </c>
      <c r="G1895" s="83" t="s">
        <v>336</v>
      </c>
      <c r="H1895" s="84">
        <f t="shared" si="53"/>
        <v>1.8609720652349448E-2</v>
      </c>
      <c r="J1895" s="83">
        <v>53.990568743396992</v>
      </c>
      <c r="K1895" s="83">
        <v>54.020888516311999</v>
      </c>
      <c r="L1895" s="83">
        <v>51.481980318773068</v>
      </c>
      <c r="M1895" s="83">
        <v>52.128139413683137</v>
      </c>
      <c r="N1895" s="83">
        <v>49802668.187281273</v>
      </c>
      <c r="O1895" s="83" t="s">
        <v>336</v>
      </c>
      <c r="P1895" s="84">
        <f t="shared" si="54"/>
        <v>3.5727907242839141E-2</v>
      </c>
    </row>
    <row r="1896" spans="2:16" ht="15" customHeight="1">
      <c r="B1896" s="83">
        <v>221.5677592415679</v>
      </c>
      <c r="C1896" s="83">
        <v>221.59471723636551</v>
      </c>
      <c r="D1896" s="83">
        <v>219.36618966642965</v>
      </c>
      <c r="E1896" s="83">
        <v>219.91433556064771</v>
      </c>
      <c r="F1896" s="83">
        <v>3171301.5245323456</v>
      </c>
      <c r="G1896" s="83" t="s">
        <v>335</v>
      </c>
      <c r="H1896" s="84">
        <f t="shared" si="53"/>
        <v>7.5184897642299742E-3</v>
      </c>
      <c r="J1896" s="83">
        <v>51.911924639617077</v>
      </c>
      <c r="K1896" s="83">
        <v>52.56653350730673</v>
      </c>
      <c r="L1896" s="83">
        <v>51.617673728704183</v>
      </c>
      <c r="M1896" s="83">
        <v>51.742432138567587</v>
      </c>
      <c r="N1896" s="83">
        <v>36277647.694895633</v>
      </c>
      <c r="O1896" s="83" t="s">
        <v>335</v>
      </c>
      <c r="P1896" s="84">
        <f t="shared" si="54"/>
        <v>3.2756964457252291E-3</v>
      </c>
    </row>
    <row r="1897" spans="2:16" ht="15" customHeight="1">
      <c r="B1897" s="83">
        <v>220.87583737509587</v>
      </c>
      <c r="C1897" s="83">
        <v>220.91178136815935</v>
      </c>
      <c r="D1897" s="83">
        <v>219.12356771325113</v>
      </c>
      <c r="E1897" s="83">
        <v>219.4650356473542</v>
      </c>
      <c r="F1897" s="83">
        <v>2780470.1559865833</v>
      </c>
      <c r="G1897" s="83" t="s">
        <v>334</v>
      </c>
      <c r="H1897" s="84">
        <f t="shared" si="53"/>
        <v>6.4283667035172076E-3</v>
      </c>
      <c r="J1897" s="83">
        <v>52.121180777276408</v>
      </c>
      <c r="K1897" s="83">
        <v>52.155476913852404</v>
      </c>
      <c r="L1897" s="83">
        <v>51.390026909112791</v>
      </c>
      <c r="M1897" s="83">
        <v>51.610715092297454</v>
      </c>
      <c r="N1897" s="83">
        <v>39087410.823359668</v>
      </c>
      <c r="O1897" s="83" t="s">
        <v>334</v>
      </c>
      <c r="P1897" s="84">
        <f t="shared" si="54"/>
        <v>9.8906919632109069E-3</v>
      </c>
    </row>
    <row r="1898" spans="2:16" ht="15" customHeight="1">
      <c r="B1898" s="83">
        <v>217.47014403233095</v>
      </c>
      <c r="C1898" s="83">
        <v>218.67058354066859</v>
      </c>
      <c r="D1898" s="83">
        <v>217.21853608088659</v>
      </c>
      <c r="E1898" s="83">
        <v>217.28143806874769</v>
      </c>
      <c r="F1898" s="83">
        <v>924671.88999564224</v>
      </c>
      <c r="G1898" s="83" t="s">
        <v>333</v>
      </c>
      <c r="H1898" s="84">
        <f t="shared" si="53"/>
        <v>8.6848635235714511E-4</v>
      </c>
      <c r="J1898" s="83">
        <v>50.891490315116791</v>
      </c>
      <c r="K1898" s="83">
        <v>51.572939637518097</v>
      </c>
      <c r="L1898" s="83">
        <v>50.81788782375196</v>
      </c>
      <c r="M1898" s="83">
        <v>51.195682135182146</v>
      </c>
      <c r="N1898" s="83">
        <v>13911443.901058318</v>
      </c>
      <c r="O1898" s="83" t="s">
        <v>333</v>
      </c>
      <c r="P1898" s="84">
        <f t="shared" si="54"/>
        <v>-5.9417475728155145E-3</v>
      </c>
    </row>
    <row r="1899" spans="2:16" ht="15" customHeight="1">
      <c r="B1899" s="83">
        <v>218.88094576007265</v>
      </c>
      <c r="C1899" s="83">
        <v>220.55234143752452</v>
      </c>
      <c r="D1899" s="83">
        <v>218.82702977047742</v>
      </c>
      <c r="E1899" s="83">
        <v>219.4740216456201</v>
      </c>
      <c r="F1899" s="83">
        <v>2699192.5974571137</v>
      </c>
      <c r="G1899" s="83" t="s">
        <v>332</v>
      </c>
      <c r="H1899" s="84">
        <f t="shared" si="53"/>
        <v>-2.702260072060314E-3</v>
      </c>
      <c r="J1899" s="83">
        <v>51.573933728433346</v>
      </c>
      <c r="K1899" s="83">
        <v>52.118198504530667</v>
      </c>
      <c r="L1899" s="83">
        <v>51.368156908977376</v>
      </c>
      <c r="M1899" s="83">
        <v>51.531684864535379</v>
      </c>
      <c r="N1899" s="83">
        <v>30867880.924551677</v>
      </c>
      <c r="O1899" s="83" t="s">
        <v>332</v>
      </c>
      <c r="P1899" s="84">
        <f t="shared" si="54"/>
        <v>8.1986187738736227E-4</v>
      </c>
    </row>
    <row r="1900" spans="2:16" ht="15" customHeight="1">
      <c r="B1900" s="83">
        <v>218.15307990053714</v>
      </c>
      <c r="C1900" s="83">
        <v>220.44450945833407</v>
      </c>
      <c r="D1900" s="83">
        <v>217.3083960635453</v>
      </c>
      <c r="E1900" s="83">
        <v>219.11458171498526</v>
      </c>
      <c r="F1900" s="83">
        <v>5565254.8020112133</v>
      </c>
      <c r="G1900" s="83" t="s">
        <v>331</v>
      </c>
      <c r="H1900" s="84">
        <f t="shared" si="53"/>
        <v>-4.3881233595799429E-3</v>
      </c>
      <c r="J1900" s="83">
        <v>50.984934861149938</v>
      </c>
      <c r="K1900" s="83">
        <v>51.282168044808571</v>
      </c>
      <c r="L1900" s="83">
        <v>49.506721670178756</v>
      </c>
      <c r="M1900" s="83">
        <v>49.704545762312762</v>
      </c>
      <c r="N1900" s="83">
        <v>49273762.840761982</v>
      </c>
      <c r="O1900" s="83" t="s">
        <v>331</v>
      </c>
      <c r="P1900" s="84">
        <f t="shared" si="54"/>
        <v>2.5760000000000005E-2</v>
      </c>
    </row>
    <row r="1901" spans="2:16" ht="15" customHeight="1">
      <c r="B1901" s="83">
        <v>222.24170911150819</v>
      </c>
      <c r="C1901" s="83">
        <v>225.73276943779885</v>
      </c>
      <c r="D1901" s="83">
        <v>221.37006727971874</v>
      </c>
      <c r="E1901" s="83">
        <v>225.49464048375327</v>
      </c>
      <c r="F1901" s="83">
        <v>3309364.0929074157</v>
      </c>
      <c r="G1901" s="83" t="s">
        <v>330</v>
      </c>
      <c r="H1901" s="84">
        <f t="shared" si="53"/>
        <v>-1.4425759145612393E-2</v>
      </c>
      <c r="J1901" s="83">
        <v>50.698636677559023</v>
      </c>
      <c r="K1901" s="83">
        <v>52.726085099203758</v>
      </c>
      <c r="L1901" s="83">
        <v>50.512746646862546</v>
      </c>
      <c r="M1901" s="83">
        <v>52.547645779917055</v>
      </c>
      <c r="N1901" s="83">
        <v>37393239.823333181</v>
      </c>
      <c r="O1901" s="83" t="s">
        <v>330</v>
      </c>
      <c r="P1901" s="84">
        <f t="shared" si="54"/>
        <v>-3.518728717366626E-2</v>
      </c>
    </row>
    <row r="1902" spans="2:16" ht="15" customHeight="1">
      <c r="B1902" s="83">
        <v>225.98887038837617</v>
      </c>
      <c r="C1902" s="83">
        <v>226.86949821843146</v>
      </c>
      <c r="D1902" s="83">
        <v>223.98499277508705</v>
      </c>
      <c r="E1902" s="83">
        <v>224.44327868664644</v>
      </c>
      <c r="F1902" s="83">
        <v>2607144.950047527</v>
      </c>
      <c r="G1902" s="83" t="s">
        <v>329</v>
      </c>
      <c r="H1902" s="84">
        <f t="shared" si="53"/>
        <v>6.8863354285944034E-3</v>
      </c>
      <c r="J1902" s="83">
        <v>52.760878281237375</v>
      </c>
      <c r="K1902" s="83">
        <v>53.034750328387716</v>
      </c>
      <c r="L1902" s="83">
        <v>52.139074413750848</v>
      </c>
      <c r="M1902" s="83">
        <v>52.657492826051772</v>
      </c>
      <c r="N1902" s="83">
        <v>33359443.78063757</v>
      </c>
      <c r="O1902" s="83" t="s">
        <v>329</v>
      </c>
      <c r="P1902" s="84">
        <f t="shared" si="54"/>
        <v>1.9633569628376701E-3</v>
      </c>
    </row>
    <row r="1903" spans="2:16" ht="15" customHeight="1">
      <c r="B1903" s="83">
        <v>225.41376649936043</v>
      </c>
      <c r="C1903" s="83">
        <v>225.89901040571743</v>
      </c>
      <c r="D1903" s="83">
        <v>222.19111794127133</v>
      </c>
      <c r="E1903" s="83">
        <v>221.97212916353209</v>
      </c>
      <c r="F1903" s="83">
        <v>3086839.0110147693</v>
      </c>
      <c r="G1903" s="83" t="s">
        <v>328</v>
      </c>
      <c r="H1903" s="84">
        <f t="shared" si="53"/>
        <v>1.5504817423690254E-2</v>
      </c>
      <c r="J1903" s="83">
        <v>52.920926918592023</v>
      </c>
      <c r="K1903" s="83">
        <v>53.275817375334931</v>
      </c>
      <c r="L1903" s="83">
        <v>51.284156226639062</v>
      </c>
      <c r="M1903" s="83">
        <v>51.92683600334577</v>
      </c>
      <c r="N1903" s="83">
        <v>36939961.362491012</v>
      </c>
      <c r="O1903" s="83" t="s">
        <v>328</v>
      </c>
      <c r="P1903" s="84">
        <f t="shared" si="54"/>
        <v>1.9144068688918381E-2</v>
      </c>
    </row>
    <row r="1904" spans="2:16" ht="15" customHeight="1">
      <c r="B1904" s="83">
        <v>223.10436494503173</v>
      </c>
      <c r="C1904" s="83">
        <v>226.75268024097514</v>
      </c>
      <c r="D1904" s="83">
        <v>221.64863322596074</v>
      </c>
      <c r="E1904" s="83">
        <v>226.41121230687207</v>
      </c>
      <c r="F1904" s="83">
        <v>4028350.4324150332</v>
      </c>
      <c r="G1904" s="83" t="s">
        <v>327</v>
      </c>
      <c r="H1904" s="84">
        <f t="shared" ref="H1904:H1931" si="55">B1904/E1904-1</f>
        <v>-1.4605492935386599E-2</v>
      </c>
      <c r="J1904" s="83">
        <v>51.87464623029534</v>
      </c>
      <c r="K1904" s="83">
        <v>52.416639508651329</v>
      </c>
      <c r="L1904" s="83">
        <v>51.245386680944463</v>
      </c>
      <c r="M1904" s="83">
        <v>52.1897730504284</v>
      </c>
      <c r="N1904" s="83">
        <v>31505066.105791453</v>
      </c>
      <c r="O1904" s="83" t="s">
        <v>327</v>
      </c>
      <c r="P1904" s="84">
        <f t="shared" ref="P1904:P1931" si="56">J1904/M1904-1</f>
        <v>-6.0380952380951758E-3</v>
      </c>
    </row>
    <row r="1905" spans="2:16" ht="15" customHeight="1">
      <c r="B1905" s="83">
        <v>224.6409706484956</v>
      </c>
      <c r="C1905" s="83">
        <v>227.35474212478846</v>
      </c>
      <c r="D1905" s="83">
        <v>224.00296477161879</v>
      </c>
      <c r="E1905" s="83">
        <v>225.51261248028504</v>
      </c>
      <c r="F1905" s="83">
        <v>3446474.0681763296</v>
      </c>
      <c r="G1905" s="83" t="s">
        <v>326</v>
      </c>
      <c r="H1905" s="84">
        <f t="shared" si="55"/>
        <v>-3.8651577940708171E-3</v>
      </c>
      <c r="J1905" s="83">
        <v>51.496394637044141</v>
      </c>
      <c r="K1905" s="83">
        <v>52.518071575188479</v>
      </c>
      <c r="L1905" s="83">
        <v>51.252842362808813</v>
      </c>
      <c r="M1905" s="83">
        <v>51.856255548363279</v>
      </c>
      <c r="N1905" s="83">
        <v>30453995.238957137</v>
      </c>
      <c r="O1905" s="83" t="s">
        <v>326</v>
      </c>
      <c r="P1905" s="84">
        <f t="shared" si="56"/>
        <v>-6.939585350190125E-3</v>
      </c>
    </row>
    <row r="1906" spans="2:16" ht="15" customHeight="1">
      <c r="B1906" s="83">
        <v>225.01838257566214</v>
      </c>
      <c r="C1906" s="83">
        <v>229.10701178663322</v>
      </c>
      <c r="D1906" s="83">
        <v>224.60502665543211</v>
      </c>
      <c r="E1906" s="83">
        <v>228.86438983345471</v>
      </c>
      <c r="F1906" s="83">
        <v>3016429.4714978249</v>
      </c>
      <c r="G1906" s="83" t="s">
        <v>325</v>
      </c>
      <c r="H1906" s="84">
        <f t="shared" si="55"/>
        <v>-1.6804743020927493E-2</v>
      </c>
      <c r="J1906" s="83">
        <v>51.624632365110912</v>
      </c>
      <c r="K1906" s="83">
        <v>52.792192145067631</v>
      </c>
      <c r="L1906" s="83">
        <v>51.245386680944463</v>
      </c>
      <c r="M1906" s="83">
        <v>52.755907826661151</v>
      </c>
      <c r="N1906" s="83">
        <v>29610128.760414585</v>
      </c>
      <c r="O1906" s="83" t="s">
        <v>325</v>
      </c>
      <c r="P1906" s="84">
        <f t="shared" si="56"/>
        <v>-2.1443578703398414E-2</v>
      </c>
    </row>
    <row r="1907" spans="2:16" ht="15" customHeight="1">
      <c r="B1907" s="83">
        <v>229.44847972073629</v>
      </c>
      <c r="C1907" s="83">
        <v>230.61665949529944</v>
      </c>
      <c r="D1907" s="83">
        <v>228.0736219860581</v>
      </c>
      <c r="E1907" s="83">
        <v>230.49085551957725</v>
      </c>
      <c r="F1907" s="83">
        <v>3426136.8730653422</v>
      </c>
      <c r="G1907" s="83" t="s">
        <v>324</v>
      </c>
      <c r="H1907" s="84">
        <f t="shared" si="55"/>
        <v>-4.5224171539960389E-3</v>
      </c>
      <c r="J1907" s="83">
        <v>52.992501464489756</v>
      </c>
      <c r="K1907" s="83">
        <v>53.460221240113114</v>
      </c>
      <c r="L1907" s="83">
        <v>52.34435418774919</v>
      </c>
      <c r="M1907" s="83">
        <v>53.382185103266288</v>
      </c>
      <c r="N1907" s="83">
        <v>27025958.680393647</v>
      </c>
      <c r="O1907" s="83" t="s">
        <v>324</v>
      </c>
      <c r="P1907" s="84">
        <f t="shared" si="56"/>
        <v>-7.2998817493644674E-3</v>
      </c>
    </row>
    <row r="1908" spans="2:16" ht="15" customHeight="1">
      <c r="B1908" s="83">
        <v>231.58714730801347</v>
      </c>
      <c r="C1908" s="83">
        <v>232.23126366371105</v>
      </c>
      <c r="D1908" s="83">
        <v>230.62564549356529</v>
      </c>
      <c r="E1908" s="83">
        <v>231.38046934789844</v>
      </c>
      <c r="F1908" s="83">
        <v>2745412.281426724</v>
      </c>
      <c r="G1908" s="83" t="s">
        <v>323</v>
      </c>
      <c r="H1908" s="84">
        <f t="shared" si="55"/>
        <v>8.9323857237189053E-4</v>
      </c>
      <c r="J1908" s="83">
        <v>53.800200333127343</v>
      </c>
      <c r="K1908" s="83">
        <v>54.340488745563675</v>
      </c>
      <c r="L1908" s="83">
        <v>53.293452548171402</v>
      </c>
      <c r="M1908" s="83">
        <v>54.246547154072907</v>
      </c>
      <c r="N1908" s="83">
        <v>29940561.314381368</v>
      </c>
      <c r="O1908" s="83" t="s">
        <v>323</v>
      </c>
      <c r="P1908" s="84">
        <f t="shared" si="56"/>
        <v>-8.2281148637504131E-3</v>
      </c>
    </row>
    <row r="1909" spans="2:16" ht="15" customHeight="1">
      <c r="B1909" s="83">
        <v>231.98253123171179</v>
      </c>
      <c r="C1909" s="83">
        <v>232.12630720396567</v>
      </c>
      <c r="D1909" s="83">
        <v>228.82844584039123</v>
      </c>
      <c r="E1909" s="83">
        <v>229.20585776755777</v>
      </c>
      <c r="F1909" s="83">
        <v>3439531.0443570437</v>
      </c>
      <c r="G1909" s="83" t="s">
        <v>322</v>
      </c>
      <c r="H1909" s="84">
        <f t="shared" si="55"/>
        <v>1.2114321558787999E-2</v>
      </c>
      <c r="J1909" s="83">
        <v>54.346453291055155</v>
      </c>
      <c r="K1909" s="83">
        <v>54.449341700783144</v>
      </c>
      <c r="L1909" s="83">
        <v>52.980075328049182</v>
      </c>
      <c r="M1909" s="83">
        <v>53.134159419912343</v>
      </c>
      <c r="N1909" s="83">
        <v>41411825.989579752</v>
      </c>
      <c r="O1909" s="83" t="s">
        <v>322</v>
      </c>
      <c r="P1909" s="84">
        <f t="shared" si="56"/>
        <v>2.2815715622076738E-2</v>
      </c>
    </row>
    <row r="1910" spans="2:16" ht="15" customHeight="1">
      <c r="B1910" s="83">
        <v>227.18400815773691</v>
      </c>
      <c r="C1910" s="83">
        <v>227.32329113085791</v>
      </c>
      <c r="D1910" s="83">
        <v>225.65387237302451</v>
      </c>
      <c r="E1910" s="83">
        <v>225.71030444213417</v>
      </c>
      <c r="F1910" s="83">
        <v>2509655.5032347818</v>
      </c>
      <c r="G1910" s="83" t="s">
        <v>321</v>
      </c>
      <c r="H1910" s="84">
        <f t="shared" si="55"/>
        <v>6.5291822597339788E-3</v>
      </c>
      <c r="J1910" s="83">
        <v>52.478556461307434</v>
      </c>
      <c r="K1910" s="83">
        <v>52.90278475938878</v>
      </c>
      <c r="L1910" s="83">
        <v>51.59679781948401</v>
      </c>
      <c r="M1910" s="83">
        <v>51.666881229008872</v>
      </c>
      <c r="N1910" s="83">
        <v>24812740.587101866</v>
      </c>
      <c r="O1910" s="83" t="s">
        <v>321</v>
      </c>
      <c r="P1910" s="84">
        <f t="shared" si="56"/>
        <v>1.5709777965905891E-2</v>
      </c>
    </row>
    <row r="1911" spans="2:16" ht="15" customHeight="1">
      <c r="B1911" s="83">
        <v>225.75523443346353</v>
      </c>
      <c r="C1911" s="83">
        <v>226.26024753600544</v>
      </c>
      <c r="D1911" s="83">
        <v>224.10181075254334</v>
      </c>
      <c r="E1911" s="83">
        <v>224.93750859126931</v>
      </c>
      <c r="F1911" s="83">
        <v>2127969.4736450845</v>
      </c>
      <c r="G1911" s="83" t="s">
        <v>320</v>
      </c>
      <c r="H1911" s="84">
        <f t="shared" si="55"/>
        <v>3.6353467561520691E-3</v>
      </c>
      <c r="J1911" s="83">
        <v>51.697201001923879</v>
      </c>
      <c r="K1911" s="83">
        <v>52.610770553035195</v>
      </c>
      <c r="L1911" s="83">
        <v>50.760270314304286</v>
      </c>
      <c r="M1911" s="83">
        <v>52.438295779239965</v>
      </c>
      <c r="N1911" s="83">
        <v>49118847.432484806</v>
      </c>
      <c r="O1911" s="83" t="s">
        <v>320</v>
      </c>
      <c r="P1911" s="84">
        <f t="shared" si="56"/>
        <v>-1.4132701421801008E-2</v>
      </c>
    </row>
    <row r="1912" spans="2:16" ht="15" customHeight="1">
      <c r="B1912" s="83">
        <v>224.47922267970992</v>
      </c>
      <c r="C1912" s="83">
        <v>227.25589614386391</v>
      </c>
      <c r="D1912" s="83">
        <v>222.62810703694061</v>
      </c>
      <c r="E1912" s="83">
        <v>226.84254022363385</v>
      </c>
      <c r="F1912" s="83">
        <v>3543801.0399966696</v>
      </c>
      <c r="G1912" s="83" t="s">
        <v>319</v>
      </c>
      <c r="H1912" s="84">
        <f t="shared" si="55"/>
        <v>-1.0418317223894746E-2</v>
      </c>
      <c r="J1912" s="83">
        <v>52.57697146191682</v>
      </c>
      <c r="K1912" s="83">
        <v>53.828780446940662</v>
      </c>
      <c r="L1912" s="83">
        <v>52.418911006392662</v>
      </c>
      <c r="M1912" s="83">
        <v>53.369261921368086</v>
      </c>
      <c r="N1912" s="83">
        <v>36999493.140814669</v>
      </c>
      <c r="O1912" s="83" t="s">
        <v>319</v>
      </c>
      <c r="P1912" s="84">
        <f t="shared" si="56"/>
        <v>-1.4845445316792882E-2</v>
      </c>
    </row>
    <row r="1913" spans="2:16" ht="15" customHeight="1">
      <c r="B1913" s="83">
        <v>225.88103840918572</v>
      </c>
      <c r="C1913" s="83">
        <v>226.0338003797055</v>
      </c>
      <c r="D1913" s="83">
        <v>223.26656221373071</v>
      </c>
      <c r="E1913" s="83">
        <v>224.31747471092424</v>
      </c>
      <c r="F1913" s="83">
        <v>3194630.0400514496</v>
      </c>
      <c r="G1913" s="83" t="s">
        <v>318</v>
      </c>
      <c r="H1913" s="84">
        <f t="shared" si="55"/>
        <v>6.9703160677803133E-3</v>
      </c>
      <c r="J1913" s="83">
        <v>53.183863965674661</v>
      </c>
      <c r="K1913" s="83">
        <v>53.878484992702973</v>
      </c>
      <c r="L1913" s="83">
        <v>52.809091690626822</v>
      </c>
      <c r="M1913" s="83">
        <v>53.472150331096067</v>
      </c>
      <c r="N1913" s="83">
        <v>29815763.875739384</v>
      </c>
      <c r="O1913" s="83" t="s">
        <v>318</v>
      </c>
      <c r="P1913" s="84">
        <f t="shared" si="56"/>
        <v>-5.3913366796800588E-3</v>
      </c>
    </row>
    <row r="1914" spans="2:16" ht="15" customHeight="1">
      <c r="B1914" s="83">
        <v>223.56265085659112</v>
      </c>
      <c r="C1914" s="83">
        <v>225.62044445947549</v>
      </c>
      <c r="D1914" s="83">
        <v>223.09537894676589</v>
      </c>
      <c r="E1914" s="83">
        <v>223.49974886873005</v>
      </c>
      <c r="F1914" s="83">
        <v>4533043.3853643946</v>
      </c>
      <c r="G1914" s="83" t="s">
        <v>317</v>
      </c>
      <c r="H1914" s="84">
        <f t="shared" si="55"/>
        <v>2.8144097780624655E-4</v>
      </c>
      <c r="J1914" s="83">
        <v>53.520363740485514</v>
      </c>
      <c r="K1914" s="83">
        <v>54.274381699699802</v>
      </c>
      <c r="L1914" s="83">
        <v>52.537704870764593</v>
      </c>
      <c r="M1914" s="83">
        <v>52.677374644356689</v>
      </c>
      <c r="N1914" s="83">
        <v>50896109.424223602</v>
      </c>
      <c r="O1914" s="83" t="s">
        <v>317</v>
      </c>
      <c r="P1914" s="84">
        <f t="shared" si="56"/>
        <v>1.6002868438682372E-2</v>
      </c>
    </row>
    <row r="1915" spans="2:16" ht="15" customHeight="1">
      <c r="B1915" s="83">
        <v>221.24426330399658</v>
      </c>
      <c r="C1915" s="83">
        <v>221.39702527451635</v>
      </c>
      <c r="D1915" s="83">
        <v>217.28143806874769</v>
      </c>
      <c r="E1915" s="83">
        <v>217.73972398030708</v>
      </c>
      <c r="F1915" s="83">
        <v>4027522.4776592152</v>
      </c>
      <c r="G1915" s="83" t="s">
        <v>316</v>
      </c>
      <c r="H1915" s="84">
        <f t="shared" si="55"/>
        <v>1.6095084808716242E-2</v>
      </c>
      <c r="J1915" s="83">
        <v>51.504347364366112</v>
      </c>
      <c r="K1915" s="83">
        <v>51.567969182941873</v>
      </c>
      <c r="L1915" s="83">
        <v>49.741824171634498</v>
      </c>
      <c r="M1915" s="83">
        <v>50.125046219461929</v>
      </c>
      <c r="N1915" s="83">
        <v>64635074.131105274</v>
      </c>
      <c r="O1915" s="83" t="s">
        <v>316</v>
      </c>
      <c r="P1915" s="84">
        <f t="shared" si="56"/>
        <v>2.7517204450350219E-2</v>
      </c>
    </row>
    <row r="1916" spans="2:16" ht="15" customHeight="1">
      <c r="B1916" s="83">
        <v>217.91045794735862</v>
      </c>
      <c r="C1916" s="83">
        <v>223.16717707291016</v>
      </c>
      <c r="D1916" s="83">
        <v>214.57665259072067</v>
      </c>
      <c r="E1916" s="83">
        <v>221.98111516179793</v>
      </c>
      <c r="F1916" s="83">
        <v>5704702.8591913814</v>
      </c>
      <c r="G1916" s="83" t="s">
        <v>315</v>
      </c>
      <c r="H1916" s="84">
        <f t="shared" si="55"/>
        <v>-1.833785370197949E-2</v>
      </c>
      <c r="J1916" s="83">
        <v>50.702613041220005</v>
      </c>
      <c r="K1916" s="83">
        <v>54.527874883087591</v>
      </c>
      <c r="L1916" s="83">
        <v>49.497277806483922</v>
      </c>
      <c r="M1916" s="83">
        <v>53.803679651330697</v>
      </c>
      <c r="N1916" s="83">
        <v>78075816.617611289</v>
      </c>
      <c r="O1916" s="83" t="s">
        <v>315</v>
      </c>
      <c r="P1916" s="84">
        <f t="shared" si="56"/>
        <v>-5.763670124807152E-2</v>
      </c>
    </row>
    <row r="1917" spans="2:16" ht="15" customHeight="1">
      <c r="B1917" s="83">
        <v>219.0426937288583</v>
      </c>
      <c r="C1917" s="83">
        <v>221.93618517046858</v>
      </c>
      <c r="D1917" s="83">
        <v>216.5940092014086</v>
      </c>
      <c r="E1917" s="83">
        <v>219.56388162827878</v>
      </c>
      <c r="F1917" s="83">
        <v>5874438.035503732</v>
      </c>
      <c r="G1917" s="83" t="s">
        <v>314</v>
      </c>
      <c r="H1917" s="84">
        <f t="shared" si="55"/>
        <v>-2.373741507735061E-3</v>
      </c>
      <c r="J1917" s="83">
        <v>53.256929647945256</v>
      </c>
      <c r="K1917" s="83">
        <v>54.999571022371939</v>
      </c>
      <c r="L1917" s="83">
        <v>51.398973727350004</v>
      </c>
      <c r="M1917" s="83">
        <v>51.545105091891202</v>
      </c>
      <c r="N1917" s="83">
        <v>84249557.777372003</v>
      </c>
      <c r="O1917" s="83" t="s">
        <v>314</v>
      </c>
      <c r="P1917" s="84">
        <f t="shared" si="56"/>
        <v>3.3210225355100764E-2</v>
      </c>
    </row>
    <row r="1918" spans="2:16" ht="15" customHeight="1">
      <c r="B1918" s="83">
        <v>222.98754696757544</v>
      </c>
      <c r="C1918" s="83">
        <v>224.45801572380245</v>
      </c>
      <c r="D1918" s="83">
        <v>219.86230663068835</v>
      </c>
      <c r="E1918" s="83">
        <v>220.79496339070303</v>
      </c>
      <c r="F1918" s="83">
        <v>4945246.8924659165</v>
      </c>
      <c r="G1918" s="83" t="s">
        <v>313</v>
      </c>
      <c r="H1918" s="84">
        <f t="shared" si="55"/>
        <v>9.9304057628912812E-3</v>
      </c>
      <c r="J1918" s="83">
        <v>54.454809200816989</v>
      </c>
      <c r="K1918" s="83">
        <v>55.220756251014237</v>
      </c>
      <c r="L1918" s="83">
        <v>53.161496920081618</v>
      </c>
      <c r="M1918" s="83">
        <v>53.272835102589198</v>
      </c>
      <c r="N1918" s="83">
        <v>51219440.012070671</v>
      </c>
      <c r="O1918" s="83" t="s">
        <v>313</v>
      </c>
      <c r="P1918" s="84">
        <f t="shared" si="56"/>
        <v>2.2187182190540833E-2</v>
      </c>
    </row>
    <row r="1919" spans="2:16" ht="15" customHeight="1">
      <c r="B1919" s="83">
        <v>219.06066572539004</v>
      </c>
      <c r="C1919" s="83">
        <v>226.0427863779714</v>
      </c>
      <c r="D1919" s="83">
        <v>218.58440781729891</v>
      </c>
      <c r="E1919" s="83">
        <v>225.71929044040004</v>
      </c>
      <c r="F1919" s="83">
        <v>4524534.5922689848</v>
      </c>
      <c r="G1919" s="83" t="s">
        <v>312</v>
      </c>
      <c r="H1919" s="84">
        <f t="shared" si="55"/>
        <v>-2.9499581989728907E-2</v>
      </c>
      <c r="J1919" s="83">
        <v>52.225063277919645</v>
      </c>
      <c r="K1919" s="83">
        <v>54.979192158609386</v>
      </c>
      <c r="L1919" s="83">
        <v>52.127145322767888</v>
      </c>
      <c r="M1919" s="83">
        <v>54.886244658033867</v>
      </c>
      <c r="N1919" s="83">
        <v>39884279.588430084</v>
      </c>
      <c r="O1919" s="83" t="s">
        <v>312</v>
      </c>
      <c r="P1919" s="84">
        <f t="shared" si="56"/>
        <v>-4.8485397328503432E-2</v>
      </c>
    </row>
    <row r="1920" spans="2:16" ht="15" customHeight="1">
      <c r="B1920" s="83">
        <v>225.80016442479288</v>
      </c>
      <c r="C1920" s="83">
        <v>226.96834419935604</v>
      </c>
      <c r="D1920" s="83">
        <v>221.81038119474641</v>
      </c>
      <c r="E1920" s="83">
        <v>223.75135682017441</v>
      </c>
      <c r="F1920" s="83">
        <v>5794049.6380628357</v>
      </c>
      <c r="G1920" s="83" t="s">
        <v>311</v>
      </c>
      <c r="H1920" s="84">
        <f t="shared" si="55"/>
        <v>9.1566265060241125E-3</v>
      </c>
      <c r="J1920" s="83">
        <v>54.858410112406979</v>
      </c>
      <c r="K1920" s="83">
        <v>55.067169204608696</v>
      </c>
      <c r="L1920" s="83">
        <v>53.183863965674661</v>
      </c>
      <c r="M1920" s="83">
        <v>53.725146469026249</v>
      </c>
      <c r="N1920" s="83">
        <v>37192855.736782447</v>
      </c>
      <c r="O1920" s="83" t="s">
        <v>311</v>
      </c>
      <c r="P1920" s="84">
        <f t="shared" si="56"/>
        <v>2.1093728316479821E-2</v>
      </c>
    </row>
    <row r="1921" spans="2:16" ht="15" customHeight="1">
      <c r="B1921" s="83">
        <v>227.1660361612052</v>
      </c>
      <c r="C1921" s="83">
        <v>229.01715180397451</v>
      </c>
      <c r="D1921" s="83">
        <v>226.59991827045533</v>
      </c>
      <c r="E1921" s="83">
        <v>228.73858585773252</v>
      </c>
      <c r="F1921" s="83">
        <v>2339168.0454507465</v>
      </c>
      <c r="G1921" s="83" t="s">
        <v>310</v>
      </c>
      <c r="H1921" s="84">
        <f t="shared" si="55"/>
        <v>-6.8748772343349973E-3</v>
      </c>
      <c r="J1921" s="83">
        <v>54.732657611628326</v>
      </c>
      <c r="K1921" s="83">
        <v>55.282886933217128</v>
      </c>
      <c r="L1921" s="83">
        <v>54.227659426683225</v>
      </c>
      <c r="M1921" s="83">
        <v>54.827096248576716</v>
      </c>
      <c r="N1921" s="83">
        <v>30464416.820968509</v>
      </c>
      <c r="O1921" s="83" t="s">
        <v>310</v>
      </c>
      <c r="P1921" s="84">
        <f t="shared" si="56"/>
        <v>-1.7224810980362992E-3</v>
      </c>
    </row>
    <row r="1922" spans="2:16" ht="15" customHeight="1">
      <c r="B1922" s="83">
        <v>228.10956597912158</v>
      </c>
      <c r="C1922" s="83">
        <v>230.5986874987677</v>
      </c>
      <c r="D1922" s="83">
        <v>227.48054610051065</v>
      </c>
      <c r="E1922" s="83">
        <v>228.84192483779003</v>
      </c>
      <c r="F1922" s="83">
        <v>2987109.4124231776</v>
      </c>
      <c r="G1922" s="83" t="s">
        <v>309</v>
      </c>
      <c r="H1922" s="84">
        <f t="shared" si="55"/>
        <v>-3.2002827243634568E-3</v>
      </c>
      <c r="J1922" s="83">
        <v>54.499046246545454</v>
      </c>
      <c r="K1922" s="83">
        <v>55.189939432641594</v>
      </c>
      <c r="L1922" s="83">
        <v>54.066119652955706</v>
      </c>
      <c r="M1922" s="83">
        <v>54.345459200139899</v>
      </c>
      <c r="N1922" s="83">
        <v>25503683.426902238</v>
      </c>
      <c r="O1922" s="83" t="s">
        <v>309</v>
      </c>
      <c r="P1922" s="84">
        <f t="shared" si="56"/>
        <v>2.8261247336218709E-3</v>
      </c>
    </row>
    <row r="1923" spans="2:16" ht="15" customHeight="1">
      <c r="B1923" s="83">
        <v>228.289285944439</v>
      </c>
      <c r="C1923" s="83">
        <v>231.25466537217628</v>
      </c>
      <c r="D1923" s="83">
        <v>227.06719018028062</v>
      </c>
      <c r="E1923" s="83">
        <v>230.71909987553039</v>
      </c>
      <c r="F1923" s="83">
        <v>3390612.7175341286</v>
      </c>
      <c r="G1923" s="83" t="s">
        <v>308</v>
      </c>
      <c r="H1923" s="84">
        <f t="shared" si="55"/>
        <v>-1.0531481495906658E-2</v>
      </c>
      <c r="J1923" s="83">
        <v>54.077054653023417</v>
      </c>
      <c r="K1923" s="83">
        <v>55.760547617992948</v>
      </c>
      <c r="L1923" s="83">
        <v>53.536269195129449</v>
      </c>
      <c r="M1923" s="83">
        <v>55.760547617992948</v>
      </c>
      <c r="N1923" s="83">
        <v>42139485.79303024</v>
      </c>
      <c r="O1923" s="83" t="s">
        <v>308</v>
      </c>
      <c r="P1923" s="84">
        <f t="shared" si="56"/>
        <v>-3.0191471154531802E-2</v>
      </c>
    </row>
    <row r="1924" spans="2:16" ht="15" customHeight="1">
      <c r="B1924" s="83">
        <v>231.54221731668412</v>
      </c>
      <c r="C1924" s="83">
        <v>232.14427920049741</v>
      </c>
      <c r="D1924" s="83">
        <v>229.20585776755777</v>
      </c>
      <c r="E1924" s="83">
        <v>231.61410530281105</v>
      </c>
      <c r="F1924" s="83">
        <v>3166916.925422234</v>
      </c>
      <c r="G1924" s="83" t="s">
        <v>307</v>
      </c>
      <c r="H1924" s="84">
        <f t="shared" si="55"/>
        <v>-3.1037827352076164E-4</v>
      </c>
      <c r="J1924" s="83">
        <v>55.45486466155473</v>
      </c>
      <c r="K1924" s="83">
        <v>56.115935120193491</v>
      </c>
      <c r="L1924" s="83">
        <v>54.783853293763507</v>
      </c>
      <c r="M1924" s="83">
        <v>55.990182619414838</v>
      </c>
      <c r="N1924" s="83">
        <v>29518949.977257162</v>
      </c>
      <c r="O1924" s="83" t="s">
        <v>307</v>
      </c>
      <c r="P1924" s="84">
        <f t="shared" si="56"/>
        <v>-9.5609253768442759E-3</v>
      </c>
    </row>
    <row r="1925" spans="2:16" ht="15" customHeight="1">
      <c r="B1925" s="83">
        <v>231.46134333229125</v>
      </c>
      <c r="C1925" s="83">
        <v>231.92861524211656</v>
      </c>
      <c r="D1925" s="83">
        <v>227.97477600513352</v>
      </c>
      <c r="E1925" s="83">
        <v>228.37015992883181</v>
      </c>
      <c r="F1925" s="83">
        <v>3681811.3047782942</v>
      </c>
      <c r="G1925" s="83" t="s">
        <v>306</v>
      </c>
      <c r="H1925" s="84">
        <f t="shared" si="55"/>
        <v>1.3535846383882832E-2</v>
      </c>
      <c r="J1925" s="83">
        <v>55.732713072366053</v>
      </c>
      <c r="K1925" s="83">
        <v>55.878844436907258</v>
      </c>
      <c r="L1925" s="83">
        <v>54.799261702949821</v>
      </c>
      <c r="M1925" s="83">
        <v>54.903144203593051</v>
      </c>
      <c r="N1925" s="83">
        <v>38800072.919331804</v>
      </c>
      <c r="O1925" s="83" t="s">
        <v>306</v>
      </c>
      <c r="P1925" s="84">
        <f t="shared" si="56"/>
        <v>1.5109678704315677E-2</v>
      </c>
    </row>
    <row r="1926" spans="2:16" ht="15" customHeight="1">
      <c r="B1926" s="83">
        <v>226.63586226351885</v>
      </c>
      <c r="C1926" s="83">
        <v>228.74757185599839</v>
      </c>
      <c r="D1926" s="83">
        <v>226.48310029299904</v>
      </c>
      <c r="E1926" s="83">
        <v>227.51649009357413</v>
      </c>
      <c r="F1926" s="83">
        <v>3679281.8139718766</v>
      </c>
      <c r="G1926" s="83" t="s">
        <v>305</v>
      </c>
      <c r="H1926" s="84">
        <f t="shared" si="55"/>
        <v>-3.8706110035940933E-3</v>
      </c>
      <c r="J1926" s="83">
        <v>54.289790108886116</v>
      </c>
      <c r="K1926" s="83">
        <v>55.343347542682402</v>
      </c>
      <c r="L1926" s="83">
        <v>54.128250335158597</v>
      </c>
      <c r="M1926" s="83">
        <v>55.117867841286248</v>
      </c>
      <c r="N1926" s="83">
        <v>27611015.832692366</v>
      </c>
      <c r="O1926" s="83" t="s">
        <v>305</v>
      </c>
      <c r="P1926" s="84">
        <f t="shared" si="56"/>
        <v>-1.502376207266598E-2</v>
      </c>
    </row>
    <row r="1927" spans="2:16" ht="15" customHeight="1">
      <c r="B1927" s="83">
        <v>227.88491602247481</v>
      </c>
      <c r="C1927" s="83">
        <v>228.81945984212535</v>
      </c>
      <c r="D1927" s="83">
        <v>224.91935687477226</v>
      </c>
      <c r="E1927" s="83">
        <v>228.59480988547858</v>
      </c>
      <c r="F1927" s="83">
        <v>7919718.8664387325</v>
      </c>
      <c r="G1927" s="83" t="s">
        <v>304</v>
      </c>
      <c r="H1927" s="84">
        <f t="shared" si="55"/>
        <v>-3.1054679822319908E-3</v>
      </c>
      <c r="J1927" s="83">
        <v>55.17602215982815</v>
      </c>
      <c r="K1927" s="83">
        <v>55.420568524978734</v>
      </c>
      <c r="L1927" s="83">
        <v>53.999117925268116</v>
      </c>
      <c r="M1927" s="83">
        <v>55.072636704642541</v>
      </c>
      <c r="N1927" s="83">
        <v>42275871.708966725</v>
      </c>
      <c r="O1927" s="83" t="s">
        <v>304</v>
      </c>
      <c r="P1927" s="84">
        <f t="shared" si="56"/>
        <v>1.8772563176894241E-3</v>
      </c>
    </row>
    <row r="1928" spans="2:16" ht="15" customHeight="1">
      <c r="B1928" s="83">
        <v>224.8476486086106</v>
      </c>
      <c r="C1928" s="83">
        <v>230.30223941597663</v>
      </c>
      <c r="D1928" s="83">
        <v>223.25712691555154</v>
      </c>
      <c r="E1928" s="83">
        <v>228.97222181264516</v>
      </c>
      <c r="F1928" s="83">
        <v>10056800.293767469</v>
      </c>
      <c r="G1928" s="83" t="s">
        <v>303</v>
      </c>
      <c r="H1928" s="84">
        <f t="shared" si="55"/>
        <v>-1.8013421765236903E-2</v>
      </c>
      <c r="J1928" s="83">
        <v>53.647110332179409</v>
      </c>
      <c r="K1928" s="83">
        <v>54.993109431422845</v>
      </c>
      <c r="L1928" s="83">
        <v>53.097875101505856</v>
      </c>
      <c r="M1928" s="83">
        <v>53.329995330215858</v>
      </c>
      <c r="N1928" s="83">
        <v>59353122.632032081</v>
      </c>
      <c r="O1928" s="83" t="s">
        <v>303</v>
      </c>
      <c r="P1928" s="84">
        <f t="shared" si="56"/>
        <v>5.9462784498667265E-3</v>
      </c>
    </row>
    <row r="1929" spans="2:16" ht="15" customHeight="1">
      <c r="B1929" s="83">
        <v>229.6821156756489</v>
      </c>
      <c r="C1929" s="83">
        <v>236.88888628487703</v>
      </c>
      <c r="D1929" s="83">
        <v>229.4754377155339</v>
      </c>
      <c r="E1929" s="83">
        <v>236.88888628487703</v>
      </c>
      <c r="F1929" s="83">
        <v>6458853.9061305765</v>
      </c>
      <c r="G1929" s="83" t="s">
        <v>302</v>
      </c>
      <c r="H1929" s="84">
        <f t="shared" si="55"/>
        <v>-3.0422577953114427E-2</v>
      </c>
      <c r="J1929" s="83">
        <v>53.741548969127805</v>
      </c>
      <c r="K1929" s="83">
        <v>56.273995575717649</v>
      </c>
      <c r="L1929" s="83">
        <v>53.737075560009202</v>
      </c>
      <c r="M1929" s="83">
        <v>56.219817620836714</v>
      </c>
      <c r="N1929" s="83">
        <v>53832943.425243311</v>
      </c>
      <c r="O1929" s="83" t="s">
        <v>302</v>
      </c>
      <c r="P1929" s="84">
        <f t="shared" si="56"/>
        <v>-4.4081762563213833E-2</v>
      </c>
    </row>
    <row r="1930" spans="2:16" ht="15" customHeight="1">
      <c r="B1930" s="83">
        <v>237.34717219643642</v>
      </c>
      <c r="C1930" s="83">
        <v>238.53332396753132</v>
      </c>
      <c r="D1930" s="83">
        <v>236.82526541715464</v>
      </c>
      <c r="E1930" s="83">
        <v>237.32021420163883</v>
      </c>
      <c r="F1930" s="83">
        <v>2312693.524428017</v>
      </c>
      <c r="G1930" s="83" t="s">
        <v>301</v>
      </c>
      <c r="H1930" s="84">
        <f t="shared" si="55"/>
        <v>1.1359333585758691E-4</v>
      </c>
      <c r="J1930" s="83">
        <v>56.604530805037022</v>
      </c>
      <c r="K1930" s="83">
        <v>57.376442400725736</v>
      </c>
      <c r="L1930" s="83">
        <v>56.54249953192565</v>
      </c>
      <c r="M1930" s="83">
        <v>56.968865125474778</v>
      </c>
      <c r="N1930" s="83">
        <v>26330871.350449756</v>
      </c>
      <c r="O1930" s="83" t="s">
        <v>301</v>
      </c>
      <c r="P1930" s="84">
        <f t="shared" si="56"/>
        <v>-6.3953234742398779E-3</v>
      </c>
    </row>
    <row r="1931" spans="2:16" ht="15" customHeight="1">
      <c r="B1931" s="83">
        <v>237.65269613747603</v>
      </c>
      <c r="C1931" s="83">
        <v>237.99416407157912</v>
      </c>
      <c r="D1931" s="83">
        <v>235.77462249990907</v>
      </c>
      <c r="E1931" s="83">
        <v>237.02367625886507</v>
      </c>
      <c r="F1931" s="83">
        <v>3582858.4701914885</v>
      </c>
      <c r="G1931" s="83" t="s">
        <v>300</v>
      </c>
      <c r="H1931" s="84">
        <f t="shared" si="55"/>
        <v>2.6538271979377193E-3</v>
      </c>
      <c r="J1931" s="83">
        <v>57.109031944524496</v>
      </c>
      <c r="K1931" s="83">
        <v>58.054909450381309</v>
      </c>
      <c r="L1931" s="83">
        <v>56.035095646965658</v>
      </c>
      <c r="M1931" s="83">
        <v>57.165695126693528</v>
      </c>
      <c r="N1931" s="83">
        <v>38876826.462523676</v>
      </c>
      <c r="O1931" s="83" t="s">
        <v>300</v>
      </c>
      <c r="P1931" s="84">
        <f t="shared" si="56"/>
        <v>-9.9120953647902077E-4</v>
      </c>
    </row>
  </sheetData>
  <sortState xmlns:xlrd2="http://schemas.microsoft.com/office/spreadsheetml/2017/richdata2" ref="R226:R266">
    <sortCondition ref="R226"/>
  </sortState>
  <mergeCells count="5">
    <mergeCell ref="AP102:BT106"/>
    <mergeCell ref="AR28:BG31"/>
    <mergeCell ref="AQ38:BJ39"/>
    <mergeCell ref="AQ42:BH43"/>
    <mergeCell ref="AQ44:BH4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63948-7FD9-4D33-AAA7-BDE5D55568DA}">
  <dimension ref="A1:BI174"/>
  <sheetViews>
    <sheetView zoomScale="55" zoomScaleNormal="55" workbookViewId="0">
      <selection activeCell="B8" sqref="B8"/>
    </sheetView>
  </sheetViews>
  <sheetFormatPr defaultColWidth="9.140625" defaultRowHeight="14.25"/>
  <cols>
    <col min="1" max="1" width="3.42578125" style="1" customWidth="1"/>
    <col min="2" max="16384" width="9.140625" style="1"/>
  </cols>
  <sheetData>
    <row r="1" spans="1:61">
      <c r="BI1" s="1">
        <v>0</v>
      </c>
    </row>
    <row r="2" spans="1:61" ht="15">
      <c r="A2" s="2" t="s">
        <v>2707</v>
      </c>
    </row>
    <row r="3" spans="1:61" ht="15">
      <c r="B3" s="2" t="s">
        <v>2708</v>
      </c>
    </row>
    <row r="4" spans="1:61">
      <c r="C4" s="1" t="s">
        <v>2709</v>
      </c>
    </row>
    <row r="5" spans="1:61">
      <c r="D5" s="1" t="s">
        <v>2710</v>
      </c>
    </row>
    <row r="6" spans="1:61">
      <c r="D6" s="1" t="s">
        <v>2711</v>
      </c>
    </row>
    <row r="7" spans="1:61">
      <c r="C7" s="1" t="s">
        <v>2712</v>
      </c>
    </row>
    <row r="8" spans="1:61">
      <c r="D8" s="1" t="s">
        <v>2713</v>
      </c>
    </row>
    <row r="9" spans="1:61">
      <c r="D9" s="1" t="s">
        <v>2714</v>
      </c>
    </row>
    <row r="10" spans="1:61">
      <c r="D10" s="1" t="s">
        <v>2715</v>
      </c>
    </row>
    <row r="11" spans="1:61">
      <c r="D11" s="1" t="s">
        <v>2716</v>
      </c>
    </row>
    <row r="12" spans="1:61">
      <c r="C12" s="1" t="s">
        <v>2717</v>
      </c>
    </row>
    <row r="13" spans="1:61">
      <c r="D13" s="1" t="s">
        <v>2718</v>
      </c>
    </row>
    <row r="14" spans="1:61">
      <c r="D14" s="1" t="s">
        <v>2719</v>
      </c>
    </row>
    <row r="15" spans="1:61">
      <c r="E15" s="1" t="s">
        <v>2720</v>
      </c>
    </row>
    <row r="16" spans="1:61">
      <c r="D16" s="1" t="s">
        <v>2721</v>
      </c>
    </row>
    <row r="17" spans="1:5">
      <c r="C17" s="1" t="s">
        <v>2722</v>
      </c>
    </row>
    <row r="18" spans="1:5" ht="15">
      <c r="D18" s="1" t="s">
        <v>2723</v>
      </c>
    </row>
    <row r="19" spans="1:5">
      <c r="D19" s="1" t="s">
        <v>2724</v>
      </c>
    </row>
    <row r="20" spans="1:5">
      <c r="E20" s="1" t="s">
        <v>2725</v>
      </c>
    </row>
    <row r="21" spans="1:5">
      <c r="C21" s="1" t="s">
        <v>2726</v>
      </c>
    </row>
    <row r="22" spans="1:5">
      <c r="D22" s="1" t="s">
        <v>2727</v>
      </c>
    </row>
    <row r="23" spans="1:5">
      <c r="D23" s="1" t="s">
        <v>2728</v>
      </c>
    </row>
    <row r="24" spans="1:5">
      <c r="D24" s="1" t="s">
        <v>2729</v>
      </c>
    </row>
    <row r="25" spans="1:5">
      <c r="D25" s="1" t="s">
        <v>2730</v>
      </c>
    </row>
    <row r="26" spans="1:5" ht="15">
      <c r="A26" s="2" t="s">
        <v>2731</v>
      </c>
    </row>
    <row r="27" spans="1:5" ht="15">
      <c r="B27" s="2" t="s">
        <v>256</v>
      </c>
    </row>
    <row r="28" spans="1:5">
      <c r="C28" s="1" t="s">
        <v>156</v>
      </c>
    </row>
    <row r="29" spans="1:5" ht="15">
      <c r="D29" s="1" t="s">
        <v>1968</v>
      </c>
    </row>
    <row r="30" spans="1:5" ht="15">
      <c r="D30" s="1" t="s">
        <v>171</v>
      </c>
    </row>
    <row r="31" spans="1:5" ht="15">
      <c r="E31" s="1" t="s">
        <v>2636</v>
      </c>
    </row>
    <row r="32" spans="1:5" ht="15">
      <c r="D32" s="2" t="s">
        <v>169</v>
      </c>
    </row>
    <row r="33" spans="3:5">
      <c r="E33" s="1" t="s">
        <v>170</v>
      </c>
    </row>
    <row r="34" spans="3:5">
      <c r="C34" s="1" t="s">
        <v>155</v>
      </c>
    </row>
    <row r="35" spans="3:5" ht="15">
      <c r="D35" s="1" t="s">
        <v>166</v>
      </c>
    </row>
    <row r="36" spans="3:5">
      <c r="D36" s="1" t="s">
        <v>167</v>
      </c>
    </row>
    <row r="37" spans="3:5" ht="15">
      <c r="E37" s="2" t="s">
        <v>174</v>
      </c>
    </row>
    <row r="38" spans="3:5">
      <c r="D38" s="1" t="s">
        <v>1967</v>
      </c>
    </row>
    <row r="39" spans="3:5">
      <c r="E39" s="1" t="s">
        <v>168</v>
      </c>
    </row>
    <row r="40" spans="3:5">
      <c r="C40" s="1" t="s">
        <v>159</v>
      </c>
    </row>
    <row r="41" spans="3:5" ht="15">
      <c r="D41" s="1" t="s">
        <v>182</v>
      </c>
    </row>
    <row r="42" spans="3:5">
      <c r="D42" s="1" t="s">
        <v>183</v>
      </c>
    </row>
    <row r="43" spans="3:5">
      <c r="E43" s="1" t="s">
        <v>184</v>
      </c>
    </row>
    <row r="44" spans="3:5">
      <c r="D44" s="1" t="s">
        <v>185</v>
      </c>
    </row>
    <row r="45" spans="3:5">
      <c r="C45" s="1" t="s">
        <v>158</v>
      </c>
    </row>
    <row r="46" spans="3:5" ht="15">
      <c r="D46" s="1" t="s">
        <v>177</v>
      </c>
    </row>
    <row r="47" spans="3:5">
      <c r="D47" s="1" t="s">
        <v>175</v>
      </c>
    </row>
    <row r="48" spans="3:5">
      <c r="E48" s="1" t="s">
        <v>2637</v>
      </c>
    </row>
    <row r="49" spans="3:6">
      <c r="D49" s="1" t="s">
        <v>176</v>
      </c>
    </row>
    <row r="50" spans="3:6">
      <c r="C50" s="1" t="s">
        <v>157</v>
      </c>
    </row>
    <row r="51" spans="3:6" ht="15">
      <c r="D51" s="1" t="s">
        <v>173</v>
      </c>
    </row>
    <row r="52" spans="3:6">
      <c r="D52" s="1" t="s">
        <v>2638</v>
      </c>
    </row>
    <row r="53" spans="3:6">
      <c r="E53" s="1" t="s">
        <v>2639</v>
      </c>
    </row>
    <row r="54" spans="3:6">
      <c r="D54" s="1" t="s">
        <v>172</v>
      </c>
    </row>
    <row r="55" spans="3:6">
      <c r="C55" s="1" t="s">
        <v>162</v>
      </c>
    </row>
    <row r="56" spans="3:6">
      <c r="D56" s="1" t="s">
        <v>192</v>
      </c>
    </row>
    <row r="57" spans="3:6">
      <c r="D57" s="1" t="s">
        <v>193</v>
      </c>
    </row>
    <row r="58" spans="3:6">
      <c r="E58" s="1" t="s">
        <v>2640</v>
      </c>
    </row>
    <row r="59" spans="3:6">
      <c r="D59" s="1" t="s">
        <v>194</v>
      </c>
    </row>
    <row r="60" spans="3:6">
      <c r="E60" s="1" t="s">
        <v>195</v>
      </c>
    </row>
    <row r="61" spans="3:6">
      <c r="E61" s="1" t="s">
        <v>2641</v>
      </c>
    </row>
    <row r="62" spans="3:6">
      <c r="F62" s="1" t="s">
        <v>196</v>
      </c>
    </row>
    <row r="63" spans="3:6">
      <c r="C63" s="1" t="s">
        <v>165</v>
      </c>
    </row>
    <row r="64" spans="3:6">
      <c r="D64" s="1" t="s">
        <v>178</v>
      </c>
    </row>
    <row r="65" spans="3:6">
      <c r="D65" s="1" t="s">
        <v>179</v>
      </c>
    </row>
    <row r="66" spans="3:6">
      <c r="E66" s="1" t="s">
        <v>2642</v>
      </c>
    </row>
    <row r="67" spans="3:6">
      <c r="F67" s="1" t="s">
        <v>181</v>
      </c>
    </row>
    <row r="68" spans="3:6">
      <c r="F68" s="1" t="s">
        <v>2643</v>
      </c>
    </row>
    <row r="69" spans="3:6">
      <c r="D69" s="1" t="s">
        <v>180</v>
      </c>
    </row>
    <row r="70" spans="3:6">
      <c r="C70" s="1" t="s">
        <v>161</v>
      </c>
    </row>
    <row r="71" spans="3:6">
      <c r="D71" s="1" t="s">
        <v>189</v>
      </c>
    </row>
    <row r="72" spans="3:6">
      <c r="D72" s="1" t="s">
        <v>190</v>
      </c>
    </row>
    <row r="73" spans="3:6">
      <c r="E73" s="1" t="s">
        <v>2644</v>
      </c>
    </row>
    <row r="74" spans="3:6">
      <c r="D74" s="1" t="s">
        <v>191</v>
      </c>
    </row>
    <row r="75" spans="3:6">
      <c r="C75" s="1" t="s">
        <v>160</v>
      </c>
    </row>
    <row r="76" spans="3:6" ht="15">
      <c r="D76" s="1" t="s">
        <v>186</v>
      </c>
    </row>
    <row r="77" spans="3:6">
      <c r="D77" s="1" t="s">
        <v>187</v>
      </c>
    </row>
    <row r="78" spans="3:6">
      <c r="E78" s="1" t="s">
        <v>188</v>
      </c>
    </row>
    <row r="79" spans="3:6">
      <c r="C79" s="1" t="s">
        <v>163</v>
      </c>
    </row>
    <row r="80" spans="3:6">
      <c r="D80" s="1" t="s">
        <v>197</v>
      </c>
    </row>
    <row r="81" spans="2:5">
      <c r="E81" s="1" t="s">
        <v>198</v>
      </c>
    </row>
    <row r="82" spans="2:5">
      <c r="D82" s="1" t="s">
        <v>199</v>
      </c>
    </row>
    <row r="83" spans="2:5">
      <c r="E83" s="1" t="s">
        <v>200</v>
      </c>
    </row>
    <row r="84" spans="2:5">
      <c r="D84" s="1" t="s">
        <v>201</v>
      </c>
    </row>
    <row r="85" spans="2:5">
      <c r="D85" s="1" t="s">
        <v>202</v>
      </c>
    </row>
    <row r="86" spans="2:5">
      <c r="C86" s="1" t="s">
        <v>164</v>
      </c>
    </row>
    <row r="87" spans="2:5">
      <c r="D87" s="1" t="s">
        <v>203</v>
      </c>
    </row>
    <row r="88" spans="2:5">
      <c r="E88" s="1" t="s">
        <v>204</v>
      </c>
    </row>
    <row r="89" spans="2:5">
      <c r="D89" s="1" t="s">
        <v>205</v>
      </c>
    </row>
    <row r="90" spans="2:5">
      <c r="D90" s="1" t="s">
        <v>206</v>
      </c>
    </row>
    <row r="91" spans="2:5" ht="15">
      <c r="B91" s="2" t="s">
        <v>255</v>
      </c>
    </row>
    <row r="92" spans="2:5">
      <c r="C92" s="1" t="s">
        <v>207</v>
      </c>
    </row>
    <row r="93" spans="2:5">
      <c r="D93" s="1" t="s">
        <v>213</v>
      </c>
    </row>
    <row r="98" spans="3:4">
      <c r="C98" s="1" t="s">
        <v>211</v>
      </c>
    </row>
    <row r="99" spans="3:4">
      <c r="D99" s="1" t="s">
        <v>214</v>
      </c>
    </row>
    <row r="103" spans="3:4">
      <c r="C103" s="1" t="s">
        <v>210</v>
      </c>
    </row>
    <row r="104" spans="3:4">
      <c r="D104" s="1" t="s">
        <v>215</v>
      </c>
    </row>
    <row r="109" spans="3:4">
      <c r="C109" s="1" t="s">
        <v>209</v>
      </c>
    </row>
    <row r="110" spans="3:4">
      <c r="D110" s="1" t="s">
        <v>216</v>
      </c>
    </row>
    <row r="115" spans="2:4">
      <c r="C115" s="1" t="s">
        <v>208</v>
      </c>
    </row>
    <row r="116" spans="2:4">
      <c r="D116" s="1" t="s">
        <v>217</v>
      </c>
    </row>
    <row r="121" spans="2:4">
      <c r="C121" s="1" t="s">
        <v>212</v>
      </c>
    </row>
    <row r="122" spans="2:4">
      <c r="D122" s="1" t="s">
        <v>218</v>
      </c>
    </row>
    <row r="126" spans="2:4" ht="15">
      <c r="B126" s="2" t="s">
        <v>2645</v>
      </c>
    </row>
    <row r="127" spans="2:4">
      <c r="C127" s="1" t="s">
        <v>101</v>
      </c>
    </row>
    <row r="128" spans="2:4">
      <c r="D128" s="1" t="s">
        <v>115</v>
      </c>
    </row>
    <row r="129" spans="3:7">
      <c r="E129" s="1" t="s">
        <v>2646</v>
      </c>
    </row>
    <row r="130" spans="3:7">
      <c r="E130" s="1" t="s">
        <v>114</v>
      </c>
    </row>
    <row r="131" spans="3:7">
      <c r="C131" s="1" t="s">
        <v>102</v>
      </c>
    </row>
    <row r="132" spans="3:7">
      <c r="D132" s="1" t="s">
        <v>2627</v>
      </c>
    </row>
    <row r="133" spans="3:7">
      <c r="E133" s="1" t="s">
        <v>116</v>
      </c>
    </row>
    <row r="134" spans="3:7">
      <c r="F134" s="1" t="s">
        <v>2628</v>
      </c>
    </row>
    <row r="135" spans="3:7">
      <c r="G135" s="1" t="s">
        <v>2629</v>
      </c>
    </row>
    <row r="136" spans="3:7">
      <c r="F136" s="1" t="s">
        <v>2647</v>
      </c>
    </row>
    <row r="137" spans="3:7">
      <c r="C137" s="1" t="s">
        <v>107</v>
      </c>
    </row>
    <row r="138" spans="3:7">
      <c r="D138" s="1" t="s">
        <v>121</v>
      </c>
    </row>
    <row r="139" spans="3:7">
      <c r="E139" s="1" t="s">
        <v>122</v>
      </c>
    </row>
    <row r="140" spans="3:7" ht="15">
      <c r="F140" s="1" t="s">
        <v>123</v>
      </c>
    </row>
    <row r="141" spans="3:7">
      <c r="E141" s="1" t="s">
        <v>150</v>
      </c>
    </row>
    <row r="142" spans="3:7">
      <c r="F142" s="1" t="s">
        <v>2648</v>
      </c>
    </row>
    <row r="143" spans="3:7">
      <c r="F143" s="1" t="s">
        <v>151</v>
      </c>
    </row>
    <row r="144" spans="3:7">
      <c r="G144" s="1" t="s">
        <v>124</v>
      </c>
    </row>
    <row r="145" spans="3:8">
      <c r="G145" s="1" t="s">
        <v>125</v>
      </c>
    </row>
    <row r="146" spans="3:8">
      <c r="E146" s="1" t="s">
        <v>126</v>
      </c>
    </row>
    <row r="147" spans="3:8">
      <c r="F147" s="1" t="s">
        <v>127</v>
      </c>
    </row>
    <row r="148" spans="3:8">
      <c r="F148" s="1" t="s">
        <v>128</v>
      </c>
    </row>
    <row r="149" spans="3:8">
      <c r="F149" s="1" t="s">
        <v>129</v>
      </c>
    </row>
    <row r="150" spans="3:8" ht="15">
      <c r="E150" s="2" t="s">
        <v>2649</v>
      </c>
    </row>
    <row r="151" spans="3:8" ht="15">
      <c r="C151" s="1" t="s">
        <v>104</v>
      </c>
      <c r="E151" s="2"/>
    </row>
    <row r="152" spans="3:8">
      <c r="D152" s="1" t="s">
        <v>130</v>
      </c>
    </row>
    <row r="153" spans="3:8">
      <c r="E153" s="1" t="s">
        <v>132</v>
      </c>
      <c r="H153" s="1" t="s">
        <v>133</v>
      </c>
    </row>
    <row r="154" spans="3:8">
      <c r="E154" s="1" t="s">
        <v>131</v>
      </c>
      <c r="H154" s="1" t="s">
        <v>134</v>
      </c>
    </row>
    <row r="155" spans="3:8">
      <c r="E155" s="1" t="s">
        <v>149</v>
      </c>
      <c r="H155" s="1" t="s">
        <v>148</v>
      </c>
    </row>
    <row r="156" spans="3:8">
      <c r="E156" s="1" t="s">
        <v>147</v>
      </c>
      <c r="H156" s="1" t="s">
        <v>146</v>
      </c>
    </row>
    <row r="157" spans="3:8">
      <c r="E157" s="1" t="s">
        <v>145</v>
      </c>
      <c r="H157" s="1" t="s">
        <v>144</v>
      </c>
    </row>
    <row r="158" spans="3:8">
      <c r="E158" s="1" t="s">
        <v>143</v>
      </c>
      <c r="H158" s="1" t="s">
        <v>142</v>
      </c>
    </row>
    <row r="159" spans="3:8">
      <c r="E159" s="1" t="s">
        <v>141</v>
      </c>
      <c r="H159" s="1" t="s">
        <v>140</v>
      </c>
    </row>
    <row r="160" spans="3:8">
      <c r="E160" s="1" t="s">
        <v>139</v>
      </c>
      <c r="H160" s="1" t="s">
        <v>138</v>
      </c>
    </row>
    <row r="161" spans="3:8">
      <c r="E161" s="1" t="s">
        <v>137</v>
      </c>
      <c r="H161" s="1" t="s">
        <v>136</v>
      </c>
    </row>
    <row r="162" spans="3:8">
      <c r="C162" s="1" t="s">
        <v>103</v>
      </c>
    </row>
    <row r="163" spans="3:8">
      <c r="D163" s="1" t="s">
        <v>117</v>
      </c>
    </row>
    <row r="164" spans="3:8">
      <c r="E164" s="1" t="s">
        <v>118</v>
      </c>
    </row>
    <row r="165" spans="3:8">
      <c r="F165" s="1" t="s">
        <v>119</v>
      </c>
    </row>
    <row r="166" spans="3:8" ht="15">
      <c r="F166" s="2" t="s">
        <v>120</v>
      </c>
      <c r="G166" s="2"/>
    </row>
    <row r="167" spans="3:8">
      <c r="C167" s="1" t="s">
        <v>106</v>
      </c>
    </row>
    <row r="168" spans="3:8">
      <c r="D168" s="1" t="s">
        <v>152</v>
      </c>
    </row>
    <row r="169" spans="3:8">
      <c r="C169" s="1" t="s">
        <v>112</v>
      </c>
    </row>
    <row r="170" spans="3:8">
      <c r="D170" s="1" t="s">
        <v>135</v>
      </c>
    </row>
    <row r="171" spans="3:8">
      <c r="E171" s="1" t="s">
        <v>113</v>
      </c>
    </row>
    <row r="172" spans="3:8">
      <c r="C172" s="1" t="s">
        <v>105</v>
      </c>
    </row>
    <row r="173" spans="3:8">
      <c r="D173" s="1" t="s">
        <v>153</v>
      </c>
    </row>
    <row r="174" spans="3:8" ht="15">
      <c r="C174" s="2" t="s">
        <v>100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44397-97FB-4DEC-AE53-21324F6C21FE}">
  <dimension ref="A1:BI269"/>
  <sheetViews>
    <sheetView topLeftCell="A213" zoomScale="85" zoomScaleNormal="85" workbookViewId="0">
      <selection activeCell="M245" sqref="M245"/>
    </sheetView>
  </sheetViews>
  <sheetFormatPr defaultColWidth="9.140625" defaultRowHeight="14.25"/>
  <cols>
    <col min="1" max="1" width="3.28515625" style="1" customWidth="1"/>
    <col min="2" max="2" width="33.28515625" style="1" customWidth="1"/>
    <col min="3" max="3" width="52.140625" style="1" bestFit="1" customWidth="1"/>
    <col min="4" max="4" width="12.28515625" style="1" customWidth="1"/>
    <col min="5" max="5" width="30.7109375" style="1" bestFit="1" customWidth="1"/>
    <col min="6" max="6" width="22.5703125" style="1" bestFit="1" customWidth="1"/>
    <col min="7" max="7" width="3.42578125" style="1" customWidth="1"/>
    <col min="8" max="10" width="12" style="1" customWidth="1"/>
    <col min="11" max="15" width="13.140625" style="1" customWidth="1"/>
    <col min="16" max="20" width="9.140625" style="1"/>
    <col min="21" max="21" width="9.140625" style="1" customWidth="1"/>
    <col min="22" max="16384" width="9.140625" style="1"/>
  </cols>
  <sheetData>
    <row r="1" spans="1:61" ht="15">
      <c r="A1" s="2" t="s">
        <v>2015</v>
      </c>
      <c r="G1" s="2" t="s">
        <v>2997</v>
      </c>
      <c r="BI1" s="1">
        <v>0</v>
      </c>
    </row>
    <row r="2" spans="1:61">
      <c r="A2" s="1" t="s">
        <v>2732</v>
      </c>
    </row>
    <row r="3" spans="1:61" ht="15" customHeight="1">
      <c r="B3" s="40" t="s">
        <v>1975</v>
      </c>
      <c r="C3" s="40" t="s">
        <v>1976</v>
      </c>
      <c r="D3" s="3" t="s">
        <v>1977</v>
      </c>
      <c r="E3" s="3" t="s">
        <v>2017</v>
      </c>
      <c r="F3" s="41" t="s">
        <v>2016</v>
      </c>
      <c r="H3" s="1" t="s">
        <v>2986</v>
      </c>
    </row>
    <row r="4" spans="1:61" ht="15" customHeight="1">
      <c r="B4" s="52" t="s">
        <v>1978</v>
      </c>
      <c r="C4" s="52" t="s">
        <v>1979</v>
      </c>
      <c r="D4" s="56" t="s">
        <v>1980</v>
      </c>
      <c r="E4" s="52" t="s">
        <v>2825</v>
      </c>
      <c r="F4" s="52" t="s">
        <v>2606</v>
      </c>
      <c r="I4" s="1" t="s">
        <v>2987</v>
      </c>
    </row>
    <row r="5" spans="1:61" ht="15" customHeight="1">
      <c r="B5" s="53" t="s">
        <v>1981</v>
      </c>
      <c r="C5" s="53" t="s">
        <v>1982</v>
      </c>
      <c r="D5" s="57" t="s">
        <v>1983</v>
      </c>
      <c r="E5" s="53" t="s">
        <v>1981</v>
      </c>
      <c r="F5" s="53" t="s">
        <v>2018</v>
      </c>
      <c r="I5" s="1" t="s">
        <v>2988</v>
      </c>
    </row>
    <row r="6" spans="1:61" ht="15" customHeight="1">
      <c r="B6" s="52" t="s">
        <v>1984</v>
      </c>
      <c r="C6" s="52" t="s">
        <v>1985</v>
      </c>
      <c r="D6" s="56" t="s">
        <v>1986</v>
      </c>
      <c r="E6" s="52" t="s">
        <v>1987</v>
      </c>
      <c r="F6" s="52" t="s">
        <v>2019</v>
      </c>
      <c r="J6" s="1" t="s">
        <v>2989</v>
      </c>
    </row>
    <row r="7" spans="1:61" ht="15" customHeight="1">
      <c r="B7" s="53" t="s">
        <v>1988</v>
      </c>
      <c r="C7" s="53" t="s">
        <v>1989</v>
      </c>
      <c r="D7" s="57" t="s">
        <v>1990</v>
      </c>
      <c r="E7" s="53" t="s">
        <v>1991</v>
      </c>
      <c r="F7" s="53" t="s">
        <v>2021</v>
      </c>
      <c r="I7" s="1" t="s">
        <v>2990</v>
      </c>
    </row>
    <row r="8" spans="1:61" ht="15" customHeight="1">
      <c r="B8" s="52" t="s">
        <v>1992</v>
      </c>
      <c r="C8" s="52" t="s">
        <v>1993</v>
      </c>
      <c r="D8" s="56" t="s">
        <v>1994</v>
      </c>
      <c r="E8" s="52" t="s">
        <v>1995</v>
      </c>
      <c r="F8" s="52" t="s">
        <v>2020</v>
      </c>
      <c r="J8" s="1" t="s">
        <v>2991</v>
      </c>
    </row>
    <row r="9" spans="1:61" ht="15" customHeight="1">
      <c r="B9" s="53" t="s">
        <v>1996</v>
      </c>
      <c r="C9" s="53" t="s">
        <v>1997</v>
      </c>
      <c r="D9" s="57" t="s">
        <v>1998</v>
      </c>
      <c r="E9" s="53" t="s">
        <v>1996</v>
      </c>
      <c r="F9" s="53" t="s">
        <v>2022</v>
      </c>
      <c r="I9" s="1" t="s">
        <v>2992</v>
      </c>
    </row>
    <row r="10" spans="1:61" ht="15" customHeight="1">
      <c r="B10" s="52" t="s">
        <v>1999</v>
      </c>
      <c r="C10" s="52" t="s">
        <v>2000</v>
      </c>
      <c r="D10" s="56" t="s">
        <v>2001</v>
      </c>
      <c r="E10" s="52" t="s">
        <v>2002</v>
      </c>
      <c r="F10" s="52" t="s">
        <v>2023</v>
      </c>
    </row>
    <row r="11" spans="1:61" ht="15" customHeight="1">
      <c r="B11" s="53" t="s">
        <v>2003</v>
      </c>
      <c r="C11" s="53" t="s">
        <v>2004</v>
      </c>
      <c r="D11" s="57" t="s">
        <v>2005</v>
      </c>
      <c r="E11" s="53" t="s">
        <v>2006</v>
      </c>
      <c r="F11" s="53" t="s">
        <v>2024</v>
      </c>
    </row>
    <row r="12" spans="1:61" ht="15" customHeight="1">
      <c r="B12" s="52" t="s">
        <v>2007</v>
      </c>
      <c r="C12" s="52" t="s">
        <v>2008</v>
      </c>
      <c r="D12" s="56" t="s">
        <v>2009</v>
      </c>
      <c r="E12" s="52" t="s">
        <v>2010</v>
      </c>
      <c r="F12" s="52" t="s">
        <v>2025</v>
      </c>
    </row>
    <row r="13" spans="1:61" ht="15" customHeight="1">
      <c r="B13" s="53" t="s">
        <v>2011</v>
      </c>
      <c r="C13" s="53" t="s">
        <v>2012</v>
      </c>
      <c r="D13" s="57" t="s">
        <v>2013</v>
      </c>
      <c r="E13" s="53" t="s">
        <v>2014</v>
      </c>
      <c r="F13" s="53" t="s">
        <v>2026</v>
      </c>
    </row>
    <row r="15" spans="1:61" ht="15">
      <c r="A15" s="2" t="s">
        <v>2027</v>
      </c>
    </row>
    <row r="16" spans="1:61" ht="15">
      <c r="B16" s="40" t="s">
        <v>1975</v>
      </c>
      <c r="C16" s="40" t="s">
        <v>1976</v>
      </c>
      <c r="D16" s="3" t="s">
        <v>1977</v>
      </c>
      <c r="E16" s="39" t="s">
        <v>2017</v>
      </c>
      <c r="F16" s="41" t="s">
        <v>2016</v>
      </c>
    </row>
    <row r="17" spans="2:6">
      <c r="B17" s="52" t="s">
        <v>2028</v>
      </c>
      <c r="C17" s="52" t="s">
        <v>2029</v>
      </c>
      <c r="D17" s="56" t="s">
        <v>2558</v>
      </c>
      <c r="E17" s="52" t="s">
        <v>2030</v>
      </c>
      <c r="F17" s="52">
        <v>36923</v>
      </c>
    </row>
    <row r="18" spans="2:6">
      <c r="B18" s="53" t="s">
        <v>2031</v>
      </c>
      <c r="C18" s="53" t="s">
        <v>2032</v>
      </c>
      <c r="D18" s="57" t="s">
        <v>2558</v>
      </c>
      <c r="E18" s="53" t="s">
        <v>2033</v>
      </c>
      <c r="F18" s="53">
        <v>37135</v>
      </c>
    </row>
    <row r="19" spans="2:6">
      <c r="B19" s="52" t="s">
        <v>2034</v>
      </c>
      <c r="C19" s="52" t="s">
        <v>2035</v>
      </c>
      <c r="D19" s="56" t="s">
        <v>2558</v>
      </c>
      <c r="E19" s="52" t="s">
        <v>2036</v>
      </c>
      <c r="F19" s="52">
        <v>37653</v>
      </c>
    </row>
    <row r="20" spans="2:6">
      <c r="B20" s="53" t="s">
        <v>2037</v>
      </c>
      <c r="C20" s="53" t="s">
        <v>2594</v>
      </c>
      <c r="D20" s="57" t="s">
        <v>2558</v>
      </c>
      <c r="E20" s="53" t="s">
        <v>2038</v>
      </c>
      <c r="F20" s="53">
        <v>37712</v>
      </c>
    </row>
    <row r="21" spans="2:6">
      <c r="B21" s="52" t="s">
        <v>2039</v>
      </c>
      <c r="C21" s="52" t="s">
        <v>1985</v>
      </c>
      <c r="D21" s="56" t="s">
        <v>2559</v>
      </c>
      <c r="E21" s="52" t="s">
        <v>2040</v>
      </c>
      <c r="F21" s="52">
        <v>37712</v>
      </c>
    </row>
    <row r="22" spans="2:6">
      <c r="B22" s="53" t="s">
        <v>2041</v>
      </c>
      <c r="C22" s="53" t="s">
        <v>2032</v>
      </c>
      <c r="D22" s="57" t="s">
        <v>2558</v>
      </c>
      <c r="E22" s="53" t="s">
        <v>2033</v>
      </c>
      <c r="F22" s="53">
        <v>37865</v>
      </c>
    </row>
    <row r="23" spans="2:6">
      <c r="B23" s="52" t="s">
        <v>2042</v>
      </c>
      <c r="C23" s="52" t="s">
        <v>1985</v>
      </c>
      <c r="D23" s="56" t="s">
        <v>2558</v>
      </c>
      <c r="E23" s="52" t="s">
        <v>2040</v>
      </c>
      <c r="F23" s="52">
        <v>37895</v>
      </c>
    </row>
    <row r="24" spans="2:6">
      <c r="B24" s="53" t="s">
        <v>2043</v>
      </c>
      <c r="C24" s="53" t="s">
        <v>2044</v>
      </c>
      <c r="D24" s="57" t="s">
        <v>2558</v>
      </c>
      <c r="E24" s="53" t="s">
        <v>2036</v>
      </c>
      <c r="F24" s="54">
        <v>2003</v>
      </c>
    </row>
    <row r="25" spans="2:6">
      <c r="B25" s="52" t="s">
        <v>2045</v>
      </c>
      <c r="C25" s="52" t="s">
        <v>2046</v>
      </c>
      <c r="D25" s="56" t="s">
        <v>2558</v>
      </c>
      <c r="E25" s="52" t="s">
        <v>2047</v>
      </c>
      <c r="F25" s="55">
        <v>2003</v>
      </c>
    </row>
    <row r="26" spans="2:6">
      <c r="B26" s="53" t="s">
        <v>2048</v>
      </c>
      <c r="C26" s="53" t="s">
        <v>2049</v>
      </c>
      <c r="D26" s="57" t="s">
        <v>2558</v>
      </c>
      <c r="E26" s="53" t="s">
        <v>2050</v>
      </c>
      <c r="F26" s="53">
        <v>38169</v>
      </c>
    </row>
    <row r="27" spans="2:6">
      <c r="B27" s="52" t="s">
        <v>2051</v>
      </c>
      <c r="C27" s="52" t="s">
        <v>2052</v>
      </c>
      <c r="D27" s="56" t="s">
        <v>2558</v>
      </c>
      <c r="E27" s="52" t="s">
        <v>2053</v>
      </c>
      <c r="F27" s="55">
        <v>2004</v>
      </c>
    </row>
    <row r="28" spans="2:6">
      <c r="B28" s="53" t="s">
        <v>2054</v>
      </c>
      <c r="C28" s="53" t="s">
        <v>2055</v>
      </c>
      <c r="D28" s="57" t="s">
        <v>2558</v>
      </c>
      <c r="E28" s="53" t="s">
        <v>2053</v>
      </c>
      <c r="F28" s="53">
        <v>38261</v>
      </c>
    </row>
    <row r="29" spans="2:6">
      <c r="B29" s="52" t="s">
        <v>2056</v>
      </c>
      <c r="C29" s="52" t="s">
        <v>2055</v>
      </c>
      <c r="D29" s="56" t="s">
        <v>2558</v>
      </c>
      <c r="E29" s="52" t="s">
        <v>2057</v>
      </c>
      <c r="F29" s="52">
        <v>38261</v>
      </c>
    </row>
    <row r="30" spans="2:6">
      <c r="B30" s="53" t="s">
        <v>2824</v>
      </c>
      <c r="C30" s="53" t="s">
        <v>2058</v>
      </c>
      <c r="D30" s="57" t="s">
        <v>2558</v>
      </c>
      <c r="E30" s="53" t="s">
        <v>2059</v>
      </c>
      <c r="F30" s="53">
        <v>38443</v>
      </c>
    </row>
    <row r="31" spans="2:6">
      <c r="B31" s="52" t="s">
        <v>2060</v>
      </c>
      <c r="C31" s="52" t="s">
        <v>2061</v>
      </c>
      <c r="D31" s="56" t="s">
        <v>2558</v>
      </c>
      <c r="E31" s="52" t="s">
        <v>2062</v>
      </c>
      <c r="F31" s="52">
        <v>38473</v>
      </c>
    </row>
    <row r="32" spans="2:6">
      <c r="B32" s="53" t="s">
        <v>2823</v>
      </c>
      <c r="C32" s="53" t="s">
        <v>2063</v>
      </c>
      <c r="D32" s="57" t="s">
        <v>2558</v>
      </c>
      <c r="E32" s="53" t="s">
        <v>2064</v>
      </c>
      <c r="F32" s="53">
        <v>38534</v>
      </c>
    </row>
    <row r="33" spans="2:6">
      <c r="B33" s="52" t="s">
        <v>2065</v>
      </c>
      <c r="C33" s="52" t="s">
        <v>2066</v>
      </c>
      <c r="D33" s="56" t="s">
        <v>2558</v>
      </c>
      <c r="E33" s="52" t="s">
        <v>2067</v>
      </c>
      <c r="F33" s="55">
        <v>2005</v>
      </c>
    </row>
    <row r="34" spans="2:6">
      <c r="B34" s="53" t="s">
        <v>2068</v>
      </c>
      <c r="C34" s="53" t="s">
        <v>2069</v>
      </c>
      <c r="D34" s="57" t="s">
        <v>2560</v>
      </c>
      <c r="E34" s="53" t="s">
        <v>2068</v>
      </c>
      <c r="F34" s="53">
        <v>38565</v>
      </c>
    </row>
    <row r="35" spans="2:6">
      <c r="B35" s="52" t="s">
        <v>2070</v>
      </c>
      <c r="C35" s="52" t="s">
        <v>2071</v>
      </c>
      <c r="D35" s="56" t="s">
        <v>2558</v>
      </c>
      <c r="E35" s="52" t="s">
        <v>2070</v>
      </c>
      <c r="F35" s="55">
        <v>2005</v>
      </c>
    </row>
    <row r="36" spans="2:6">
      <c r="B36" s="53" t="s">
        <v>2072</v>
      </c>
      <c r="C36" s="53" t="s">
        <v>2073</v>
      </c>
      <c r="D36" s="57" t="s">
        <v>2558</v>
      </c>
      <c r="E36" s="53" t="s">
        <v>2074</v>
      </c>
      <c r="F36" s="53">
        <v>38687</v>
      </c>
    </row>
    <row r="37" spans="2:6">
      <c r="B37" s="52" t="s">
        <v>2075</v>
      </c>
      <c r="C37" s="52" t="s">
        <v>2076</v>
      </c>
      <c r="D37" s="56" t="s">
        <v>2558</v>
      </c>
      <c r="E37" s="52" t="s">
        <v>2067</v>
      </c>
      <c r="F37" s="55">
        <v>2005</v>
      </c>
    </row>
    <row r="38" spans="2:6">
      <c r="B38" s="53" t="s">
        <v>2077</v>
      </c>
      <c r="C38" s="53" t="s">
        <v>2076</v>
      </c>
      <c r="D38" s="57" t="s">
        <v>2558</v>
      </c>
      <c r="E38" s="53" t="s">
        <v>2067</v>
      </c>
      <c r="F38" s="31">
        <v>2005</v>
      </c>
    </row>
    <row r="39" spans="2:6">
      <c r="B39" s="52" t="s">
        <v>2078</v>
      </c>
      <c r="C39" s="52" t="s">
        <v>2079</v>
      </c>
      <c r="D39" s="56" t="s">
        <v>2559</v>
      </c>
      <c r="E39" s="52" t="s">
        <v>1987</v>
      </c>
      <c r="F39" s="52">
        <v>38718</v>
      </c>
    </row>
    <row r="40" spans="2:6">
      <c r="B40" s="53" t="s">
        <v>2080</v>
      </c>
      <c r="C40" s="53" t="s">
        <v>2035</v>
      </c>
      <c r="D40" s="57" t="s">
        <v>2558</v>
      </c>
      <c r="E40" s="53" t="s">
        <v>2059</v>
      </c>
      <c r="F40" s="53">
        <v>38749</v>
      </c>
    </row>
    <row r="41" spans="2:6">
      <c r="B41" s="52" t="s">
        <v>2081</v>
      </c>
      <c r="C41" s="52" t="s">
        <v>2082</v>
      </c>
      <c r="D41" s="56" t="s">
        <v>2558</v>
      </c>
      <c r="E41" s="52" t="s">
        <v>2083</v>
      </c>
      <c r="F41" s="52">
        <v>38777</v>
      </c>
    </row>
    <row r="42" spans="2:6">
      <c r="B42" s="53" t="s">
        <v>2084</v>
      </c>
      <c r="C42" s="53" t="s">
        <v>2085</v>
      </c>
      <c r="D42" s="57" t="s">
        <v>2558</v>
      </c>
      <c r="E42" s="53" t="s">
        <v>2086</v>
      </c>
      <c r="F42" s="53">
        <v>38777</v>
      </c>
    </row>
    <row r="43" spans="2:6">
      <c r="B43" s="52" t="s">
        <v>2087</v>
      </c>
      <c r="C43" s="52" t="s">
        <v>2032</v>
      </c>
      <c r="D43" s="56" t="s">
        <v>2558</v>
      </c>
      <c r="E43" s="52" t="s">
        <v>2088</v>
      </c>
      <c r="F43" s="55">
        <v>2006</v>
      </c>
    </row>
    <row r="44" spans="2:6">
      <c r="B44" s="53" t="s">
        <v>2089</v>
      </c>
      <c r="C44" s="53" t="s">
        <v>2090</v>
      </c>
      <c r="D44" s="57" t="s">
        <v>2558</v>
      </c>
      <c r="E44" s="53" t="s">
        <v>2091</v>
      </c>
      <c r="F44" s="53">
        <v>38869</v>
      </c>
    </row>
    <row r="45" spans="2:6">
      <c r="B45" s="52" t="s">
        <v>2092</v>
      </c>
      <c r="C45" s="52" t="s">
        <v>2093</v>
      </c>
      <c r="D45" s="56" t="s">
        <v>2558</v>
      </c>
      <c r="E45" s="52" t="s">
        <v>2094</v>
      </c>
      <c r="F45" s="52">
        <v>38930</v>
      </c>
    </row>
    <row r="46" spans="2:6">
      <c r="B46" s="53" t="s">
        <v>2095</v>
      </c>
      <c r="C46" s="53" t="s">
        <v>2096</v>
      </c>
      <c r="D46" s="57" t="s">
        <v>2558</v>
      </c>
      <c r="E46" s="53" t="s">
        <v>2047</v>
      </c>
      <c r="F46" s="53">
        <v>38991</v>
      </c>
    </row>
    <row r="47" spans="2:6">
      <c r="B47" s="52" t="s">
        <v>2097</v>
      </c>
      <c r="C47" s="52" t="s">
        <v>2098</v>
      </c>
      <c r="D47" s="56" t="s">
        <v>2561</v>
      </c>
      <c r="E47" s="52" t="s">
        <v>2053</v>
      </c>
      <c r="F47" s="52">
        <v>39052</v>
      </c>
    </row>
    <row r="48" spans="2:6">
      <c r="B48" s="53" t="s">
        <v>2099</v>
      </c>
      <c r="C48" s="53" t="s">
        <v>2100</v>
      </c>
      <c r="D48" s="57" t="s">
        <v>2562</v>
      </c>
      <c r="E48" s="53" t="s">
        <v>1987</v>
      </c>
      <c r="F48" s="53">
        <v>39114</v>
      </c>
    </row>
    <row r="49" spans="2:6">
      <c r="B49" s="52" t="s">
        <v>2101</v>
      </c>
      <c r="C49" s="52" t="s">
        <v>2102</v>
      </c>
      <c r="D49" s="56" t="s">
        <v>2558</v>
      </c>
      <c r="E49" s="52" t="s">
        <v>2059</v>
      </c>
      <c r="F49" s="52">
        <v>39142</v>
      </c>
    </row>
    <row r="50" spans="2:6">
      <c r="B50" s="53" t="s">
        <v>2103</v>
      </c>
      <c r="C50" s="53" t="s">
        <v>2061</v>
      </c>
      <c r="D50" s="57" t="s">
        <v>2558</v>
      </c>
      <c r="E50" s="53" t="s">
        <v>1996</v>
      </c>
      <c r="F50" s="54">
        <v>2007</v>
      </c>
    </row>
    <row r="51" spans="2:6">
      <c r="B51" s="52" t="s">
        <v>2104</v>
      </c>
      <c r="C51" s="52" t="s">
        <v>2105</v>
      </c>
      <c r="D51" s="56" t="s">
        <v>2558</v>
      </c>
      <c r="E51" s="52" t="s">
        <v>2083</v>
      </c>
      <c r="F51" s="52">
        <v>39173</v>
      </c>
    </row>
    <row r="52" spans="2:6">
      <c r="B52" s="53" t="s">
        <v>2106</v>
      </c>
      <c r="C52" s="53" t="s">
        <v>2107</v>
      </c>
      <c r="D52" s="57" t="s">
        <v>2563</v>
      </c>
      <c r="E52" s="53" t="s">
        <v>2108</v>
      </c>
      <c r="F52" s="53">
        <v>39173</v>
      </c>
    </row>
    <row r="53" spans="2:6">
      <c r="B53" s="52" t="s">
        <v>2109</v>
      </c>
      <c r="C53" s="52" t="s">
        <v>2110</v>
      </c>
      <c r="D53" s="56" t="s">
        <v>2558</v>
      </c>
      <c r="E53" s="52" t="s">
        <v>2111</v>
      </c>
      <c r="F53" s="52">
        <v>39203</v>
      </c>
    </row>
    <row r="54" spans="2:6">
      <c r="B54" s="53" t="s">
        <v>2112</v>
      </c>
      <c r="C54" s="53" t="s">
        <v>2113</v>
      </c>
      <c r="D54" s="57" t="s">
        <v>2558</v>
      </c>
      <c r="E54" s="53" t="s">
        <v>2112</v>
      </c>
      <c r="F54" s="53">
        <v>39203</v>
      </c>
    </row>
    <row r="55" spans="2:6">
      <c r="B55" s="52" t="s">
        <v>2114</v>
      </c>
      <c r="C55" s="52" t="s">
        <v>2115</v>
      </c>
      <c r="D55" s="56" t="s">
        <v>2564</v>
      </c>
      <c r="E55" s="52" t="s">
        <v>2114</v>
      </c>
      <c r="F55" s="52">
        <v>39234</v>
      </c>
    </row>
    <row r="56" spans="2:6">
      <c r="B56" s="53" t="s">
        <v>2116</v>
      </c>
      <c r="C56" s="53" t="s">
        <v>2117</v>
      </c>
      <c r="D56" s="57" t="s">
        <v>2558</v>
      </c>
      <c r="E56" s="53" t="s">
        <v>2068</v>
      </c>
      <c r="F56" s="53">
        <v>39234</v>
      </c>
    </row>
    <row r="57" spans="2:6">
      <c r="B57" s="52" t="s">
        <v>2118</v>
      </c>
      <c r="C57" s="52" t="s">
        <v>2105</v>
      </c>
      <c r="D57" s="56" t="s">
        <v>2558</v>
      </c>
      <c r="E57" s="52" t="s">
        <v>2083</v>
      </c>
      <c r="F57" s="52">
        <v>39234</v>
      </c>
    </row>
    <row r="58" spans="2:6">
      <c r="B58" s="53" t="s">
        <v>2119</v>
      </c>
      <c r="C58" s="53" t="s">
        <v>2120</v>
      </c>
      <c r="D58" s="57" t="s">
        <v>2565</v>
      </c>
      <c r="E58" s="53" t="s">
        <v>2121</v>
      </c>
      <c r="F58" s="53">
        <v>39264</v>
      </c>
    </row>
    <row r="59" spans="2:6">
      <c r="B59" s="52" t="s">
        <v>2122</v>
      </c>
      <c r="C59" s="52" t="s">
        <v>2123</v>
      </c>
      <c r="D59" s="56" t="s">
        <v>2558</v>
      </c>
      <c r="E59" s="52" t="s">
        <v>2053</v>
      </c>
      <c r="F59" s="52">
        <v>39264</v>
      </c>
    </row>
    <row r="60" spans="2:6">
      <c r="B60" s="53" t="s">
        <v>2124</v>
      </c>
      <c r="C60" s="53" t="s">
        <v>2125</v>
      </c>
      <c r="D60" s="57" t="s">
        <v>2566</v>
      </c>
      <c r="E60" s="53" t="s">
        <v>2126</v>
      </c>
      <c r="F60" s="53">
        <v>39264</v>
      </c>
    </row>
    <row r="61" spans="2:6">
      <c r="B61" s="52" t="s">
        <v>2127</v>
      </c>
      <c r="C61" s="52" t="s">
        <v>2061</v>
      </c>
      <c r="D61" s="56" t="s">
        <v>2558</v>
      </c>
      <c r="E61" s="52" t="s">
        <v>2067</v>
      </c>
      <c r="F61" s="52">
        <v>39326</v>
      </c>
    </row>
    <row r="62" spans="2:6">
      <c r="B62" s="53" t="s">
        <v>2128</v>
      </c>
      <c r="C62" s="53" t="s">
        <v>2129</v>
      </c>
      <c r="D62" s="57" t="s">
        <v>2558</v>
      </c>
      <c r="E62" s="53" t="s">
        <v>2067</v>
      </c>
      <c r="F62" s="53">
        <v>39356</v>
      </c>
    </row>
    <row r="63" spans="2:6">
      <c r="B63" s="52" t="s">
        <v>2130</v>
      </c>
      <c r="C63" s="52" t="s">
        <v>2131</v>
      </c>
      <c r="D63" s="56" t="s">
        <v>2563</v>
      </c>
      <c r="E63" s="52" t="s">
        <v>1996</v>
      </c>
      <c r="F63" s="52">
        <v>39630</v>
      </c>
    </row>
    <row r="64" spans="2:6">
      <c r="B64" s="53" t="s">
        <v>2132</v>
      </c>
      <c r="C64" s="53" t="s">
        <v>2035</v>
      </c>
      <c r="D64" s="57" t="s">
        <v>2558</v>
      </c>
      <c r="E64" s="53" t="s">
        <v>2036</v>
      </c>
      <c r="F64" s="54">
        <v>2008</v>
      </c>
    </row>
    <row r="65" spans="2:6">
      <c r="B65" s="52" t="s">
        <v>2133</v>
      </c>
      <c r="C65" s="52" t="s">
        <v>2134</v>
      </c>
      <c r="D65" s="56" t="s">
        <v>2567</v>
      </c>
      <c r="E65" s="52" t="s">
        <v>2135</v>
      </c>
      <c r="F65" s="52">
        <v>40210</v>
      </c>
    </row>
    <row r="66" spans="2:6">
      <c r="B66" s="53" t="s">
        <v>2136</v>
      </c>
      <c r="C66" s="53" t="s">
        <v>2137</v>
      </c>
      <c r="D66" s="57" t="s">
        <v>2558</v>
      </c>
      <c r="E66" s="53" t="s">
        <v>2138</v>
      </c>
      <c r="F66" s="53">
        <v>40057</v>
      </c>
    </row>
    <row r="67" spans="2:6">
      <c r="B67" s="52" t="s">
        <v>2139</v>
      </c>
      <c r="C67" s="52" t="s">
        <v>2120</v>
      </c>
      <c r="D67" s="56" t="s">
        <v>2568</v>
      </c>
      <c r="E67" s="52" t="s">
        <v>2108</v>
      </c>
      <c r="F67" s="52">
        <v>40118</v>
      </c>
    </row>
    <row r="68" spans="2:6">
      <c r="B68" s="53" t="s">
        <v>2140</v>
      </c>
      <c r="C68" s="53" t="s">
        <v>1985</v>
      </c>
      <c r="D68" s="57" t="s">
        <v>2558</v>
      </c>
      <c r="E68" s="53" t="s">
        <v>1987</v>
      </c>
      <c r="F68" s="53">
        <v>40118</v>
      </c>
    </row>
    <row r="69" spans="2:6">
      <c r="B69" s="52" t="s">
        <v>2141</v>
      </c>
      <c r="C69" s="52" t="s">
        <v>2595</v>
      </c>
      <c r="D69" s="56" t="s">
        <v>2558</v>
      </c>
      <c r="E69" s="52" t="s">
        <v>2142</v>
      </c>
      <c r="F69" s="52">
        <v>40148</v>
      </c>
    </row>
    <row r="70" spans="2:6">
      <c r="B70" s="53" t="s">
        <v>2143</v>
      </c>
      <c r="C70" s="53" t="s">
        <v>2144</v>
      </c>
      <c r="D70" s="57" t="s">
        <v>2560</v>
      </c>
      <c r="E70" s="53" t="s">
        <v>2143</v>
      </c>
      <c r="F70" s="53">
        <v>40210</v>
      </c>
    </row>
    <row r="71" spans="2:6">
      <c r="B71" s="52" t="s">
        <v>2145</v>
      </c>
      <c r="C71" s="52" t="s">
        <v>2146</v>
      </c>
      <c r="D71" s="56" t="s">
        <v>2558</v>
      </c>
      <c r="E71" s="52" t="s">
        <v>2126</v>
      </c>
      <c r="F71" s="52">
        <v>40210</v>
      </c>
    </row>
    <row r="72" spans="2:6">
      <c r="B72" s="53" t="s">
        <v>2147</v>
      </c>
      <c r="C72" s="53" t="s">
        <v>2148</v>
      </c>
      <c r="D72" s="57" t="s">
        <v>2558</v>
      </c>
      <c r="E72" s="53" t="s">
        <v>2048</v>
      </c>
      <c r="F72" s="53">
        <v>40238</v>
      </c>
    </row>
    <row r="73" spans="2:6" ht="15" customHeight="1">
      <c r="B73" s="52" t="s">
        <v>2149</v>
      </c>
      <c r="C73" s="52" t="s">
        <v>2596</v>
      </c>
      <c r="D73" s="56" t="s">
        <v>2569</v>
      </c>
      <c r="E73" s="52" t="s">
        <v>2083</v>
      </c>
      <c r="F73" s="52">
        <v>40238</v>
      </c>
    </row>
    <row r="74" spans="2:6" ht="15" customHeight="1">
      <c r="B74" s="53" t="s">
        <v>2150</v>
      </c>
      <c r="C74" s="53" t="s">
        <v>2597</v>
      </c>
      <c r="D74" s="57" t="s">
        <v>2558</v>
      </c>
      <c r="E74" s="53" t="s">
        <v>1996</v>
      </c>
      <c r="F74" s="53">
        <v>2010</v>
      </c>
    </row>
    <row r="75" spans="2:6" ht="15" customHeight="1">
      <c r="B75" s="52" t="s">
        <v>2151</v>
      </c>
      <c r="C75" s="52" t="s">
        <v>2152</v>
      </c>
      <c r="D75" s="56" t="s">
        <v>2558</v>
      </c>
      <c r="E75" s="52" t="s">
        <v>2153</v>
      </c>
      <c r="F75" s="52">
        <v>40280</v>
      </c>
    </row>
    <row r="76" spans="2:6" ht="15" customHeight="1">
      <c r="B76" s="53" t="s">
        <v>2154</v>
      </c>
      <c r="C76" s="53" t="s">
        <v>2155</v>
      </c>
      <c r="D76" s="57" t="s">
        <v>2558</v>
      </c>
      <c r="E76" s="53" t="s">
        <v>2068</v>
      </c>
      <c r="F76" s="53">
        <v>40280</v>
      </c>
    </row>
    <row r="77" spans="2:6" ht="15" customHeight="1">
      <c r="B77" s="52" t="s">
        <v>2156</v>
      </c>
      <c r="C77" s="52" t="s">
        <v>2157</v>
      </c>
      <c r="D77" s="56" t="s">
        <v>2558</v>
      </c>
      <c r="E77" s="52" t="s">
        <v>2158</v>
      </c>
      <c r="F77" s="52">
        <v>40295</v>
      </c>
    </row>
    <row r="78" spans="2:6" ht="15" customHeight="1">
      <c r="B78" s="53" t="s">
        <v>2159</v>
      </c>
      <c r="C78" s="53" t="s">
        <v>2160</v>
      </c>
      <c r="D78" s="57" t="s">
        <v>2568</v>
      </c>
      <c r="E78" s="53" t="s">
        <v>2068</v>
      </c>
      <c r="F78" s="53">
        <v>40298</v>
      </c>
    </row>
    <row r="79" spans="2:6" ht="15" customHeight="1">
      <c r="B79" s="52" t="s">
        <v>2161</v>
      </c>
      <c r="C79" s="52" t="s">
        <v>2598</v>
      </c>
      <c r="D79" s="56" t="s">
        <v>2570</v>
      </c>
      <c r="E79" s="52" t="s">
        <v>2162</v>
      </c>
      <c r="F79" s="52">
        <v>40681</v>
      </c>
    </row>
    <row r="80" spans="2:6" ht="15" customHeight="1">
      <c r="B80" s="53" t="s">
        <v>2163</v>
      </c>
      <c r="C80" s="53" t="s">
        <v>2164</v>
      </c>
      <c r="D80" s="57" t="s">
        <v>2558</v>
      </c>
      <c r="E80" s="53" t="s">
        <v>2068</v>
      </c>
      <c r="F80" s="53">
        <v>40308</v>
      </c>
    </row>
    <row r="81" spans="2:6" ht="15" customHeight="1">
      <c r="B81" s="52" t="s">
        <v>2165</v>
      </c>
      <c r="C81" s="52" t="s">
        <v>2166</v>
      </c>
      <c r="D81" s="56" t="s">
        <v>2558</v>
      </c>
      <c r="E81" s="52" t="s">
        <v>2167</v>
      </c>
      <c r="F81" s="52">
        <v>40319</v>
      </c>
    </row>
    <row r="82" spans="2:6" ht="15" customHeight="1">
      <c r="B82" s="53" t="s">
        <v>2168</v>
      </c>
      <c r="C82" s="53" t="s">
        <v>2079</v>
      </c>
      <c r="D82" s="57" t="s">
        <v>2571</v>
      </c>
      <c r="E82" s="53" t="s">
        <v>1984</v>
      </c>
      <c r="F82" s="53">
        <v>40332</v>
      </c>
    </row>
    <row r="83" spans="2:6" ht="15" customHeight="1">
      <c r="B83" s="52" t="s">
        <v>2169</v>
      </c>
      <c r="C83" s="52" t="s">
        <v>2170</v>
      </c>
      <c r="D83" s="56" t="s">
        <v>2558</v>
      </c>
      <c r="E83" s="52" t="s">
        <v>2088</v>
      </c>
      <c r="F83" s="52">
        <v>40375</v>
      </c>
    </row>
    <row r="84" spans="2:6" ht="15" customHeight="1">
      <c r="B84" s="53" t="s">
        <v>2171</v>
      </c>
      <c r="C84" s="53" t="s">
        <v>2172</v>
      </c>
      <c r="D84" s="57" t="s">
        <v>2558</v>
      </c>
      <c r="E84" s="53" t="s">
        <v>2173</v>
      </c>
      <c r="F84" s="53">
        <v>40515</v>
      </c>
    </row>
    <row r="85" spans="2:6" ht="15" customHeight="1">
      <c r="B85" s="52" t="s">
        <v>2174</v>
      </c>
      <c r="C85" s="52" t="s">
        <v>2175</v>
      </c>
      <c r="D85" s="56" t="s">
        <v>2558</v>
      </c>
      <c r="E85" s="52" t="s">
        <v>2176</v>
      </c>
      <c r="F85" s="52">
        <v>40400</v>
      </c>
    </row>
    <row r="86" spans="2:6" ht="15" customHeight="1">
      <c r="B86" s="53" t="s">
        <v>2177</v>
      </c>
      <c r="C86" s="53" t="s">
        <v>2178</v>
      </c>
      <c r="D86" s="57" t="s">
        <v>2572</v>
      </c>
      <c r="E86" s="53" t="s">
        <v>2179</v>
      </c>
      <c r="F86" s="53">
        <v>40399</v>
      </c>
    </row>
    <row r="87" spans="2:6" ht="15" customHeight="1">
      <c r="B87" s="52" t="s">
        <v>2180</v>
      </c>
      <c r="C87" s="52" t="s">
        <v>2181</v>
      </c>
      <c r="D87" s="56" t="s">
        <v>2573</v>
      </c>
      <c r="E87" s="52" t="s">
        <v>2182</v>
      </c>
      <c r="F87" s="52">
        <v>40400</v>
      </c>
    </row>
    <row r="88" spans="2:6" ht="15" customHeight="1">
      <c r="B88" s="53" t="s">
        <v>2183</v>
      </c>
      <c r="C88" s="53" t="s">
        <v>2152</v>
      </c>
      <c r="D88" s="57" t="s">
        <v>2564</v>
      </c>
      <c r="E88" s="53" t="s">
        <v>2184</v>
      </c>
      <c r="F88" s="53">
        <v>40405</v>
      </c>
    </row>
    <row r="89" spans="2:6" ht="15" customHeight="1">
      <c r="B89" s="52" t="s">
        <v>2185</v>
      </c>
      <c r="C89" s="52" t="s">
        <v>2061</v>
      </c>
      <c r="D89" s="56" t="s">
        <v>2558</v>
      </c>
      <c r="E89" s="52" t="s">
        <v>2186</v>
      </c>
      <c r="F89" s="52">
        <v>40410</v>
      </c>
    </row>
    <row r="90" spans="2:6" ht="15" customHeight="1">
      <c r="B90" s="53" t="s">
        <v>2187</v>
      </c>
      <c r="C90" s="53" t="s">
        <v>2178</v>
      </c>
      <c r="D90" s="57" t="s">
        <v>2558</v>
      </c>
      <c r="E90" s="53" t="s">
        <v>2188</v>
      </c>
      <c r="F90" s="53">
        <v>40448</v>
      </c>
    </row>
    <row r="91" spans="2:6" ht="15" customHeight="1">
      <c r="B91" s="52" t="s">
        <v>2189</v>
      </c>
      <c r="C91" s="52" t="s">
        <v>2131</v>
      </c>
      <c r="D91" s="56" t="s">
        <v>2574</v>
      </c>
      <c r="E91" s="52" t="s">
        <v>2053</v>
      </c>
      <c r="F91" s="52">
        <v>40476</v>
      </c>
    </row>
    <row r="92" spans="2:6" ht="15" customHeight="1">
      <c r="B92" s="53" t="s">
        <v>2190</v>
      </c>
      <c r="C92" s="53" t="s">
        <v>2191</v>
      </c>
      <c r="D92" s="57" t="s">
        <v>2558</v>
      </c>
      <c r="E92" s="53" t="s">
        <v>2192</v>
      </c>
      <c r="F92" s="53">
        <v>40477</v>
      </c>
    </row>
    <row r="93" spans="2:6" ht="15" customHeight="1">
      <c r="B93" s="52" t="s">
        <v>2193</v>
      </c>
      <c r="C93" s="52" t="s">
        <v>2194</v>
      </c>
      <c r="D93" s="56" t="s">
        <v>2558</v>
      </c>
      <c r="E93" s="52" t="s">
        <v>2068</v>
      </c>
      <c r="F93" s="52">
        <v>40479</v>
      </c>
    </row>
    <row r="94" spans="2:6" ht="15" customHeight="1">
      <c r="B94" s="53" t="s">
        <v>2195</v>
      </c>
      <c r="C94" s="53" t="s">
        <v>2196</v>
      </c>
      <c r="D94" s="57" t="s">
        <v>2558</v>
      </c>
      <c r="E94" s="53" t="s">
        <v>2197</v>
      </c>
      <c r="F94" s="53">
        <v>40515</v>
      </c>
    </row>
    <row r="95" spans="2:6" ht="15" customHeight="1">
      <c r="B95" s="52" t="s">
        <v>2198</v>
      </c>
      <c r="C95" s="52" t="s">
        <v>2199</v>
      </c>
      <c r="D95" s="56" t="s">
        <v>2558</v>
      </c>
      <c r="E95" s="52" t="s">
        <v>2200</v>
      </c>
      <c r="F95" s="52">
        <v>40532</v>
      </c>
    </row>
    <row r="96" spans="2:6" ht="15" customHeight="1">
      <c r="B96" s="53" t="s">
        <v>2201</v>
      </c>
      <c r="C96" s="53" t="s">
        <v>2202</v>
      </c>
      <c r="D96" s="57" t="s">
        <v>2558</v>
      </c>
      <c r="E96" s="53" t="s">
        <v>2203</v>
      </c>
      <c r="F96" s="53">
        <v>40547</v>
      </c>
    </row>
    <row r="97" spans="2:6" ht="15" customHeight="1">
      <c r="B97" s="52" t="s">
        <v>2204</v>
      </c>
      <c r="C97" s="52" t="s">
        <v>2205</v>
      </c>
      <c r="D97" s="56" t="s">
        <v>2558</v>
      </c>
      <c r="E97" s="52" t="s">
        <v>2121</v>
      </c>
      <c r="F97" s="52">
        <v>40568</v>
      </c>
    </row>
    <row r="98" spans="2:6" ht="15" customHeight="1">
      <c r="B98" s="53" t="s">
        <v>2206</v>
      </c>
      <c r="C98" s="53" t="s">
        <v>2137</v>
      </c>
      <c r="D98" s="57" t="s">
        <v>2558</v>
      </c>
      <c r="E98" s="53" t="s">
        <v>2207</v>
      </c>
      <c r="F98" s="53">
        <v>40603</v>
      </c>
    </row>
    <row r="99" spans="2:6" ht="15" customHeight="1">
      <c r="B99" s="52" t="s">
        <v>2208</v>
      </c>
      <c r="C99" s="52" t="s">
        <v>2209</v>
      </c>
      <c r="D99" s="56" t="s">
        <v>2575</v>
      </c>
      <c r="E99" s="52" t="s">
        <v>2184</v>
      </c>
      <c r="F99" s="52">
        <v>40609</v>
      </c>
    </row>
    <row r="100" spans="2:6" ht="15" customHeight="1">
      <c r="B100" s="53" t="s">
        <v>2210</v>
      </c>
      <c r="C100" s="53" t="s">
        <v>2131</v>
      </c>
      <c r="D100" s="57" t="s">
        <v>2558</v>
      </c>
      <c r="E100" s="53" t="s">
        <v>1996</v>
      </c>
      <c r="F100" s="53">
        <v>40609</v>
      </c>
    </row>
    <row r="101" spans="2:6" ht="15" customHeight="1">
      <c r="B101" s="52" t="s">
        <v>2211</v>
      </c>
      <c r="C101" s="52" t="s">
        <v>2212</v>
      </c>
      <c r="D101" s="56" t="s">
        <v>2558</v>
      </c>
      <c r="E101" s="52" t="s">
        <v>1996</v>
      </c>
      <c r="F101" s="52">
        <v>40613</v>
      </c>
    </row>
    <row r="102" spans="2:6" ht="15" customHeight="1">
      <c r="B102" s="53" t="s">
        <v>2213</v>
      </c>
      <c r="C102" s="53" t="s">
        <v>2214</v>
      </c>
      <c r="D102" s="57" t="s">
        <v>2569</v>
      </c>
      <c r="E102" s="53" t="s">
        <v>2215</v>
      </c>
      <c r="F102" s="53">
        <v>40641</v>
      </c>
    </row>
    <row r="103" spans="2:6" ht="15" customHeight="1">
      <c r="B103" s="52" t="s">
        <v>2216</v>
      </c>
      <c r="C103" s="52" t="s">
        <v>2076</v>
      </c>
      <c r="D103" s="56" t="s">
        <v>2558</v>
      </c>
      <c r="E103" s="52" t="s">
        <v>2068</v>
      </c>
      <c r="F103" s="52">
        <v>40659</v>
      </c>
    </row>
    <row r="104" spans="2:6" ht="15" customHeight="1">
      <c r="B104" s="53" t="s">
        <v>2217</v>
      </c>
      <c r="C104" s="53" t="s">
        <v>2218</v>
      </c>
      <c r="D104" s="57" t="s">
        <v>2558</v>
      </c>
      <c r="E104" s="53" t="s">
        <v>2184</v>
      </c>
      <c r="F104" s="53">
        <v>40686</v>
      </c>
    </row>
    <row r="105" spans="2:6" ht="15" customHeight="1">
      <c r="B105" s="52" t="s">
        <v>2219</v>
      </c>
      <c r="C105" s="52" t="s">
        <v>2599</v>
      </c>
      <c r="D105" s="56" t="s">
        <v>2558</v>
      </c>
      <c r="E105" s="52" t="s">
        <v>2220</v>
      </c>
      <c r="F105" s="52">
        <v>40697</v>
      </c>
    </row>
    <row r="106" spans="2:6" ht="15" customHeight="1">
      <c r="B106" s="53" t="s">
        <v>2221</v>
      </c>
      <c r="C106" s="53" t="s">
        <v>1985</v>
      </c>
      <c r="D106" s="57" t="s">
        <v>2576</v>
      </c>
      <c r="E106" s="53" t="s">
        <v>2010</v>
      </c>
      <c r="F106" s="53">
        <v>40707</v>
      </c>
    </row>
    <row r="107" spans="2:6" ht="15" customHeight="1">
      <c r="B107" s="52" t="s">
        <v>2222</v>
      </c>
      <c r="C107" s="52" t="s">
        <v>2223</v>
      </c>
      <c r="D107" s="56" t="s">
        <v>2558</v>
      </c>
      <c r="E107" s="52" t="s">
        <v>2224</v>
      </c>
      <c r="F107" s="52">
        <v>40714</v>
      </c>
    </row>
    <row r="108" spans="2:6" ht="15" customHeight="1">
      <c r="B108" s="53" t="s">
        <v>2225</v>
      </c>
      <c r="C108" s="53" t="s">
        <v>2226</v>
      </c>
      <c r="D108" s="57" t="s">
        <v>2558</v>
      </c>
      <c r="E108" s="53" t="s">
        <v>2227</v>
      </c>
      <c r="F108" s="53">
        <v>40732</v>
      </c>
    </row>
    <row r="109" spans="2:6" ht="15" customHeight="1">
      <c r="B109" s="52" t="s">
        <v>2228</v>
      </c>
      <c r="C109" s="52" t="s">
        <v>2229</v>
      </c>
      <c r="D109" s="56" t="s">
        <v>2558</v>
      </c>
      <c r="E109" s="52" t="s">
        <v>2192</v>
      </c>
      <c r="F109" s="52">
        <v>40745</v>
      </c>
    </row>
    <row r="110" spans="2:6" ht="15" customHeight="1">
      <c r="B110" s="53" t="s">
        <v>2230</v>
      </c>
      <c r="C110" s="53" t="s">
        <v>2231</v>
      </c>
      <c r="D110" s="57" t="s">
        <v>2558</v>
      </c>
      <c r="E110" s="53" t="s">
        <v>2068</v>
      </c>
      <c r="F110" s="53">
        <v>40747</v>
      </c>
    </row>
    <row r="111" spans="2:6" ht="15" customHeight="1">
      <c r="B111" s="52" t="s">
        <v>2232</v>
      </c>
      <c r="C111" s="52" t="s">
        <v>2233</v>
      </c>
      <c r="D111" s="56" t="s">
        <v>2558</v>
      </c>
      <c r="E111" s="52" t="s">
        <v>2227</v>
      </c>
      <c r="F111" s="52">
        <v>40756</v>
      </c>
    </row>
    <row r="112" spans="2:6" ht="15" customHeight="1">
      <c r="B112" s="53" t="s">
        <v>2234</v>
      </c>
      <c r="C112" s="53" t="s">
        <v>2235</v>
      </c>
      <c r="D112" s="57" t="s">
        <v>2558</v>
      </c>
      <c r="E112" s="53" t="s">
        <v>2227</v>
      </c>
      <c r="F112" s="53">
        <v>40770</v>
      </c>
    </row>
    <row r="113" spans="2:6" ht="15" customHeight="1">
      <c r="B113" s="52" t="s">
        <v>2236</v>
      </c>
      <c r="C113" s="52" t="s">
        <v>2237</v>
      </c>
      <c r="D113" s="56" t="s">
        <v>2577</v>
      </c>
      <c r="E113" s="52" t="s">
        <v>2238</v>
      </c>
      <c r="F113" s="52">
        <v>40794</v>
      </c>
    </row>
    <row r="114" spans="2:6" ht="15" customHeight="1">
      <c r="B114" s="53" t="s">
        <v>2239</v>
      </c>
      <c r="C114" s="53" t="s">
        <v>2233</v>
      </c>
      <c r="D114" s="57" t="s">
        <v>2578</v>
      </c>
      <c r="E114" s="53" t="s">
        <v>2227</v>
      </c>
      <c r="F114" s="53">
        <v>40805</v>
      </c>
    </row>
    <row r="115" spans="2:6" ht="15" customHeight="1">
      <c r="B115" s="52" t="s">
        <v>2240</v>
      </c>
      <c r="C115" s="52" t="s">
        <v>2599</v>
      </c>
      <c r="D115" s="56" t="s">
        <v>2558</v>
      </c>
      <c r="E115" s="52" t="s">
        <v>2220</v>
      </c>
      <c r="F115" s="52">
        <v>40823</v>
      </c>
    </row>
    <row r="116" spans="2:6" ht="15" customHeight="1">
      <c r="B116" s="53" t="s">
        <v>2241</v>
      </c>
      <c r="C116" s="53" t="s">
        <v>2242</v>
      </c>
      <c r="D116" s="57" t="s">
        <v>2558</v>
      </c>
      <c r="E116" s="53" t="s">
        <v>2088</v>
      </c>
      <c r="F116" s="53">
        <v>40857</v>
      </c>
    </row>
    <row r="117" spans="2:6" ht="15" customHeight="1">
      <c r="B117" s="52" t="s">
        <v>2243</v>
      </c>
      <c r="C117" s="52" t="s">
        <v>2244</v>
      </c>
      <c r="D117" s="56" t="s">
        <v>2558</v>
      </c>
      <c r="E117" s="52" t="s">
        <v>2192</v>
      </c>
      <c r="F117" s="52">
        <v>40857</v>
      </c>
    </row>
    <row r="118" spans="2:6" ht="15" customHeight="1">
      <c r="B118" s="53" t="s">
        <v>2245</v>
      </c>
      <c r="C118" s="53" t="s">
        <v>2246</v>
      </c>
      <c r="D118" s="57" t="s">
        <v>2558</v>
      </c>
      <c r="E118" s="53" t="s">
        <v>1996</v>
      </c>
      <c r="F118" s="53">
        <v>40886</v>
      </c>
    </row>
    <row r="119" spans="2:6" ht="15" customHeight="1">
      <c r="B119" s="52" t="s">
        <v>2247</v>
      </c>
      <c r="C119" s="52" t="s">
        <v>2248</v>
      </c>
      <c r="D119" s="56" t="s">
        <v>2558</v>
      </c>
      <c r="E119" s="52" t="s">
        <v>2053</v>
      </c>
      <c r="F119" s="52">
        <v>40886</v>
      </c>
    </row>
    <row r="120" spans="2:6" ht="15" customHeight="1">
      <c r="B120" s="53" t="s">
        <v>2249</v>
      </c>
      <c r="C120" s="53" t="s">
        <v>2250</v>
      </c>
      <c r="D120" s="57" t="s">
        <v>2558</v>
      </c>
      <c r="E120" s="53" t="s">
        <v>2192</v>
      </c>
      <c r="F120" s="53">
        <v>40984</v>
      </c>
    </row>
    <row r="121" spans="2:6" ht="15" customHeight="1">
      <c r="B121" s="52" t="s">
        <v>2251</v>
      </c>
      <c r="C121" s="52" t="s">
        <v>2252</v>
      </c>
      <c r="D121" s="56" t="s">
        <v>2558</v>
      </c>
      <c r="E121" s="52" t="s">
        <v>2253</v>
      </c>
      <c r="F121" s="52">
        <v>41001</v>
      </c>
    </row>
    <row r="122" spans="2:6" ht="15" customHeight="1">
      <c r="B122" s="53" t="s">
        <v>2254</v>
      </c>
      <c r="C122" s="53" t="s">
        <v>2255</v>
      </c>
      <c r="D122" s="57" t="s">
        <v>2564</v>
      </c>
      <c r="E122" s="53" t="s">
        <v>2192</v>
      </c>
      <c r="F122" s="53">
        <v>41064</v>
      </c>
    </row>
    <row r="123" spans="2:6" ht="15" customHeight="1">
      <c r="B123" s="52" t="s">
        <v>2256</v>
      </c>
      <c r="C123" s="52" t="s">
        <v>2257</v>
      </c>
      <c r="D123" s="56" t="s">
        <v>2558</v>
      </c>
      <c r="E123" s="52" t="s">
        <v>2083</v>
      </c>
      <c r="F123" s="52">
        <v>41065</v>
      </c>
    </row>
    <row r="124" spans="2:6" ht="15" customHeight="1">
      <c r="B124" s="53" t="s">
        <v>2258</v>
      </c>
      <c r="C124" s="53" t="s">
        <v>2259</v>
      </c>
      <c r="D124" s="57" t="s">
        <v>2569</v>
      </c>
      <c r="E124" s="53" t="s">
        <v>2126</v>
      </c>
      <c r="F124" s="53">
        <v>41110</v>
      </c>
    </row>
    <row r="125" spans="2:6" ht="15" customHeight="1">
      <c r="B125" s="52" t="s">
        <v>2260</v>
      </c>
      <c r="C125" s="52" t="s">
        <v>2600</v>
      </c>
      <c r="D125" s="56" t="s">
        <v>2558</v>
      </c>
      <c r="E125" s="52" t="s">
        <v>2261</v>
      </c>
      <c r="F125" s="52">
        <v>41304</v>
      </c>
    </row>
    <row r="126" spans="2:6" ht="15" customHeight="1">
      <c r="B126" s="53" t="s">
        <v>2262</v>
      </c>
      <c r="C126" s="53" t="s">
        <v>2263</v>
      </c>
      <c r="D126" s="57" t="s">
        <v>2579</v>
      </c>
      <c r="E126" s="53" t="s">
        <v>2188</v>
      </c>
      <c r="F126" s="53">
        <v>41121</v>
      </c>
    </row>
    <row r="127" spans="2:6" ht="15" customHeight="1">
      <c r="B127" s="52" t="s">
        <v>2264</v>
      </c>
      <c r="C127" s="52" t="s">
        <v>2137</v>
      </c>
      <c r="D127" s="56" t="s">
        <v>2558</v>
      </c>
      <c r="E127" s="52" t="s">
        <v>2265</v>
      </c>
      <c r="F127" s="52">
        <v>41159</v>
      </c>
    </row>
    <row r="128" spans="2:6" ht="15" customHeight="1">
      <c r="B128" s="53" t="s">
        <v>2266</v>
      </c>
      <c r="C128" s="53" t="s">
        <v>2267</v>
      </c>
      <c r="D128" s="57" t="s">
        <v>2558</v>
      </c>
      <c r="E128" s="53" t="s">
        <v>2268</v>
      </c>
      <c r="F128" s="53">
        <v>41169</v>
      </c>
    </row>
    <row r="129" spans="2:6" ht="15" customHeight="1">
      <c r="B129" s="52" t="s">
        <v>2269</v>
      </c>
      <c r="C129" s="52" t="s">
        <v>2270</v>
      </c>
      <c r="D129" s="56" t="s">
        <v>2565</v>
      </c>
      <c r="E129" s="52" t="s">
        <v>2068</v>
      </c>
      <c r="F129" s="52">
        <v>41183</v>
      </c>
    </row>
    <row r="130" spans="2:6" ht="15" customHeight="1">
      <c r="B130" s="53" t="s">
        <v>2271</v>
      </c>
      <c r="C130" s="53" t="s">
        <v>2235</v>
      </c>
      <c r="D130" s="57" t="s">
        <v>2558</v>
      </c>
      <c r="E130" s="53" t="s">
        <v>2227</v>
      </c>
      <c r="F130" s="53">
        <v>41213</v>
      </c>
    </row>
    <row r="131" spans="2:6" ht="15" customHeight="1">
      <c r="B131" s="52" t="s">
        <v>2272</v>
      </c>
      <c r="C131" s="52" t="s">
        <v>2273</v>
      </c>
      <c r="D131" s="56" t="s">
        <v>2580</v>
      </c>
      <c r="E131" s="52" t="s">
        <v>2274</v>
      </c>
      <c r="F131" s="52">
        <v>41243</v>
      </c>
    </row>
    <row r="132" spans="2:6" ht="15" customHeight="1">
      <c r="B132" s="53" t="s">
        <v>2275</v>
      </c>
      <c r="C132" s="53" t="s">
        <v>2276</v>
      </c>
      <c r="D132" s="57" t="s">
        <v>2581</v>
      </c>
      <c r="E132" s="53" t="s">
        <v>2184</v>
      </c>
      <c r="F132" s="53">
        <v>41311</v>
      </c>
    </row>
    <row r="133" spans="2:6" ht="15" customHeight="1">
      <c r="B133" s="52" t="s">
        <v>2277</v>
      </c>
      <c r="C133" s="52" t="s">
        <v>2278</v>
      </c>
      <c r="D133" s="56" t="s">
        <v>2582</v>
      </c>
      <c r="E133" s="52" t="s">
        <v>2845</v>
      </c>
      <c r="F133" s="52">
        <v>41345</v>
      </c>
    </row>
    <row r="134" spans="2:6" ht="15" customHeight="1">
      <c r="B134" s="53" t="s">
        <v>2279</v>
      </c>
      <c r="C134" s="53" t="s">
        <v>2280</v>
      </c>
      <c r="D134" s="57" t="s">
        <v>2558</v>
      </c>
      <c r="E134" s="53" t="s">
        <v>223</v>
      </c>
      <c r="F134" s="53">
        <v>41410</v>
      </c>
    </row>
    <row r="135" spans="2:6" ht="15" customHeight="1">
      <c r="B135" s="52" t="s">
        <v>2281</v>
      </c>
      <c r="C135" s="52" t="s">
        <v>2282</v>
      </c>
      <c r="D135" s="56" t="s">
        <v>2558</v>
      </c>
      <c r="E135" s="52" t="s">
        <v>2283</v>
      </c>
      <c r="F135" s="52">
        <v>41387</v>
      </c>
    </row>
    <row r="136" spans="2:6" ht="15" customHeight="1">
      <c r="B136" s="53" t="s">
        <v>2284</v>
      </c>
      <c r="C136" s="53" t="s">
        <v>2285</v>
      </c>
      <c r="D136" s="57" t="s">
        <v>2568</v>
      </c>
      <c r="E136" s="53" t="s">
        <v>2286</v>
      </c>
      <c r="F136" s="53">
        <v>41387</v>
      </c>
    </row>
    <row r="137" spans="2:6" ht="15" customHeight="1">
      <c r="B137" s="52" t="s">
        <v>2287</v>
      </c>
      <c r="C137" s="52" t="s">
        <v>2288</v>
      </c>
      <c r="D137" s="56" t="s">
        <v>2558</v>
      </c>
      <c r="E137" s="52" t="s">
        <v>154</v>
      </c>
      <c r="F137" s="52">
        <v>41416</v>
      </c>
    </row>
    <row r="138" spans="2:6" ht="15" customHeight="1">
      <c r="B138" s="53" t="s">
        <v>2289</v>
      </c>
      <c r="C138" s="53" t="s">
        <v>2076</v>
      </c>
      <c r="D138" s="57" t="s">
        <v>2558</v>
      </c>
      <c r="E138" s="53" t="s">
        <v>2290</v>
      </c>
      <c r="F138" s="53">
        <v>41533</v>
      </c>
    </row>
    <row r="139" spans="2:6" ht="15" customHeight="1">
      <c r="B139" s="52" t="s">
        <v>2291</v>
      </c>
      <c r="C139" s="52" t="s">
        <v>2601</v>
      </c>
      <c r="D139" s="56" t="s">
        <v>2583</v>
      </c>
      <c r="E139" s="52" t="s">
        <v>2846</v>
      </c>
      <c r="F139" s="52">
        <v>41549</v>
      </c>
    </row>
    <row r="140" spans="2:6" ht="15" customHeight="1">
      <c r="B140" s="53" t="s">
        <v>2292</v>
      </c>
      <c r="C140" s="53" t="s">
        <v>2293</v>
      </c>
      <c r="D140" s="57" t="s">
        <v>2562</v>
      </c>
      <c r="E140" s="53" t="s">
        <v>2068</v>
      </c>
      <c r="F140" s="53">
        <v>41569</v>
      </c>
    </row>
    <row r="141" spans="2:6" ht="15" customHeight="1">
      <c r="B141" s="52" t="s">
        <v>2294</v>
      </c>
      <c r="C141" s="52" t="s">
        <v>2295</v>
      </c>
      <c r="D141" s="56" t="s">
        <v>2558</v>
      </c>
      <c r="E141" s="52" t="s">
        <v>154</v>
      </c>
      <c r="F141" s="52">
        <v>41611</v>
      </c>
    </row>
    <row r="142" spans="2:6" ht="15" customHeight="1">
      <c r="B142" s="53" t="s">
        <v>2296</v>
      </c>
      <c r="C142" s="53" t="s">
        <v>2297</v>
      </c>
      <c r="D142" s="57" t="s">
        <v>2558</v>
      </c>
      <c r="E142" s="53" t="s">
        <v>154</v>
      </c>
      <c r="F142" s="53">
        <v>41611</v>
      </c>
    </row>
    <row r="143" spans="2:6" ht="15" customHeight="1">
      <c r="B143" s="52" t="s">
        <v>2298</v>
      </c>
      <c r="C143" s="52" t="s">
        <v>2299</v>
      </c>
      <c r="D143" s="56" t="s">
        <v>2558</v>
      </c>
      <c r="E143" s="52" t="s">
        <v>154</v>
      </c>
      <c r="F143" s="52">
        <v>41611</v>
      </c>
    </row>
    <row r="144" spans="2:6" ht="15" customHeight="1">
      <c r="B144" s="53" t="s">
        <v>2300</v>
      </c>
      <c r="C144" s="53" t="s">
        <v>2301</v>
      </c>
      <c r="D144" s="57" t="s">
        <v>2558</v>
      </c>
      <c r="E144" s="53" t="s">
        <v>154</v>
      </c>
      <c r="F144" s="53">
        <v>41611</v>
      </c>
    </row>
    <row r="145" spans="2:6" ht="15" customHeight="1">
      <c r="B145" s="52" t="s">
        <v>2302</v>
      </c>
      <c r="C145" s="52" t="s">
        <v>2303</v>
      </c>
      <c r="D145" s="56" t="s">
        <v>2558</v>
      </c>
      <c r="E145" s="52" t="s">
        <v>154</v>
      </c>
      <c r="F145" s="52">
        <v>41611</v>
      </c>
    </row>
    <row r="146" spans="2:6" ht="15" customHeight="1">
      <c r="B146" s="53" t="s">
        <v>2304</v>
      </c>
      <c r="C146" s="53" t="s">
        <v>2305</v>
      </c>
      <c r="D146" s="57" t="s">
        <v>2558</v>
      </c>
      <c r="E146" s="53" t="s">
        <v>154</v>
      </c>
      <c r="F146" s="53">
        <v>41611</v>
      </c>
    </row>
    <row r="147" spans="2:6" ht="15" customHeight="1">
      <c r="B147" s="52" t="s">
        <v>2306</v>
      </c>
      <c r="C147" s="52" t="s">
        <v>2307</v>
      </c>
      <c r="D147" s="56" t="s">
        <v>2558</v>
      </c>
      <c r="E147" s="52" t="s">
        <v>154</v>
      </c>
      <c r="F147" s="52">
        <v>41611</v>
      </c>
    </row>
    <row r="148" spans="2:6" ht="15" customHeight="1">
      <c r="B148" s="53" t="s">
        <v>2308</v>
      </c>
      <c r="C148" s="53" t="s">
        <v>2309</v>
      </c>
      <c r="D148" s="57" t="s">
        <v>2558</v>
      </c>
      <c r="E148" s="53" t="s">
        <v>154</v>
      </c>
      <c r="F148" s="53">
        <v>41621</v>
      </c>
    </row>
    <row r="149" spans="2:6" ht="15" customHeight="1">
      <c r="B149" s="52" t="s">
        <v>2310</v>
      </c>
      <c r="C149" s="52" t="s">
        <v>2311</v>
      </c>
      <c r="D149" s="56" t="s">
        <v>2558</v>
      </c>
      <c r="E149" s="52" t="s">
        <v>2068</v>
      </c>
      <c r="F149" s="52">
        <v>41645</v>
      </c>
    </row>
    <row r="150" spans="2:6" ht="15" customHeight="1">
      <c r="B150" s="53" t="s">
        <v>2312</v>
      </c>
      <c r="C150" s="53" t="s">
        <v>2313</v>
      </c>
      <c r="D150" s="57" t="s">
        <v>2558</v>
      </c>
      <c r="E150" s="53" t="s">
        <v>2207</v>
      </c>
      <c r="F150" s="53">
        <v>41654</v>
      </c>
    </row>
    <row r="151" spans="2:6" ht="15" customHeight="1">
      <c r="B151" s="52" t="s">
        <v>2314</v>
      </c>
      <c r="C151" s="52" t="s">
        <v>2315</v>
      </c>
      <c r="D151" s="56" t="s">
        <v>2566</v>
      </c>
      <c r="E151" s="52" t="s">
        <v>2316</v>
      </c>
      <c r="F151" s="52">
        <v>41665</v>
      </c>
    </row>
    <row r="152" spans="2:6" ht="15" customHeight="1">
      <c r="B152" s="53" t="s">
        <v>2317</v>
      </c>
      <c r="C152" s="53" t="s">
        <v>2318</v>
      </c>
      <c r="D152" s="57" t="s">
        <v>2558</v>
      </c>
      <c r="E152" s="53" t="s">
        <v>2207</v>
      </c>
      <c r="F152" s="53">
        <v>41686</v>
      </c>
    </row>
    <row r="153" spans="2:6" ht="15" customHeight="1">
      <c r="B153" s="52" t="s">
        <v>2319</v>
      </c>
      <c r="C153" s="52" t="s">
        <v>2320</v>
      </c>
      <c r="D153" s="56" t="s">
        <v>2558</v>
      </c>
      <c r="E153" s="52" t="s">
        <v>2321</v>
      </c>
      <c r="F153" s="52">
        <v>41691</v>
      </c>
    </row>
    <row r="154" spans="2:6" ht="15" customHeight="1">
      <c r="B154" s="53" t="s">
        <v>2322</v>
      </c>
      <c r="C154" s="53" t="s">
        <v>2157</v>
      </c>
      <c r="D154" s="57" t="s">
        <v>2558</v>
      </c>
      <c r="E154" s="53" t="s">
        <v>2068</v>
      </c>
      <c r="F154" s="53">
        <v>41710</v>
      </c>
    </row>
    <row r="155" spans="2:6" ht="15" customHeight="1">
      <c r="B155" s="52" t="s">
        <v>2323</v>
      </c>
      <c r="C155" s="52" t="s">
        <v>2324</v>
      </c>
      <c r="D155" s="56" t="s">
        <v>2558</v>
      </c>
      <c r="E155" s="52" t="s">
        <v>2325</v>
      </c>
      <c r="F155" s="52">
        <v>41743</v>
      </c>
    </row>
    <row r="156" spans="2:6" ht="15" customHeight="1">
      <c r="B156" s="53" t="s">
        <v>2326</v>
      </c>
      <c r="C156" s="53" t="s">
        <v>2327</v>
      </c>
      <c r="D156" s="57" t="s">
        <v>2558</v>
      </c>
      <c r="E156" s="53" t="s">
        <v>2184</v>
      </c>
      <c r="F156" s="53">
        <v>41761</v>
      </c>
    </row>
    <row r="157" spans="2:6" ht="15" customHeight="1">
      <c r="B157" s="52" t="s">
        <v>2328</v>
      </c>
      <c r="C157" s="52" t="s">
        <v>2329</v>
      </c>
      <c r="D157" s="56" t="s">
        <v>2558</v>
      </c>
      <c r="E157" s="52" t="s">
        <v>2330</v>
      </c>
      <c r="F157" s="52">
        <v>41766</v>
      </c>
    </row>
    <row r="158" spans="2:6" ht="15" customHeight="1">
      <c r="B158" s="53" t="s">
        <v>2331</v>
      </c>
      <c r="C158" s="53" t="s">
        <v>2332</v>
      </c>
      <c r="D158" s="57" t="s">
        <v>2558</v>
      </c>
      <c r="E158" s="53" t="s">
        <v>2333</v>
      </c>
      <c r="F158" s="53">
        <v>41775</v>
      </c>
    </row>
    <row r="159" spans="2:6" ht="15" customHeight="1">
      <c r="B159" s="52" t="s">
        <v>2334</v>
      </c>
      <c r="C159" s="52" t="s">
        <v>2280</v>
      </c>
      <c r="D159" s="56" t="s">
        <v>2558</v>
      </c>
      <c r="E159" s="52" t="s">
        <v>1991</v>
      </c>
      <c r="F159" s="52">
        <v>41778</v>
      </c>
    </row>
    <row r="160" spans="2:6" ht="15" customHeight="1">
      <c r="B160" s="53" t="s">
        <v>2335</v>
      </c>
      <c r="C160" s="53" t="s">
        <v>2602</v>
      </c>
      <c r="D160" s="57" t="s">
        <v>2558</v>
      </c>
      <c r="E160" s="53" t="s">
        <v>1981</v>
      </c>
      <c r="F160" s="53">
        <v>41793</v>
      </c>
    </row>
    <row r="161" spans="2:6" ht="15" customHeight="1">
      <c r="B161" s="52" t="s">
        <v>2336</v>
      </c>
      <c r="C161" s="52" t="s">
        <v>2337</v>
      </c>
      <c r="D161" s="56" t="s">
        <v>2558</v>
      </c>
      <c r="E161" s="52" t="s">
        <v>2338</v>
      </c>
      <c r="F161" s="52">
        <v>41800</v>
      </c>
    </row>
    <row r="162" spans="2:6" ht="15" customHeight="1">
      <c r="B162" s="53" t="s">
        <v>2339</v>
      </c>
      <c r="C162" s="53" t="s">
        <v>2340</v>
      </c>
      <c r="D162" s="57" t="s">
        <v>2558</v>
      </c>
      <c r="E162" s="53" t="s">
        <v>2341</v>
      </c>
      <c r="F162" s="53">
        <v>41810</v>
      </c>
    </row>
    <row r="163" spans="2:6" ht="15" customHeight="1">
      <c r="B163" s="52" t="s">
        <v>2342</v>
      </c>
      <c r="C163" s="52" t="s">
        <v>2343</v>
      </c>
      <c r="D163" s="56" t="s">
        <v>2584</v>
      </c>
      <c r="E163" s="52" t="s">
        <v>2344</v>
      </c>
      <c r="F163" s="52">
        <v>41820</v>
      </c>
    </row>
    <row r="164" spans="2:6" ht="15" customHeight="1">
      <c r="B164" s="53" t="s">
        <v>2345</v>
      </c>
      <c r="C164" s="53" t="s">
        <v>1985</v>
      </c>
      <c r="D164" s="57" t="s">
        <v>2558</v>
      </c>
      <c r="E164" s="53" t="s">
        <v>1984</v>
      </c>
      <c r="F164" s="53">
        <v>41821</v>
      </c>
    </row>
    <row r="165" spans="2:6" ht="15" customHeight="1">
      <c r="B165" s="52" t="s">
        <v>2346</v>
      </c>
      <c r="C165" s="52" t="s">
        <v>2347</v>
      </c>
      <c r="D165" s="56" t="s">
        <v>2558</v>
      </c>
      <c r="E165" s="52" t="s">
        <v>2348</v>
      </c>
      <c r="F165" s="52">
        <v>41831</v>
      </c>
    </row>
    <row r="166" spans="2:6" ht="15" customHeight="1">
      <c r="B166" s="53" t="s">
        <v>2349</v>
      </c>
      <c r="C166" s="53" t="s">
        <v>2350</v>
      </c>
      <c r="D166" s="57" t="s">
        <v>2585</v>
      </c>
      <c r="E166" s="53" t="s">
        <v>1981</v>
      </c>
      <c r="F166" s="53">
        <v>41810</v>
      </c>
    </row>
    <row r="167" spans="2:6" ht="15" customHeight="1">
      <c r="B167" s="52" t="s">
        <v>2351</v>
      </c>
      <c r="C167" s="52" t="s">
        <v>2352</v>
      </c>
      <c r="D167" s="56" t="s">
        <v>2586</v>
      </c>
      <c r="E167" s="52" t="s">
        <v>2068</v>
      </c>
      <c r="F167" s="52">
        <v>41843</v>
      </c>
    </row>
    <row r="168" spans="2:6" ht="15" customHeight="1">
      <c r="B168" s="53" t="s">
        <v>2353</v>
      </c>
      <c r="C168" s="53" t="s">
        <v>2164</v>
      </c>
      <c r="D168" s="57" t="s">
        <v>2558</v>
      </c>
      <c r="E168" s="53" t="s">
        <v>2354</v>
      </c>
      <c r="F168" s="53">
        <v>41821</v>
      </c>
    </row>
    <row r="169" spans="2:6" ht="15" customHeight="1">
      <c r="B169" s="52" t="s">
        <v>2355</v>
      </c>
      <c r="C169" s="52" t="s">
        <v>2356</v>
      </c>
      <c r="D169" s="56" t="s">
        <v>2558</v>
      </c>
      <c r="E169" s="52" t="s">
        <v>2068</v>
      </c>
      <c r="F169" s="52">
        <v>41857</v>
      </c>
    </row>
    <row r="170" spans="2:6" ht="15" customHeight="1">
      <c r="B170" s="53" t="s">
        <v>2357</v>
      </c>
      <c r="C170" s="53" t="s">
        <v>2358</v>
      </c>
      <c r="D170" s="57" t="s">
        <v>2558</v>
      </c>
      <c r="E170" s="53" t="s">
        <v>2359</v>
      </c>
      <c r="F170" s="53">
        <v>41857</v>
      </c>
    </row>
    <row r="171" spans="2:6" ht="15" customHeight="1">
      <c r="B171" s="52" t="s">
        <v>2360</v>
      </c>
      <c r="C171" s="52" t="s">
        <v>2361</v>
      </c>
      <c r="D171" s="56" t="s">
        <v>2558</v>
      </c>
      <c r="E171" s="52" t="s">
        <v>1996</v>
      </c>
      <c r="F171" s="52">
        <v>41863</v>
      </c>
    </row>
    <row r="172" spans="2:6" ht="15" customHeight="1">
      <c r="B172" s="53" t="s">
        <v>2362</v>
      </c>
      <c r="C172" s="53" t="s">
        <v>2363</v>
      </c>
      <c r="D172" s="57" t="s">
        <v>2558</v>
      </c>
      <c r="E172" s="53" t="s">
        <v>2048</v>
      </c>
      <c r="F172" s="53">
        <v>41868</v>
      </c>
    </row>
    <row r="173" spans="2:6" ht="15" customHeight="1">
      <c r="B173" s="52" t="s">
        <v>2364</v>
      </c>
      <c r="C173" s="52" t="s">
        <v>2365</v>
      </c>
      <c r="D173" s="56" t="s">
        <v>2558</v>
      </c>
      <c r="E173" s="52" t="s">
        <v>154</v>
      </c>
      <c r="F173" s="52">
        <v>41870</v>
      </c>
    </row>
    <row r="174" spans="2:6" ht="15" customHeight="1">
      <c r="B174" s="53" t="s">
        <v>2366</v>
      </c>
      <c r="C174" s="53" t="s">
        <v>2367</v>
      </c>
      <c r="D174" s="57" t="s">
        <v>2558</v>
      </c>
      <c r="E174" s="53" t="s">
        <v>1991</v>
      </c>
      <c r="F174" s="53">
        <v>41877</v>
      </c>
    </row>
    <row r="175" spans="2:6" ht="15" customHeight="1">
      <c r="B175" s="52" t="s">
        <v>2368</v>
      </c>
      <c r="C175" s="52" t="s">
        <v>2369</v>
      </c>
      <c r="D175" s="56" t="s">
        <v>2558</v>
      </c>
      <c r="E175" s="52" t="s">
        <v>2370</v>
      </c>
      <c r="F175" s="52">
        <v>41892</v>
      </c>
    </row>
    <row r="176" spans="2:6" ht="15" customHeight="1">
      <c r="B176" s="53" t="s">
        <v>2371</v>
      </c>
      <c r="C176" s="53" t="s">
        <v>2372</v>
      </c>
      <c r="D176" s="57" t="s">
        <v>2558</v>
      </c>
      <c r="E176" s="53" t="s">
        <v>2192</v>
      </c>
      <c r="F176" s="53">
        <v>41893</v>
      </c>
    </row>
    <row r="177" spans="2:6" ht="15" customHeight="1">
      <c r="B177" s="52" t="s">
        <v>2373</v>
      </c>
      <c r="C177" s="52" t="s">
        <v>2603</v>
      </c>
      <c r="D177" s="56" t="s">
        <v>2558</v>
      </c>
      <c r="E177" s="52" t="s">
        <v>1991</v>
      </c>
      <c r="F177" s="52">
        <v>41933</v>
      </c>
    </row>
    <row r="178" spans="2:6" ht="15" customHeight="1">
      <c r="B178" s="53" t="s">
        <v>2374</v>
      </c>
      <c r="C178" s="53" t="s">
        <v>2315</v>
      </c>
      <c r="D178" s="57" t="s">
        <v>2574</v>
      </c>
      <c r="E178" s="53" t="s">
        <v>2316</v>
      </c>
      <c r="F178" s="53">
        <v>41935</v>
      </c>
    </row>
    <row r="179" spans="2:6" ht="15" customHeight="1">
      <c r="B179" s="52" t="s">
        <v>2375</v>
      </c>
      <c r="C179" s="52" t="s">
        <v>1982</v>
      </c>
      <c r="D179" s="56" t="s">
        <v>2558</v>
      </c>
      <c r="E179" s="52" t="s">
        <v>1981</v>
      </c>
      <c r="F179" s="52">
        <v>41936</v>
      </c>
    </row>
    <row r="180" spans="2:6" ht="15" customHeight="1">
      <c r="B180" s="53" t="s">
        <v>2376</v>
      </c>
      <c r="C180" s="53" t="s">
        <v>2377</v>
      </c>
      <c r="D180" s="57" t="s">
        <v>2558</v>
      </c>
      <c r="E180" s="53" t="s">
        <v>2068</v>
      </c>
      <c r="F180" s="53">
        <v>41983</v>
      </c>
    </row>
    <row r="181" spans="2:6" ht="15" customHeight="1">
      <c r="B181" s="52" t="s">
        <v>2378</v>
      </c>
      <c r="C181" s="52" t="s">
        <v>2379</v>
      </c>
      <c r="D181" s="56" t="s">
        <v>2558</v>
      </c>
      <c r="E181" s="52" t="s">
        <v>1996</v>
      </c>
      <c r="F181" s="52">
        <v>41990</v>
      </c>
    </row>
    <row r="182" spans="2:6" ht="15" customHeight="1">
      <c r="B182" s="53" t="s">
        <v>2380</v>
      </c>
      <c r="C182" s="53" t="s">
        <v>2381</v>
      </c>
      <c r="D182" s="57" t="s">
        <v>2558</v>
      </c>
      <c r="E182" s="53" t="s">
        <v>2382</v>
      </c>
      <c r="F182" s="53">
        <v>42017</v>
      </c>
    </row>
    <row r="183" spans="2:6" ht="15" customHeight="1">
      <c r="B183" s="52" t="s">
        <v>2383</v>
      </c>
      <c r="C183" s="52" t="s">
        <v>2384</v>
      </c>
      <c r="D183" s="56" t="s">
        <v>2558</v>
      </c>
      <c r="E183" s="52" t="s">
        <v>2192</v>
      </c>
      <c r="F183" s="52">
        <v>42024</v>
      </c>
    </row>
    <row r="184" spans="2:6" ht="15" customHeight="1">
      <c r="B184" s="53" t="s">
        <v>2385</v>
      </c>
      <c r="C184" s="53" t="s">
        <v>2386</v>
      </c>
      <c r="D184" s="57" t="s">
        <v>2558</v>
      </c>
      <c r="E184" s="53" t="s">
        <v>2387</v>
      </c>
      <c r="F184" s="53">
        <v>42058</v>
      </c>
    </row>
    <row r="185" spans="2:6" ht="15" customHeight="1">
      <c r="B185" s="52" t="s">
        <v>2388</v>
      </c>
      <c r="C185" s="52" t="s">
        <v>2389</v>
      </c>
      <c r="D185" s="56" t="s">
        <v>2558</v>
      </c>
      <c r="E185" s="52" t="s">
        <v>2215</v>
      </c>
      <c r="F185" s="52">
        <v>42080</v>
      </c>
    </row>
    <row r="186" spans="2:6" ht="15" customHeight="1">
      <c r="B186" s="53" t="s">
        <v>2390</v>
      </c>
      <c r="C186" s="53" t="s">
        <v>2391</v>
      </c>
      <c r="D186" s="57" t="s">
        <v>2558</v>
      </c>
      <c r="E186" s="53" t="s">
        <v>2392</v>
      </c>
      <c r="F186" s="53">
        <v>42104</v>
      </c>
    </row>
    <row r="187" spans="2:6" ht="15" customHeight="1">
      <c r="B187" s="52" t="s">
        <v>2393</v>
      </c>
      <c r="C187" s="52" t="s">
        <v>2394</v>
      </c>
      <c r="D187" s="56" t="s">
        <v>2558</v>
      </c>
      <c r="E187" s="52" t="s">
        <v>2395</v>
      </c>
      <c r="F187" s="52">
        <v>42110</v>
      </c>
    </row>
    <row r="188" spans="2:6" ht="15" customHeight="1">
      <c r="B188" s="53" t="s">
        <v>2396</v>
      </c>
      <c r="C188" s="53" t="s">
        <v>2076</v>
      </c>
      <c r="D188" s="57" t="s">
        <v>2558</v>
      </c>
      <c r="E188" s="53" t="s">
        <v>2397</v>
      </c>
      <c r="F188" s="53">
        <v>42128</v>
      </c>
    </row>
    <row r="189" spans="2:6" ht="15" customHeight="1">
      <c r="B189" s="52" t="s">
        <v>2398</v>
      </c>
      <c r="C189" s="52" t="s">
        <v>2399</v>
      </c>
      <c r="D189" s="56" t="s">
        <v>2558</v>
      </c>
      <c r="E189" s="52" t="s">
        <v>2068</v>
      </c>
      <c r="F189" s="52">
        <v>42131</v>
      </c>
    </row>
    <row r="190" spans="2:6" ht="15" customHeight="1">
      <c r="B190" s="53" t="s">
        <v>2400</v>
      </c>
      <c r="C190" s="53" t="s">
        <v>2377</v>
      </c>
      <c r="D190" s="57" t="s">
        <v>2558</v>
      </c>
      <c r="E190" s="53" t="s">
        <v>2068</v>
      </c>
      <c r="F190" s="53">
        <v>42139</v>
      </c>
    </row>
    <row r="191" spans="2:6" ht="15" customHeight="1">
      <c r="B191" s="52" t="s">
        <v>2401</v>
      </c>
      <c r="C191" s="52" t="s">
        <v>2402</v>
      </c>
      <c r="D191" s="56" t="s">
        <v>2558</v>
      </c>
      <c r="E191" s="52" t="s">
        <v>2403</v>
      </c>
      <c r="F191" s="52">
        <v>42268</v>
      </c>
    </row>
    <row r="192" spans="2:6" ht="15" customHeight="1">
      <c r="B192" s="53" t="s">
        <v>2404</v>
      </c>
      <c r="C192" s="53" t="s">
        <v>2405</v>
      </c>
      <c r="D192" s="57" t="s">
        <v>2558</v>
      </c>
      <c r="E192" s="53" t="s">
        <v>2406</v>
      </c>
      <c r="F192" s="53">
        <v>42277</v>
      </c>
    </row>
    <row r="193" spans="2:6" ht="15" customHeight="1">
      <c r="B193" s="52" t="s">
        <v>2407</v>
      </c>
      <c r="C193" s="52" t="s">
        <v>2408</v>
      </c>
      <c r="D193" s="56" t="s">
        <v>2558</v>
      </c>
      <c r="E193" s="52" t="s">
        <v>2409</v>
      </c>
      <c r="F193" s="52">
        <v>42282</v>
      </c>
    </row>
    <row r="194" spans="2:6" ht="15" customHeight="1">
      <c r="B194" s="53" t="s">
        <v>2410</v>
      </c>
      <c r="C194" s="53" t="s">
        <v>2411</v>
      </c>
      <c r="D194" s="57" t="s">
        <v>2558</v>
      </c>
      <c r="E194" s="53" t="s">
        <v>2412</v>
      </c>
      <c r="F194" s="53">
        <v>42285</v>
      </c>
    </row>
    <row r="195" spans="2:6" ht="15" customHeight="1">
      <c r="B195" s="52" t="s">
        <v>2413</v>
      </c>
      <c r="C195" s="52" t="s">
        <v>2379</v>
      </c>
      <c r="D195" s="56" t="s">
        <v>2558</v>
      </c>
      <c r="E195" s="52" t="s">
        <v>2290</v>
      </c>
      <c r="F195" s="52">
        <v>42312</v>
      </c>
    </row>
    <row r="196" spans="2:6" ht="15" customHeight="1">
      <c r="B196" s="53" t="s">
        <v>2414</v>
      </c>
      <c r="C196" s="53" t="s">
        <v>2415</v>
      </c>
      <c r="D196" s="57" t="s">
        <v>2587</v>
      </c>
      <c r="E196" s="53" t="s">
        <v>1991</v>
      </c>
      <c r="F196" s="53">
        <v>42318</v>
      </c>
    </row>
    <row r="197" spans="2:6" ht="15" customHeight="1">
      <c r="B197" s="52" t="s">
        <v>2416</v>
      </c>
      <c r="C197" s="52" t="s">
        <v>2417</v>
      </c>
      <c r="D197" s="56" t="s">
        <v>2558</v>
      </c>
      <c r="E197" s="52" t="s">
        <v>1996</v>
      </c>
      <c r="F197" s="52">
        <v>42408</v>
      </c>
    </row>
    <row r="198" spans="2:6" ht="15" customHeight="1">
      <c r="B198" s="53" t="s">
        <v>2418</v>
      </c>
      <c r="C198" s="53" t="s">
        <v>2419</v>
      </c>
      <c r="D198" s="57" t="s">
        <v>2558</v>
      </c>
      <c r="E198" s="53" t="s">
        <v>2420</v>
      </c>
      <c r="F198" s="53">
        <v>42417</v>
      </c>
    </row>
    <row r="199" spans="2:6" ht="15" customHeight="1">
      <c r="B199" s="52" t="s">
        <v>2421</v>
      </c>
      <c r="C199" s="52" t="s">
        <v>2422</v>
      </c>
      <c r="D199" s="56" t="s">
        <v>2558</v>
      </c>
      <c r="E199" s="52" t="s">
        <v>2083</v>
      </c>
      <c r="F199" s="52">
        <v>42430</v>
      </c>
    </row>
    <row r="200" spans="2:6" ht="15" customHeight="1">
      <c r="B200" s="53" t="s">
        <v>2423</v>
      </c>
      <c r="C200" s="53" t="s">
        <v>2424</v>
      </c>
      <c r="D200" s="57" t="s">
        <v>2558</v>
      </c>
      <c r="E200" s="53" t="s">
        <v>2425</v>
      </c>
      <c r="F200" s="53">
        <v>42543</v>
      </c>
    </row>
    <row r="201" spans="2:6" ht="15" customHeight="1">
      <c r="B201" s="52" t="s">
        <v>2426</v>
      </c>
      <c r="C201" s="52" t="s">
        <v>2427</v>
      </c>
      <c r="D201" s="56" t="s">
        <v>2558</v>
      </c>
      <c r="E201" s="52" t="s">
        <v>2290</v>
      </c>
      <c r="F201" s="52">
        <v>42557</v>
      </c>
    </row>
    <row r="202" spans="2:6" ht="15" customHeight="1">
      <c r="B202" s="53" t="s">
        <v>2428</v>
      </c>
      <c r="C202" s="53" t="s">
        <v>2429</v>
      </c>
      <c r="D202" s="57" t="s">
        <v>2558</v>
      </c>
      <c r="E202" s="53" t="s">
        <v>1991</v>
      </c>
      <c r="F202" s="53">
        <v>42563</v>
      </c>
    </row>
    <row r="203" spans="2:6" ht="15" customHeight="1">
      <c r="B203" s="52" t="s">
        <v>2430</v>
      </c>
      <c r="C203" s="52" t="s">
        <v>2431</v>
      </c>
      <c r="D203" s="56" t="s">
        <v>2558</v>
      </c>
      <c r="E203" s="52" t="s">
        <v>2420</v>
      </c>
      <c r="F203" s="52">
        <v>42571</v>
      </c>
    </row>
    <row r="204" spans="2:6" ht="15" customHeight="1">
      <c r="B204" s="53" t="s">
        <v>2432</v>
      </c>
      <c r="C204" s="53" t="s">
        <v>2433</v>
      </c>
      <c r="D204" s="57" t="s">
        <v>2558</v>
      </c>
      <c r="E204" s="53" t="s">
        <v>2373</v>
      </c>
      <c r="F204" s="53">
        <v>42585</v>
      </c>
    </row>
    <row r="205" spans="2:6" ht="15" customHeight="1">
      <c r="B205" s="52" t="s">
        <v>2434</v>
      </c>
      <c r="C205" s="52" t="s">
        <v>2415</v>
      </c>
      <c r="D205" s="56" t="s">
        <v>2564</v>
      </c>
      <c r="E205" s="52" t="s">
        <v>1991</v>
      </c>
      <c r="F205" s="52">
        <v>42590</v>
      </c>
    </row>
    <row r="206" spans="2:6" ht="15" customHeight="1">
      <c r="B206" s="53" t="s">
        <v>2435</v>
      </c>
      <c r="C206" s="53" t="s">
        <v>2436</v>
      </c>
      <c r="D206" s="57" t="s">
        <v>2566</v>
      </c>
      <c r="E206" s="53" t="s">
        <v>1991</v>
      </c>
      <c r="F206" s="53">
        <v>42621</v>
      </c>
    </row>
    <row r="207" spans="2:6" ht="15" customHeight="1">
      <c r="B207" s="52" t="s">
        <v>2437</v>
      </c>
      <c r="C207" s="52" t="s">
        <v>2438</v>
      </c>
      <c r="D207" s="56" t="s">
        <v>2558</v>
      </c>
      <c r="E207" s="52" t="s">
        <v>2053</v>
      </c>
      <c r="F207" s="52">
        <v>42625</v>
      </c>
    </row>
    <row r="208" spans="2:6" ht="15" customHeight="1">
      <c r="B208" s="53" t="s">
        <v>2439</v>
      </c>
      <c r="C208" s="53" t="s">
        <v>2285</v>
      </c>
      <c r="D208" s="57" t="s">
        <v>2558</v>
      </c>
      <c r="E208" s="53" t="s">
        <v>2440</v>
      </c>
      <c r="F208" s="53">
        <v>42632</v>
      </c>
    </row>
    <row r="209" spans="2:6" ht="15" customHeight="1">
      <c r="B209" s="52" t="s">
        <v>2441</v>
      </c>
      <c r="C209" s="52" t="s">
        <v>2442</v>
      </c>
      <c r="D209" s="56" t="s">
        <v>2558</v>
      </c>
      <c r="E209" s="52" t="s">
        <v>1996</v>
      </c>
      <c r="F209" s="52">
        <v>42654</v>
      </c>
    </row>
    <row r="210" spans="2:6" ht="15" customHeight="1">
      <c r="B210" s="53" t="s">
        <v>2443</v>
      </c>
      <c r="C210" s="53" t="s">
        <v>2444</v>
      </c>
      <c r="D210" s="57" t="s">
        <v>2558</v>
      </c>
      <c r="E210" s="53"/>
      <c r="F210" s="53">
        <v>42667</v>
      </c>
    </row>
    <row r="211" spans="2:6" ht="15" customHeight="1">
      <c r="B211" s="52" t="s">
        <v>2445</v>
      </c>
      <c r="C211" s="52" t="s">
        <v>2446</v>
      </c>
      <c r="D211" s="56" t="s">
        <v>2558</v>
      </c>
      <c r="E211" s="52" t="s">
        <v>2068</v>
      </c>
      <c r="F211" s="52">
        <v>42668</v>
      </c>
    </row>
    <row r="212" spans="2:6" ht="15" customHeight="1">
      <c r="B212" s="53" t="s">
        <v>2447</v>
      </c>
      <c r="C212" s="53" t="s">
        <v>2604</v>
      </c>
      <c r="D212" s="57" t="s">
        <v>2558</v>
      </c>
      <c r="E212" s="53" t="s">
        <v>1991</v>
      </c>
      <c r="F212" s="53">
        <v>42676</v>
      </c>
    </row>
    <row r="213" spans="2:6" ht="15" customHeight="1">
      <c r="B213" s="52" t="s">
        <v>2448</v>
      </c>
      <c r="C213" s="52" t="s">
        <v>2449</v>
      </c>
      <c r="D213" s="56" t="s">
        <v>2558</v>
      </c>
      <c r="E213" s="52" t="s">
        <v>2261</v>
      </c>
      <c r="F213" s="52">
        <v>42692</v>
      </c>
    </row>
    <row r="214" spans="2:6" ht="15" customHeight="1">
      <c r="B214" s="53" t="s">
        <v>2450</v>
      </c>
      <c r="C214" s="53" t="s">
        <v>2451</v>
      </c>
      <c r="D214" s="57" t="s">
        <v>2558</v>
      </c>
      <c r="E214" s="53" t="s">
        <v>2452</v>
      </c>
      <c r="F214" s="53">
        <v>42704</v>
      </c>
    </row>
    <row r="215" spans="2:6" ht="15" customHeight="1">
      <c r="B215" s="52" t="s">
        <v>2453</v>
      </c>
      <c r="C215" s="52" t="s">
        <v>2454</v>
      </c>
      <c r="D215" s="56" t="s">
        <v>2558</v>
      </c>
      <c r="E215" s="52" t="s">
        <v>2373</v>
      </c>
      <c r="F215" s="52">
        <v>42753</v>
      </c>
    </row>
    <row r="216" spans="2:6" ht="15" customHeight="1">
      <c r="B216" s="53" t="s">
        <v>2455</v>
      </c>
      <c r="C216" s="53" t="s">
        <v>2456</v>
      </c>
      <c r="D216" s="57" t="s">
        <v>2558</v>
      </c>
      <c r="E216" s="53" t="s">
        <v>1991</v>
      </c>
      <c r="F216" s="53">
        <v>42802</v>
      </c>
    </row>
    <row r="217" spans="2:6" ht="15" customHeight="1">
      <c r="B217" s="52" t="s">
        <v>2457</v>
      </c>
      <c r="C217" s="52" t="s">
        <v>2458</v>
      </c>
      <c r="D217" s="56" t="s">
        <v>2558</v>
      </c>
      <c r="E217" s="52" t="s">
        <v>2083</v>
      </c>
      <c r="F217" s="52">
        <v>42815</v>
      </c>
    </row>
    <row r="218" spans="2:6" ht="15" customHeight="1">
      <c r="B218" s="53" t="s">
        <v>2459</v>
      </c>
      <c r="C218" s="53" t="s">
        <v>2460</v>
      </c>
      <c r="D218" s="57" t="s">
        <v>2558</v>
      </c>
      <c r="E218" s="53"/>
      <c r="F218" s="53">
        <v>42860</v>
      </c>
    </row>
    <row r="219" spans="2:6" ht="15" customHeight="1">
      <c r="B219" s="52" t="s">
        <v>2461</v>
      </c>
      <c r="C219" s="52" t="s">
        <v>2315</v>
      </c>
      <c r="D219" s="56" t="s">
        <v>2558</v>
      </c>
      <c r="E219" s="52"/>
      <c r="F219" s="52">
        <v>42898</v>
      </c>
    </row>
    <row r="220" spans="2:6" ht="15" customHeight="1">
      <c r="B220" s="53" t="s">
        <v>2462</v>
      </c>
      <c r="C220" s="53" t="s">
        <v>2093</v>
      </c>
      <c r="D220" s="57" t="s">
        <v>2558</v>
      </c>
      <c r="E220" s="53" t="s">
        <v>1996</v>
      </c>
      <c r="F220" s="53">
        <v>42902</v>
      </c>
    </row>
    <row r="221" spans="2:6" ht="15" customHeight="1">
      <c r="B221" s="52" t="s">
        <v>2463</v>
      </c>
      <c r="C221" s="52" t="s">
        <v>2464</v>
      </c>
      <c r="D221" s="56" t="s">
        <v>2558</v>
      </c>
      <c r="E221" s="52" t="s">
        <v>1991</v>
      </c>
      <c r="F221" s="52">
        <v>43019</v>
      </c>
    </row>
    <row r="222" spans="2:6" ht="15" customHeight="1">
      <c r="B222" s="53" t="s">
        <v>2465</v>
      </c>
      <c r="C222" s="53" t="s">
        <v>2466</v>
      </c>
      <c r="D222" s="57" t="s">
        <v>2558</v>
      </c>
      <c r="E222" s="53" t="s">
        <v>2467</v>
      </c>
      <c r="F222" s="53">
        <v>43033</v>
      </c>
    </row>
    <row r="223" spans="2:6" ht="15" customHeight="1">
      <c r="B223" s="52" t="s">
        <v>2468</v>
      </c>
      <c r="C223" s="52" t="s">
        <v>2469</v>
      </c>
      <c r="D223" s="56" t="s">
        <v>2558</v>
      </c>
      <c r="E223" s="52" t="s">
        <v>2470</v>
      </c>
      <c r="F223" s="52">
        <v>43040</v>
      </c>
    </row>
    <row r="224" spans="2:6" ht="15" customHeight="1">
      <c r="B224" s="53" t="s">
        <v>2471</v>
      </c>
      <c r="C224" s="53" t="s">
        <v>2472</v>
      </c>
      <c r="D224" s="57" t="s">
        <v>2558</v>
      </c>
      <c r="E224" s="53"/>
      <c r="F224" s="53">
        <v>43047</v>
      </c>
    </row>
    <row r="225" spans="2:6" ht="15" customHeight="1">
      <c r="B225" s="52" t="s">
        <v>2473</v>
      </c>
      <c r="C225" s="52" t="s">
        <v>2474</v>
      </c>
      <c r="D225" s="56" t="s">
        <v>2558</v>
      </c>
      <c r="E225" s="52" t="s">
        <v>2475</v>
      </c>
      <c r="F225" s="52">
        <v>43185</v>
      </c>
    </row>
    <row r="226" spans="2:6" ht="15" customHeight="1">
      <c r="B226" s="53" t="s">
        <v>2476</v>
      </c>
      <c r="C226" s="53" t="s">
        <v>2477</v>
      </c>
      <c r="D226" s="57" t="s">
        <v>2558</v>
      </c>
      <c r="E226" s="53" t="s">
        <v>1991</v>
      </c>
      <c r="F226" s="53">
        <v>43290</v>
      </c>
    </row>
    <row r="227" spans="2:6" ht="15" customHeight="1">
      <c r="B227" s="52" t="s">
        <v>2478</v>
      </c>
      <c r="C227" s="52" t="s">
        <v>2479</v>
      </c>
      <c r="D227" s="56" t="s">
        <v>2558</v>
      </c>
      <c r="E227" s="52" t="s">
        <v>1991</v>
      </c>
      <c r="F227" s="52">
        <v>43327</v>
      </c>
    </row>
    <row r="228" spans="2:6" ht="15" customHeight="1">
      <c r="B228" s="53" t="s">
        <v>2480</v>
      </c>
      <c r="C228" s="53" t="s">
        <v>2481</v>
      </c>
      <c r="D228" s="57" t="s">
        <v>2558</v>
      </c>
      <c r="E228" s="53" t="s">
        <v>2068</v>
      </c>
      <c r="F228" s="53">
        <v>43333</v>
      </c>
    </row>
    <row r="229" spans="2:6" ht="15" customHeight="1">
      <c r="B229" s="52" t="s">
        <v>2482</v>
      </c>
      <c r="C229" s="52" t="s">
        <v>2483</v>
      </c>
      <c r="D229" s="56" t="s">
        <v>2558</v>
      </c>
      <c r="E229" s="52" t="s">
        <v>1981</v>
      </c>
      <c r="F229" s="52">
        <v>43353</v>
      </c>
    </row>
    <row r="230" spans="2:6" ht="15" customHeight="1">
      <c r="B230" s="53" t="s">
        <v>2484</v>
      </c>
      <c r="C230" s="53" t="s">
        <v>2485</v>
      </c>
      <c r="D230" s="57" t="s">
        <v>2558</v>
      </c>
      <c r="E230" s="53"/>
      <c r="F230" s="53">
        <v>43355</v>
      </c>
    </row>
    <row r="231" spans="2:6" ht="15" customHeight="1">
      <c r="B231" s="52" t="s">
        <v>2486</v>
      </c>
      <c r="C231" s="52" t="s">
        <v>2487</v>
      </c>
      <c r="D231" s="56" t="s">
        <v>2558</v>
      </c>
      <c r="E231" s="52" t="s">
        <v>2488</v>
      </c>
      <c r="F231" s="52">
        <v>43368</v>
      </c>
    </row>
    <row r="232" spans="2:6" ht="15" customHeight="1">
      <c r="B232" s="53" t="s">
        <v>2489</v>
      </c>
      <c r="C232" s="53" t="s">
        <v>2605</v>
      </c>
      <c r="D232" s="57" t="s">
        <v>2583</v>
      </c>
      <c r="E232" s="53" t="s">
        <v>2053</v>
      </c>
      <c r="F232" s="53">
        <v>43384</v>
      </c>
    </row>
    <row r="233" spans="2:6" ht="15" customHeight="1">
      <c r="B233" s="52" t="s">
        <v>2822</v>
      </c>
      <c r="C233" s="52" t="s">
        <v>2490</v>
      </c>
      <c r="D233" s="56" t="s">
        <v>2558</v>
      </c>
      <c r="E233" s="52" t="s">
        <v>1991</v>
      </c>
      <c r="F233" s="52">
        <v>43424</v>
      </c>
    </row>
    <row r="234" spans="2:6" ht="15" customHeight="1">
      <c r="B234" s="53" t="s">
        <v>2491</v>
      </c>
      <c r="C234" s="53" t="s">
        <v>2492</v>
      </c>
      <c r="D234" s="57" t="s">
        <v>2588</v>
      </c>
      <c r="E234" s="53" t="s">
        <v>2440</v>
      </c>
      <c r="F234" s="53">
        <v>43502</v>
      </c>
    </row>
    <row r="235" spans="2:6" ht="15" customHeight="1">
      <c r="B235" s="52" t="s">
        <v>2493</v>
      </c>
      <c r="C235" s="52" t="s">
        <v>2494</v>
      </c>
      <c r="D235" s="56" t="s">
        <v>2589</v>
      </c>
      <c r="E235" s="52" t="s">
        <v>1991</v>
      </c>
      <c r="F235" s="52">
        <v>43515</v>
      </c>
    </row>
    <row r="236" spans="2:6" ht="15" customHeight="1">
      <c r="B236" s="53" t="s">
        <v>2495</v>
      </c>
      <c r="C236" s="53" t="s">
        <v>1997</v>
      </c>
      <c r="D236" s="57" t="s">
        <v>2558</v>
      </c>
      <c r="E236" s="53" t="s">
        <v>1996</v>
      </c>
      <c r="F236" s="53">
        <v>43529</v>
      </c>
    </row>
    <row r="237" spans="2:6" ht="15" customHeight="1">
      <c r="B237" s="52" t="s">
        <v>2496</v>
      </c>
      <c r="C237" s="52" t="s">
        <v>2497</v>
      </c>
      <c r="D237" s="56" t="s">
        <v>2558</v>
      </c>
      <c r="E237" s="52" t="s">
        <v>1991</v>
      </c>
      <c r="F237" s="52">
        <v>43655</v>
      </c>
    </row>
    <row r="238" spans="2:6" ht="15" customHeight="1">
      <c r="B238" s="53" t="s">
        <v>2498</v>
      </c>
      <c r="C238" s="53" t="s">
        <v>2499</v>
      </c>
      <c r="D238" s="57" t="s">
        <v>2558</v>
      </c>
      <c r="E238" s="53" t="s">
        <v>2488</v>
      </c>
      <c r="F238" s="53">
        <v>43692</v>
      </c>
    </row>
    <row r="239" spans="2:6" ht="15" customHeight="1">
      <c r="B239" s="52" t="s">
        <v>2500</v>
      </c>
      <c r="C239" s="52" t="s">
        <v>2501</v>
      </c>
      <c r="D239" s="56" t="s">
        <v>2558</v>
      </c>
      <c r="E239" s="52" t="s">
        <v>1991</v>
      </c>
      <c r="F239" s="52">
        <v>43726</v>
      </c>
    </row>
    <row r="240" spans="2:6" ht="15" customHeight="1">
      <c r="B240" s="53" t="s">
        <v>2502</v>
      </c>
      <c r="C240" s="53" t="s">
        <v>2503</v>
      </c>
      <c r="D240" s="57" t="s">
        <v>2558</v>
      </c>
      <c r="E240" s="53" t="s">
        <v>2504</v>
      </c>
      <c r="F240" s="53">
        <v>43818</v>
      </c>
    </row>
    <row r="241" spans="2:6" ht="15" customHeight="1">
      <c r="B241" s="52" t="s">
        <v>2505</v>
      </c>
      <c r="C241" s="52" t="s">
        <v>2506</v>
      </c>
      <c r="D241" s="56" t="s">
        <v>2558</v>
      </c>
      <c r="E241" s="52" t="s">
        <v>1991</v>
      </c>
      <c r="F241" s="52">
        <v>43844</v>
      </c>
    </row>
    <row r="242" spans="2:6" ht="15" customHeight="1">
      <c r="B242" s="53" t="s">
        <v>2507</v>
      </c>
      <c r="C242" s="53" t="s">
        <v>2508</v>
      </c>
      <c r="D242" s="57" t="s">
        <v>2590</v>
      </c>
      <c r="E242" s="53" t="s">
        <v>2053</v>
      </c>
      <c r="F242" s="53">
        <v>43845</v>
      </c>
    </row>
    <row r="243" spans="2:6" ht="15" customHeight="1">
      <c r="B243" s="52" t="s">
        <v>2509</v>
      </c>
      <c r="C243" s="52" t="s">
        <v>2510</v>
      </c>
      <c r="D243" s="56" t="s">
        <v>2558</v>
      </c>
      <c r="E243" s="52" t="s">
        <v>1991</v>
      </c>
      <c r="F243" s="52">
        <v>43852</v>
      </c>
    </row>
    <row r="244" spans="2:6" ht="15" customHeight="1">
      <c r="B244" s="53" t="s">
        <v>2511</v>
      </c>
      <c r="C244" s="53" t="s">
        <v>2512</v>
      </c>
      <c r="D244" s="57" t="s">
        <v>2591</v>
      </c>
      <c r="E244" s="53"/>
      <c r="F244" s="53">
        <v>44012</v>
      </c>
    </row>
    <row r="245" spans="2:6" ht="15" customHeight="1">
      <c r="B245" s="52" t="s">
        <v>2513</v>
      </c>
      <c r="C245" s="52" t="s">
        <v>2514</v>
      </c>
      <c r="D245" s="56" t="s">
        <v>2558</v>
      </c>
      <c r="E245" s="52" t="s">
        <v>1991</v>
      </c>
      <c r="F245" s="52">
        <v>44026</v>
      </c>
    </row>
    <row r="246" spans="2:6" ht="15" customHeight="1">
      <c r="B246" s="53" t="s">
        <v>2515</v>
      </c>
      <c r="C246" s="53" t="s">
        <v>1989</v>
      </c>
      <c r="D246" s="57" t="s">
        <v>2558</v>
      </c>
      <c r="E246" s="53" t="s">
        <v>1991</v>
      </c>
      <c r="F246" s="53">
        <v>44054</v>
      </c>
    </row>
    <row r="247" spans="2:6" ht="15" customHeight="1">
      <c r="B247" s="52" t="s">
        <v>2516</v>
      </c>
      <c r="C247" s="52" t="s">
        <v>2517</v>
      </c>
      <c r="D247" s="56" t="s">
        <v>2558</v>
      </c>
      <c r="E247" s="52" t="s">
        <v>2518</v>
      </c>
      <c r="F247" s="52">
        <v>44180</v>
      </c>
    </row>
    <row r="248" spans="2:6" ht="15" customHeight="1">
      <c r="B248" s="53" t="s">
        <v>2519</v>
      </c>
      <c r="C248" s="53" t="s">
        <v>2520</v>
      </c>
      <c r="D248" s="57" t="s">
        <v>2558</v>
      </c>
      <c r="E248" s="53" t="s">
        <v>1991</v>
      </c>
      <c r="F248" s="53">
        <v>44187</v>
      </c>
    </row>
    <row r="249" spans="2:6" ht="15" customHeight="1">
      <c r="B249" s="52" t="s">
        <v>2521</v>
      </c>
      <c r="C249" s="52" t="s">
        <v>2522</v>
      </c>
      <c r="D249" s="56" t="s">
        <v>2558</v>
      </c>
      <c r="E249" s="52" t="s">
        <v>2523</v>
      </c>
      <c r="F249" s="52">
        <v>44208</v>
      </c>
    </row>
    <row r="250" spans="2:6" ht="15" customHeight="1">
      <c r="B250" s="53" t="s">
        <v>2524</v>
      </c>
      <c r="C250" s="53" t="s">
        <v>2525</v>
      </c>
      <c r="D250" s="57" t="s">
        <v>2558</v>
      </c>
      <c r="E250" s="53" t="s">
        <v>2526</v>
      </c>
      <c r="F250" s="53">
        <v>44230</v>
      </c>
    </row>
    <row r="251" spans="2:6" ht="15" customHeight="1">
      <c r="B251" s="52" t="s">
        <v>2527</v>
      </c>
      <c r="C251" s="52" t="s">
        <v>2327</v>
      </c>
      <c r="D251" s="56" t="s">
        <v>2564</v>
      </c>
      <c r="E251" s="52" t="s">
        <v>1996</v>
      </c>
      <c r="F251" s="52">
        <v>44245</v>
      </c>
    </row>
    <row r="252" spans="2:6" ht="15" customHeight="1">
      <c r="B252" s="53" t="s">
        <v>2528</v>
      </c>
      <c r="C252" s="53" t="s">
        <v>2529</v>
      </c>
      <c r="D252" s="57" t="s">
        <v>2558</v>
      </c>
      <c r="E252" s="53" t="s">
        <v>2530</v>
      </c>
      <c r="F252" s="53">
        <v>44264</v>
      </c>
    </row>
    <row r="253" spans="2:6" ht="15" customHeight="1">
      <c r="B253" s="52" t="s">
        <v>2531</v>
      </c>
      <c r="C253" s="52" t="s">
        <v>2532</v>
      </c>
      <c r="D253" s="56" t="s">
        <v>2558</v>
      </c>
      <c r="E253" s="52" t="s">
        <v>2316</v>
      </c>
      <c r="F253" s="52">
        <v>44487</v>
      </c>
    </row>
    <row r="254" spans="2:6" ht="15" customHeight="1">
      <c r="B254" s="53" t="s">
        <v>2533</v>
      </c>
      <c r="C254" s="53" t="s">
        <v>2534</v>
      </c>
      <c r="D254" s="57" t="s">
        <v>2584</v>
      </c>
      <c r="E254" s="53" t="s">
        <v>1991</v>
      </c>
      <c r="F254" s="53">
        <v>44565</v>
      </c>
    </row>
    <row r="255" spans="2:6" ht="15" customHeight="1">
      <c r="B255" s="52" t="s">
        <v>2535</v>
      </c>
      <c r="C255" s="52" t="s">
        <v>2534</v>
      </c>
      <c r="D255" s="56" t="s">
        <v>2592</v>
      </c>
      <c r="E255" s="52" t="s">
        <v>1991</v>
      </c>
      <c r="F255" s="52">
        <v>44628</v>
      </c>
    </row>
    <row r="256" spans="2:6" ht="15" customHeight="1">
      <c r="B256" s="53" t="s">
        <v>2536</v>
      </c>
      <c r="C256" s="53" t="s">
        <v>2537</v>
      </c>
      <c r="D256" s="57" t="s">
        <v>2593</v>
      </c>
      <c r="E256" s="53"/>
      <c r="F256" s="53">
        <v>44650</v>
      </c>
    </row>
    <row r="257" spans="2:6" ht="15" customHeight="1">
      <c r="B257" s="52" t="s">
        <v>2538</v>
      </c>
      <c r="C257" s="52" t="s">
        <v>2539</v>
      </c>
      <c r="D257" s="56" t="s">
        <v>2558</v>
      </c>
      <c r="E257" s="52" t="s">
        <v>2540</v>
      </c>
      <c r="F257" s="52">
        <v>44663</v>
      </c>
    </row>
    <row r="258" spans="2:6" ht="15" customHeight="1">
      <c r="B258" s="53" t="s">
        <v>2541</v>
      </c>
      <c r="C258" s="53" t="s">
        <v>2542</v>
      </c>
      <c r="D258" s="57" t="s">
        <v>2558</v>
      </c>
      <c r="E258" s="53" t="s">
        <v>1991</v>
      </c>
      <c r="F258" s="53">
        <v>44698</v>
      </c>
    </row>
    <row r="259" spans="2:6" ht="15" customHeight="1">
      <c r="B259" s="52" t="s">
        <v>2543</v>
      </c>
      <c r="C259" s="52" t="s">
        <v>2544</v>
      </c>
      <c r="D259" s="56" t="s">
        <v>2558</v>
      </c>
      <c r="E259" s="52" t="s">
        <v>1991</v>
      </c>
      <c r="F259" s="52">
        <v>44720</v>
      </c>
    </row>
    <row r="260" spans="2:6" ht="15" customHeight="1">
      <c r="B260" s="53" t="s">
        <v>2545</v>
      </c>
      <c r="C260" s="53" t="s">
        <v>2315</v>
      </c>
      <c r="D260" s="57" t="s">
        <v>2564</v>
      </c>
      <c r="E260" s="53" t="s">
        <v>1991</v>
      </c>
      <c r="F260" s="53">
        <v>44761</v>
      </c>
    </row>
    <row r="261" spans="2:6" ht="15" customHeight="1">
      <c r="B261" s="52" t="s">
        <v>2546</v>
      </c>
      <c r="C261" s="52" t="s">
        <v>2547</v>
      </c>
      <c r="D261" s="56" t="s">
        <v>2558</v>
      </c>
      <c r="E261" s="52" t="s">
        <v>2053</v>
      </c>
      <c r="F261" s="52">
        <v>44817</v>
      </c>
    </row>
    <row r="262" spans="2:6" ht="15" customHeight="1">
      <c r="B262" s="53" t="s">
        <v>2613</v>
      </c>
      <c r="C262" s="53" t="s">
        <v>2614</v>
      </c>
      <c r="D262" s="57" t="s">
        <v>2558</v>
      </c>
      <c r="E262" s="53" t="s">
        <v>2053</v>
      </c>
      <c r="F262" s="53">
        <v>44824</v>
      </c>
    </row>
    <row r="263" spans="2:6" ht="15" customHeight="1">
      <c r="B263" s="52" t="s">
        <v>2548</v>
      </c>
      <c r="C263" s="52" t="s">
        <v>2549</v>
      </c>
      <c r="D263" s="56" t="s">
        <v>2558</v>
      </c>
      <c r="E263" s="52" t="s">
        <v>2550</v>
      </c>
      <c r="F263" s="52">
        <v>44839</v>
      </c>
    </row>
    <row r="264" spans="2:6" ht="15" customHeight="1">
      <c r="B264" s="53" t="s">
        <v>2551</v>
      </c>
      <c r="C264" s="53" t="s">
        <v>2483</v>
      </c>
      <c r="D264" s="57" t="s">
        <v>2558</v>
      </c>
      <c r="E264" s="53" t="s">
        <v>154</v>
      </c>
      <c r="F264" s="53">
        <v>44880</v>
      </c>
    </row>
    <row r="265" spans="2:6" ht="15" customHeight="1">
      <c r="B265" s="52" t="s">
        <v>2607</v>
      </c>
      <c r="C265" s="52" t="s">
        <v>2552</v>
      </c>
      <c r="D265" s="56" t="s">
        <v>2558</v>
      </c>
      <c r="E265" s="52" t="s">
        <v>2540</v>
      </c>
      <c r="F265" s="52">
        <v>44902</v>
      </c>
    </row>
    <row r="266" spans="2:6" ht="15" customHeight="1">
      <c r="B266" s="53" t="s">
        <v>2553</v>
      </c>
      <c r="C266" s="53" t="s">
        <v>2315</v>
      </c>
      <c r="D266" s="57" t="s">
        <v>2558</v>
      </c>
      <c r="E266" s="53" t="s">
        <v>2554</v>
      </c>
      <c r="F266" s="53">
        <v>45007</v>
      </c>
    </row>
    <row r="267" spans="2:6" ht="15" customHeight="1">
      <c r="B267" s="52" t="s">
        <v>2611</v>
      </c>
      <c r="C267" s="52" t="s">
        <v>2612</v>
      </c>
      <c r="D267" s="56" t="s">
        <v>2558</v>
      </c>
      <c r="E267" s="52" t="s">
        <v>1991</v>
      </c>
      <c r="F267" s="52">
        <v>45279</v>
      </c>
    </row>
    <row r="268" spans="2:6" ht="15" customHeight="1">
      <c r="B268" s="53" t="s">
        <v>2555</v>
      </c>
      <c r="C268" s="53" t="s">
        <v>2556</v>
      </c>
      <c r="D268" s="57" t="s">
        <v>2558</v>
      </c>
      <c r="E268" s="53" t="s">
        <v>2557</v>
      </c>
      <c r="F268" s="53">
        <v>45055</v>
      </c>
    </row>
    <row r="269" spans="2:6">
      <c r="B269" s="52" t="s">
        <v>2608</v>
      </c>
      <c r="C269" s="52" t="s">
        <v>2609</v>
      </c>
      <c r="D269" s="56" t="s">
        <v>2610</v>
      </c>
      <c r="E269" s="52" t="s">
        <v>1991</v>
      </c>
      <c r="F269" s="52">
        <v>45718</v>
      </c>
    </row>
  </sheetData>
  <hyperlinks>
    <hyperlink ref="B66" r:id="rId1" display="https://www.google.com/recaptcha/about/" xr:uid="{8482E960-60EC-48AF-BEED-45806042C97C}"/>
    <hyperlink ref="B4" r:id="rId2" display="https://www.forex.com/en-us/news-and-analysis/google-acquisition-history/" xr:uid="{4C03B736-E16E-489A-89ED-DB39A2AB4C12}"/>
    <hyperlink ref="B9" r:id="rId3" display="https://www.youtube.com/" xr:uid="{2FC9C273-5A7C-41A0-A2E2-4DE8223C200C}"/>
    <hyperlink ref="C24" r:id="rId4" display="https://www.mirrorreview.com/ai-and-blogging/" xr:uid="{C3CA6A53-56D7-4ECA-87D8-1B8E45A499D0}"/>
    <hyperlink ref="C42" r:id="rId5" display="https://www.mirrorreview.com/3d-modeling-software/" xr:uid="{9F672D8A-CB2D-4054-87A6-FFF759B52EEF}"/>
    <hyperlink ref="C96" r:id="rId6" display="https://www.mirrorreview.com/e-books-vs-print/" xr:uid="{4393EFEE-2907-4D1F-89BD-FA88BAC700EC}"/>
    <hyperlink ref="C110" r:id="rId7" display="https://www.mirrorreview.com/face-recognition/" xr:uid="{54A4650E-DA8F-4DE8-96ED-5D9C7E45B8B8}"/>
    <hyperlink ref="C205" r:id="rId8" display="https://www.mirrorreview.com/cloud-computing-in-software-development/" xr:uid="{09BD20E4-6FFF-47E5-8B3D-AFD2CE939320}"/>
    <hyperlink ref="C241" r:id="rId9" display="https://www.mirrorreview.com/iot-mobile-app-development/" xr:uid="{C3689173-E305-42B6-8349-840A7374D42E}"/>
    <hyperlink ref="E72" r:id="rId10" display="https://picasa.google.co.in/" xr:uid="{F5A701DC-7E29-448E-90C7-90DB0A625B30}"/>
    <hyperlink ref="E98" r:id="rId11" display="https://pz.harvard.edu/" xr:uid="{FDD96485-1F38-4F92-A781-F565C4411864}"/>
  </hyperlinks>
  <pageMargins left="0.7" right="0.7" top="0.75" bottom="0.75" header="0.3" footer="0.3"/>
  <drawing r:id="rId12"/>
  <tableParts count="2">
    <tablePart r:id="rId13"/>
    <tablePart r:id="rId1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07F50-FEB9-4069-BE64-1E80F98F242E}">
  <dimension ref="A1:E1787"/>
  <sheetViews>
    <sheetView zoomScale="70" zoomScaleNormal="70" workbookViewId="0">
      <selection activeCell="D2" sqref="D2"/>
    </sheetView>
  </sheetViews>
  <sheetFormatPr defaultColWidth="9.140625" defaultRowHeight="60" customHeight="1"/>
  <cols>
    <col min="1" max="1" width="3" style="1" customWidth="1"/>
    <col min="2" max="2" width="19.7109375" style="1" customWidth="1"/>
    <col min="3" max="3" width="14.42578125" style="134" customWidth="1"/>
    <col min="4" max="4" width="79.140625" style="1" customWidth="1"/>
    <col min="5" max="5" width="58.140625" style="1" customWidth="1"/>
    <col min="6" max="16384" width="9.140625" style="1"/>
  </cols>
  <sheetData>
    <row r="1" spans="1:5" ht="16.5" customHeight="1">
      <c r="A1" s="2"/>
    </row>
    <row r="2" spans="1:5" ht="16.5" customHeight="1">
      <c r="B2" s="1" t="s">
        <v>3201</v>
      </c>
    </row>
    <row r="3" spans="1:5" ht="16.5" customHeight="1" thickBot="1">
      <c r="C3" s="137" t="s">
        <v>3202</v>
      </c>
    </row>
    <row r="4" spans="1:5" ht="60" customHeight="1" thickBot="1">
      <c r="B4" s="132" t="s">
        <v>3462</v>
      </c>
      <c r="C4" s="135" t="s">
        <v>3463</v>
      </c>
      <c r="D4" s="132" t="s">
        <v>3464</v>
      </c>
      <c r="E4" s="132" t="s">
        <v>3465</v>
      </c>
    </row>
    <row r="5" spans="1:5" ht="60" customHeight="1" thickBot="1">
      <c r="B5" s="133" t="s">
        <v>3203</v>
      </c>
      <c r="C5" s="136" t="s">
        <v>3466</v>
      </c>
      <c r="D5" s="133" t="s">
        <v>3467</v>
      </c>
      <c r="E5" s="133" t="s">
        <v>3468</v>
      </c>
    </row>
    <row r="6" spans="1:5" ht="60" customHeight="1" thickBot="1">
      <c r="B6" s="133" t="s">
        <v>3204</v>
      </c>
      <c r="C6" s="136" t="s">
        <v>3469</v>
      </c>
      <c r="D6" s="133" t="s">
        <v>3470</v>
      </c>
      <c r="E6" s="133" t="s">
        <v>3471</v>
      </c>
    </row>
    <row r="7" spans="1:5" ht="60" customHeight="1" thickBot="1">
      <c r="B7" s="133" t="s">
        <v>3205</v>
      </c>
      <c r="C7" s="136" t="s">
        <v>3472</v>
      </c>
      <c r="D7" s="133" t="s">
        <v>3473</v>
      </c>
      <c r="E7" s="133" t="s">
        <v>3474</v>
      </c>
    </row>
    <row r="8" spans="1:5" ht="60" customHeight="1" thickBot="1">
      <c r="B8" s="133" t="s">
        <v>3206</v>
      </c>
      <c r="C8" s="136" t="s">
        <v>3475</v>
      </c>
      <c r="D8" s="133" t="s">
        <v>3476</v>
      </c>
      <c r="E8" s="133" t="s">
        <v>3477</v>
      </c>
    </row>
    <row r="9" spans="1:5" ht="60" customHeight="1" thickBot="1">
      <c r="B9" s="133" t="s">
        <v>3207</v>
      </c>
      <c r="C9" s="136" t="s">
        <v>3478</v>
      </c>
      <c r="D9" s="133" t="s">
        <v>3479</v>
      </c>
      <c r="E9" s="133" t="s">
        <v>3480</v>
      </c>
    </row>
    <row r="10" spans="1:5" ht="60" customHeight="1" thickBot="1">
      <c r="B10" s="133" t="s">
        <v>3208</v>
      </c>
      <c r="C10" s="136" t="s">
        <v>3478</v>
      </c>
      <c r="D10" s="133" t="s">
        <v>3481</v>
      </c>
      <c r="E10" s="133" t="s">
        <v>3482</v>
      </c>
    </row>
    <row r="11" spans="1:5" ht="60" customHeight="1" thickBot="1">
      <c r="B11" s="133" t="s">
        <v>3209</v>
      </c>
      <c r="C11" s="136" t="s">
        <v>3483</v>
      </c>
      <c r="D11" s="133" t="s">
        <v>3484</v>
      </c>
      <c r="E11" s="133" t="s">
        <v>3485</v>
      </c>
    </row>
    <row r="12" spans="1:5" ht="60" customHeight="1" thickBot="1">
      <c r="B12" s="133" t="s">
        <v>3210</v>
      </c>
      <c r="C12" s="136" t="s">
        <v>3486</v>
      </c>
      <c r="D12" s="133" t="s">
        <v>3487</v>
      </c>
      <c r="E12" s="133" t="s">
        <v>3488</v>
      </c>
    </row>
    <row r="13" spans="1:5" ht="60" customHeight="1" thickBot="1">
      <c r="B13" s="133" t="s">
        <v>3211</v>
      </c>
      <c r="C13" s="136" t="s">
        <v>3478</v>
      </c>
      <c r="D13" s="133" t="s">
        <v>3489</v>
      </c>
      <c r="E13" s="133" t="s">
        <v>3490</v>
      </c>
    </row>
    <row r="14" spans="1:5" ht="60" customHeight="1" thickBot="1">
      <c r="B14" s="133" t="s">
        <v>3212</v>
      </c>
      <c r="C14" s="136" t="s">
        <v>3491</v>
      </c>
      <c r="D14" s="133" t="s">
        <v>3492</v>
      </c>
      <c r="E14" s="133" t="s">
        <v>3493</v>
      </c>
    </row>
    <row r="15" spans="1:5" ht="60" customHeight="1" thickBot="1">
      <c r="B15" s="133" t="s">
        <v>3213</v>
      </c>
      <c r="C15" s="136" t="s">
        <v>3494</v>
      </c>
      <c r="D15" s="133" t="s">
        <v>3495</v>
      </c>
      <c r="E15" s="133" t="s">
        <v>3496</v>
      </c>
    </row>
    <row r="16" spans="1:5" ht="60" customHeight="1" thickBot="1">
      <c r="B16" s="133" t="s">
        <v>3214</v>
      </c>
      <c r="C16" s="136" t="s">
        <v>3497</v>
      </c>
      <c r="D16" s="133" t="s">
        <v>3498</v>
      </c>
      <c r="E16" s="133" t="s">
        <v>3499</v>
      </c>
    </row>
    <row r="17" spans="2:5" ht="60" customHeight="1" thickBot="1">
      <c r="B17" s="133" t="s">
        <v>3215</v>
      </c>
      <c r="C17" s="136" t="s">
        <v>3500</v>
      </c>
      <c r="D17" s="133" t="s">
        <v>3501</v>
      </c>
      <c r="E17" s="133" t="s">
        <v>3502</v>
      </c>
    </row>
    <row r="18" spans="2:5" ht="60" customHeight="1" thickBot="1">
      <c r="B18" s="133" t="s">
        <v>3216</v>
      </c>
      <c r="C18" s="136" t="s">
        <v>3503</v>
      </c>
      <c r="D18" s="133" t="s">
        <v>3504</v>
      </c>
      <c r="E18" s="133" t="s">
        <v>3505</v>
      </c>
    </row>
    <row r="19" spans="2:5" ht="60" customHeight="1" thickBot="1">
      <c r="B19" s="133" t="s">
        <v>3217</v>
      </c>
      <c r="C19" s="136" t="s">
        <v>3506</v>
      </c>
      <c r="D19" s="133" t="s">
        <v>3507</v>
      </c>
      <c r="E19" s="133" t="s">
        <v>3508</v>
      </c>
    </row>
    <row r="20" spans="2:5" ht="60" customHeight="1" thickBot="1">
      <c r="B20" s="133" t="s">
        <v>3218</v>
      </c>
      <c r="C20" s="136" t="s">
        <v>3509</v>
      </c>
      <c r="D20" s="133" t="s">
        <v>3510</v>
      </c>
      <c r="E20" s="133" t="s">
        <v>3511</v>
      </c>
    </row>
    <row r="21" spans="2:5" ht="60" customHeight="1" thickBot="1">
      <c r="B21" s="133" t="s">
        <v>3219</v>
      </c>
      <c r="C21" s="136" t="s">
        <v>3503</v>
      </c>
      <c r="D21" s="133" t="s">
        <v>3512</v>
      </c>
      <c r="E21" s="133" t="s">
        <v>3513</v>
      </c>
    </row>
    <row r="22" spans="2:5" ht="60" customHeight="1" thickBot="1">
      <c r="B22" s="133" t="s">
        <v>3220</v>
      </c>
      <c r="C22" s="136" t="s">
        <v>3506</v>
      </c>
      <c r="D22" s="133" t="s">
        <v>3514</v>
      </c>
      <c r="E22" s="133" t="s">
        <v>3515</v>
      </c>
    </row>
    <row r="23" spans="2:5" ht="60" customHeight="1" thickBot="1">
      <c r="B23" s="133" t="s">
        <v>3221</v>
      </c>
      <c r="C23" s="136" t="s">
        <v>3516</v>
      </c>
      <c r="D23" s="133" t="s">
        <v>3517</v>
      </c>
      <c r="E23" s="133" t="s">
        <v>3518</v>
      </c>
    </row>
    <row r="24" spans="2:5" ht="60" customHeight="1" thickBot="1">
      <c r="B24" s="133" t="s">
        <v>3222</v>
      </c>
      <c r="C24" s="136" t="s">
        <v>3519</v>
      </c>
      <c r="D24" s="133" t="s">
        <v>3520</v>
      </c>
      <c r="E24" s="133" t="s">
        <v>3521</v>
      </c>
    </row>
    <row r="25" spans="2:5" ht="60" customHeight="1" thickBot="1">
      <c r="B25" s="133" t="s">
        <v>3223</v>
      </c>
      <c r="C25" s="136" t="s">
        <v>3494</v>
      </c>
      <c r="D25" s="133" t="s">
        <v>3522</v>
      </c>
      <c r="E25" s="133" t="s">
        <v>3523</v>
      </c>
    </row>
    <row r="26" spans="2:5" ht="60" customHeight="1" thickBot="1">
      <c r="B26" s="133" t="s">
        <v>3224</v>
      </c>
      <c r="C26" s="136" t="s">
        <v>3524</v>
      </c>
      <c r="D26" s="133" t="s">
        <v>3525</v>
      </c>
      <c r="E26" s="133" t="s">
        <v>3526</v>
      </c>
    </row>
    <row r="27" spans="2:5" ht="60" customHeight="1" thickBot="1">
      <c r="B27" s="133" t="s">
        <v>3225</v>
      </c>
      <c r="C27" s="136" t="s">
        <v>3516</v>
      </c>
      <c r="D27" s="133" t="s">
        <v>3527</v>
      </c>
      <c r="E27" s="133" t="s">
        <v>3528</v>
      </c>
    </row>
    <row r="28" spans="2:5" ht="60" customHeight="1" thickBot="1">
      <c r="B28" s="133" t="s">
        <v>3226</v>
      </c>
      <c r="C28" s="136" t="s">
        <v>3529</v>
      </c>
      <c r="D28" s="133" t="s">
        <v>3530</v>
      </c>
      <c r="E28" s="133" t="s">
        <v>3531</v>
      </c>
    </row>
    <row r="29" spans="2:5" ht="60" customHeight="1" thickBot="1">
      <c r="B29" s="133" t="s">
        <v>3227</v>
      </c>
      <c r="C29" s="136" t="s">
        <v>3532</v>
      </c>
      <c r="D29" s="133" t="s">
        <v>3533</v>
      </c>
      <c r="E29" s="133" t="s">
        <v>3534</v>
      </c>
    </row>
    <row r="30" spans="2:5" ht="60" customHeight="1" thickBot="1">
      <c r="B30" s="133" t="s">
        <v>3228</v>
      </c>
      <c r="C30" s="136" t="s">
        <v>3535</v>
      </c>
      <c r="D30" s="133" t="s">
        <v>3536</v>
      </c>
      <c r="E30" s="133" t="s">
        <v>3537</v>
      </c>
    </row>
    <row r="31" spans="2:5" ht="60" customHeight="1" thickBot="1">
      <c r="B31" s="133" t="s">
        <v>3229</v>
      </c>
      <c r="C31" s="136" t="s">
        <v>3538</v>
      </c>
      <c r="D31" s="133" t="s">
        <v>3539</v>
      </c>
      <c r="E31" s="133" t="s">
        <v>3540</v>
      </c>
    </row>
    <row r="32" spans="2:5" ht="60" customHeight="1" thickBot="1">
      <c r="B32" s="133" t="s">
        <v>3230</v>
      </c>
      <c r="C32" s="136" t="s">
        <v>3541</v>
      </c>
      <c r="D32" s="133" t="s">
        <v>3542</v>
      </c>
      <c r="E32" s="133" t="s">
        <v>3543</v>
      </c>
    </row>
    <row r="33" spans="2:5" ht="60" customHeight="1" thickBot="1">
      <c r="B33" s="133" t="s">
        <v>3231</v>
      </c>
      <c r="C33" s="136" t="s">
        <v>3544</v>
      </c>
      <c r="D33" s="133" t="s">
        <v>3545</v>
      </c>
      <c r="E33" s="133" t="s">
        <v>3546</v>
      </c>
    </row>
    <row r="34" spans="2:5" ht="60" customHeight="1" thickBot="1">
      <c r="B34" s="133" t="s">
        <v>3232</v>
      </c>
      <c r="C34" s="136" t="s">
        <v>3547</v>
      </c>
      <c r="D34" s="133" t="s">
        <v>3548</v>
      </c>
      <c r="E34" s="133" t="s">
        <v>3549</v>
      </c>
    </row>
    <row r="35" spans="2:5" ht="60" customHeight="1" thickBot="1">
      <c r="B35" s="133" t="s">
        <v>3233</v>
      </c>
      <c r="C35" s="136" t="s">
        <v>3550</v>
      </c>
      <c r="D35" s="133" t="s">
        <v>3551</v>
      </c>
      <c r="E35" s="133" t="s">
        <v>3552</v>
      </c>
    </row>
    <row r="36" spans="2:5" ht="60" customHeight="1" thickBot="1">
      <c r="B36" s="133" t="s">
        <v>3234</v>
      </c>
      <c r="C36" s="136" t="s">
        <v>3553</v>
      </c>
      <c r="D36" s="133" t="s">
        <v>3554</v>
      </c>
      <c r="E36" s="133" t="s">
        <v>3555</v>
      </c>
    </row>
    <row r="37" spans="2:5" ht="60" customHeight="1" thickBot="1">
      <c r="B37" s="133" t="s">
        <v>3235</v>
      </c>
      <c r="C37" s="136" t="s">
        <v>3538</v>
      </c>
      <c r="D37" s="133" t="s">
        <v>3556</v>
      </c>
      <c r="E37" s="133" t="s">
        <v>3557</v>
      </c>
    </row>
    <row r="38" spans="2:5" ht="60" customHeight="1" thickBot="1">
      <c r="B38" s="133" t="s">
        <v>3236</v>
      </c>
      <c r="C38" s="136" t="s">
        <v>3538</v>
      </c>
      <c r="D38" s="133" t="s">
        <v>3558</v>
      </c>
      <c r="E38" s="133" t="s">
        <v>3559</v>
      </c>
    </row>
    <row r="39" spans="2:5" ht="60" customHeight="1" thickBot="1">
      <c r="B39" s="133" t="s">
        <v>3237</v>
      </c>
      <c r="C39" s="136" t="s">
        <v>3532</v>
      </c>
      <c r="D39" s="133" t="s">
        <v>3560</v>
      </c>
      <c r="E39" s="133" t="s">
        <v>3561</v>
      </c>
    </row>
    <row r="40" spans="2:5" ht="60" customHeight="1" thickBot="1">
      <c r="B40" s="133" t="s">
        <v>3238</v>
      </c>
      <c r="C40" s="136" t="s">
        <v>3562</v>
      </c>
      <c r="D40" s="133" t="s">
        <v>3563</v>
      </c>
      <c r="E40" s="133" t="s">
        <v>3564</v>
      </c>
    </row>
    <row r="41" spans="2:5" ht="60" customHeight="1" thickBot="1">
      <c r="B41" s="133" t="s">
        <v>3239</v>
      </c>
      <c r="C41" s="136" t="s">
        <v>3550</v>
      </c>
      <c r="D41" s="133" t="s">
        <v>3565</v>
      </c>
      <c r="E41" s="133" t="s">
        <v>3566</v>
      </c>
    </row>
    <row r="42" spans="2:5" ht="60" customHeight="1" thickBot="1">
      <c r="B42" s="133" t="s">
        <v>3240</v>
      </c>
      <c r="C42" s="136" t="s">
        <v>3550</v>
      </c>
      <c r="D42" s="133" t="s">
        <v>3567</v>
      </c>
      <c r="E42" s="133" t="s">
        <v>3568</v>
      </c>
    </row>
    <row r="43" spans="2:5" ht="60" customHeight="1" thickBot="1">
      <c r="B43" s="133" t="s">
        <v>3241</v>
      </c>
      <c r="C43" s="136" t="s">
        <v>3569</v>
      </c>
      <c r="D43" s="133" t="s">
        <v>3570</v>
      </c>
      <c r="E43" s="133" t="s">
        <v>3571</v>
      </c>
    </row>
    <row r="44" spans="2:5" ht="60" customHeight="1" thickBot="1">
      <c r="B44" s="133" t="s">
        <v>3242</v>
      </c>
      <c r="C44" s="136" t="s">
        <v>3572</v>
      </c>
      <c r="D44" s="133" t="s">
        <v>3573</v>
      </c>
      <c r="E44" s="133" t="s">
        <v>3574</v>
      </c>
    </row>
    <row r="45" spans="2:5" ht="60" customHeight="1" thickBot="1">
      <c r="B45" s="133" t="s">
        <v>3243</v>
      </c>
      <c r="C45" s="136" t="s">
        <v>3575</v>
      </c>
      <c r="D45" s="133" t="s">
        <v>3576</v>
      </c>
      <c r="E45" s="133" t="s">
        <v>3577</v>
      </c>
    </row>
    <row r="46" spans="2:5" ht="60" customHeight="1" thickBot="1">
      <c r="B46" s="133" t="s">
        <v>3244</v>
      </c>
      <c r="C46" s="136" t="s">
        <v>3578</v>
      </c>
      <c r="D46" s="133" t="s">
        <v>3579</v>
      </c>
      <c r="E46" s="133" t="s">
        <v>3580</v>
      </c>
    </row>
    <row r="47" spans="2:5" ht="60" customHeight="1" thickBot="1">
      <c r="B47" s="133" t="s">
        <v>3245</v>
      </c>
      <c r="C47" s="136" t="s">
        <v>3581</v>
      </c>
      <c r="D47" s="133" t="s">
        <v>3582</v>
      </c>
      <c r="E47" s="133" t="s">
        <v>3583</v>
      </c>
    </row>
    <row r="48" spans="2:5" ht="60" customHeight="1" thickBot="1">
      <c r="B48" s="133" t="s">
        <v>3246</v>
      </c>
      <c r="C48" s="136" t="s">
        <v>3584</v>
      </c>
      <c r="D48" s="133" t="s">
        <v>3585</v>
      </c>
      <c r="E48" s="133" t="s">
        <v>3586</v>
      </c>
    </row>
    <row r="49" spans="2:5" ht="60" customHeight="1" thickBot="1">
      <c r="B49" s="133" t="s">
        <v>3247</v>
      </c>
      <c r="C49" s="136" t="s">
        <v>3587</v>
      </c>
      <c r="D49" s="133" t="s">
        <v>3588</v>
      </c>
      <c r="E49" s="133" t="s">
        <v>3589</v>
      </c>
    </row>
    <row r="50" spans="2:5" ht="60" customHeight="1" thickBot="1">
      <c r="B50" s="133" t="s">
        <v>3590</v>
      </c>
      <c r="C50" s="136" t="s">
        <v>3591</v>
      </c>
      <c r="D50" s="133" t="s">
        <v>3592</v>
      </c>
      <c r="E50" s="133" t="s">
        <v>3593</v>
      </c>
    </row>
    <row r="51" spans="2:5" ht="60" customHeight="1" thickBot="1">
      <c r="B51" s="133" t="s">
        <v>3248</v>
      </c>
      <c r="C51" s="136" t="s">
        <v>3575</v>
      </c>
      <c r="D51" s="133" t="s">
        <v>3594</v>
      </c>
      <c r="E51" s="133" t="s">
        <v>3595</v>
      </c>
    </row>
    <row r="52" spans="2:5" ht="60" customHeight="1" thickBot="1">
      <c r="B52" s="133" t="s">
        <v>3249</v>
      </c>
      <c r="C52" s="136" t="s">
        <v>3596</v>
      </c>
      <c r="D52" s="133" t="s">
        <v>3597</v>
      </c>
      <c r="E52" s="133" t="s">
        <v>3598</v>
      </c>
    </row>
    <row r="53" spans="2:5" ht="60" customHeight="1" thickBot="1">
      <c r="B53" s="133" t="s">
        <v>3250</v>
      </c>
      <c r="C53" s="136" t="s">
        <v>3575</v>
      </c>
      <c r="D53" s="133" t="s">
        <v>3599</v>
      </c>
      <c r="E53" s="133" t="s">
        <v>3600</v>
      </c>
    </row>
    <row r="54" spans="2:5" ht="60" customHeight="1" thickBot="1">
      <c r="B54" s="133" t="s">
        <v>3251</v>
      </c>
      <c r="C54" s="136" t="s">
        <v>3578</v>
      </c>
      <c r="D54" s="133" t="s">
        <v>3601</v>
      </c>
      <c r="E54" s="133" t="s">
        <v>3602</v>
      </c>
    </row>
    <row r="55" spans="2:5" ht="60" customHeight="1" thickBot="1">
      <c r="B55" s="133" t="s">
        <v>3252</v>
      </c>
      <c r="C55" s="136" t="s">
        <v>3603</v>
      </c>
      <c r="D55" s="133" t="s">
        <v>3604</v>
      </c>
      <c r="E55" s="133" t="s">
        <v>3605</v>
      </c>
    </row>
    <row r="56" spans="2:5" ht="60" customHeight="1" thickBot="1">
      <c r="B56" s="133" t="s">
        <v>3253</v>
      </c>
      <c r="C56" s="136" t="s">
        <v>3606</v>
      </c>
      <c r="D56" s="133" t="s">
        <v>3607</v>
      </c>
      <c r="E56" s="133" t="s">
        <v>3608</v>
      </c>
    </row>
    <row r="57" spans="2:5" ht="60" customHeight="1" thickBot="1">
      <c r="B57" s="133" t="s">
        <v>3254</v>
      </c>
      <c r="C57" s="136" t="s">
        <v>3591</v>
      </c>
      <c r="D57" s="133" t="s">
        <v>3609</v>
      </c>
      <c r="E57" s="133" t="s">
        <v>3610</v>
      </c>
    </row>
    <row r="58" spans="2:5" ht="60" customHeight="1" thickBot="1">
      <c r="B58" s="133" t="s">
        <v>3255</v>
      </c>
      <c r="C58" s="136" t="s">
        <v>3606</v>
      </c>
      <c r="D58" s="133" t="s">
        <v>3611</v>
      </c>
      <c r="E58" s="133" t="s">
        <v>3612</v>
      </c>
    </row>
    <row r="59" spans="2:5" ht="60" customHeight="1" thickBot="1">
      <c r="B59" s="133" t="s">
        <v>3256</v>
      </c>
      <c r="C59" s="136" t="s">
        <v>3613</v>
      </c>
      <c r="D59" s="133" t="s">
        <v>3614</v>
      </c>
      <c r="E59" s="133" t="s">
        <v>3615</v>
      </c>
    </row>
    <row r="60" spans="2:5" ht="60" customHeight="1" thickBot="1">
      <c r="B60" s="133" t="s">
        <v>3257</v>
      </c>
      <c r="C60" s="136" t="s">
        <v>3578</v>
      </c>
      <c r="D60" s="133" t="s">
        <v>3616</v>
      </c>
      <c r="E60" s="133" t="s">
        <v>3617</v>
      </c>
    </row>
    <row r="61" spans="2:5" ht="60" customHeight="1" thickBot="1">
      <c r="B61" s="133" t="s">
        <v>3258</v>
      </c>
      <c r="C61" s="136" t="s">
        <v>3575</v>
      </c>
      <c r="D61" s="133" t="s">
        <v>3618</v>
      </c>
      <c r="E61" s="133" t="s">
        <v>3619</v>
      </c>
    </row>
    <row r="62" spans="2:5" ht="60" customHeight="1" thickBot="1">
      <c r="B62" s="133" t="s">
        <v>3259</v>
      </c>
      <c r="C62" s="136" t="s">
        <v>3620</v>
      </c>
      <c r="D62" s="133" t="s">
        <v>3621</v>
      </c>
      <c r="E62" s="133" t="s">
        <v>3622</v>
      </c>
    </row>
    <row r="63" spans="2:5" ht="60" customHeight="1" thickBot="1">
      <c r="B63" s="133" t="s">
        <v>3260</v>
      </c>
      <c r="C63" s="136" t="s">
        <v>3623</v>
      </c>
      <c r="D63" s="133" t="s">
        <v>3624</v>
      </c>
      <c r="E63" s="133" t="s">
        <v>3625</v>
      </c>
    </row>
    <row r="64" spans="2:5" ht="60" customHeight="1" thickBot="1">
      <c r="B64" s="133" t="s">
        <v>2366</v>
      </c>
      <c r="C64" s="136" t="s">
        <v>3591</v>
      </c>
      <c r="D64" s="133" t="s">
        <v>3626</v>
      </c>
      <c r="E64" s="133" t="s">
        <v>4180</v>
      </c>
    </row>
    <row r="65" spans="2:5" ht="60" customHeight="1" thickBot="1">
      <c r="B65" s="133" t="s">
        <v>3627</v>
      </c>
      <c r="C65" s="136" t="s">
        <v>3606</v>
      </c>
      <c r="D65" s="133" t="s">
        <v>3628</v>
      </c>
      <c r="E65" s="133" t="s">
        <v>4181</v>
      </c>
    </row>
    <row r="66" spans="2:5" ht="60" customHeight="1" thickBot="1">
      <c r="B66" s="133" t="s">
        <v>3261</v>
      </c>
      <c r="C66" s="136" t="s">
        <v>3613</v>
      </c>
      <c r="D66" s="133" t="s">
        <v>3629</v>
      </c>
      <c r="E66" s="133" t="s">
        <v>4182</v>
      </c>
    </row>
    <row r="67" spans="2:5" ht="60" customHeight="1" thickBot="1">
      <c r="B67" s="133" t="s">
        <v>3262</v>
      </c>
      <c r="C67" s="136" t="s">
        <v>3587</v>
      </c>
      <c r="D67" s="133" t="s">
        <v>3630</v>
      </c>
      <c r="E67" s="133" t="s">
        <v>4183</v>
      </c>
    </row>
    <row r="68" spans="2:5" ht="60" customHeight="1" thickBot="1">
      <c r="B68" s="133" t="s">
        <v>3263</v>
      </c>
      <c r="C68" s="136" t="s">
        <v>3603</v>
      </c>
      <c r="D68" s="133" t="s">
        <v>3631</v>
      </c>
      <c r="E68" s="133" t="s">
        <v>4184</v>
      </c>
    </row>
    <row r="69" spans="2:5" ht="60" customHeight="1" thickBot="1">
      <c r="B69" s="133" t="s">
        <v>3264</v>
      </c>
      <c r="C69" s="136" t="s">
        <v>3572</v>
      </c>
      <c r="D69" s="133" t="s">
        <v>3632</v>
      </c>
      <c r="E69" s="133" t="s">
        <v>4185</v>
      </c>
    </row>
    <row r="70" spans="2:5" ht="60" customHeight="1" thickBot="1">
      <c r="B70" s="133" t="s">
        <v>3265</v>
      </c>
      <c r="C70" s="136" t="s">
        <v>3620</v>
      </c>
      <c r="D70" s="133" t="s">
        <v>3633</v>
      </c>
      <c r="E70" s="133" t="s">
        <v>4186</v>
      </c>
    </row>
    <row r="71" spans="2:5" ht="60" customHeight="1" thickBot="1">
      <c r="B71" s="133" t="s">
        <v>2392</v>
      </c>
      <c r="C71" s="136" t="s">
        <v>3591</v>
      </c>
      <c r="D71" s="133" t="s">
        <v>3634</v>
      </c>
      <c r="E71" s="133" t="s">
        <v>4187</v>
      </c>
    </row>
    <row r="72" spans="2:5" ht="60" customHeight="1" thickBot="1">
      <c r="B72" s="133" t="s">
        <v>3266</v>
      </c>
      <c r="C72" s="136" t="s">
        <v>3578</v>
      </c>
      <c r="D72" s="133" t="s">
        <v>3635</v>
      </c>
      <c r="E72" s="133" t="s">
        <v>4188</v>
      </c>
    </row>
    <row r="73" spans="2:5" ht="60" customHeight="1" thickBot="1">
      <c r="B73" s="133" t="s">
        <v>2395</v>
      </c>
      <c r="C73" s="136" t="s">
        <v>3623</v>
      </c>
      <c r="D73" s="133" t="s">
        <v>3636</v>
      </c>
      <c r="E73" s="133" t="s">
        <v>4189</v>
      </c>
    </row>
    <row r="74" spans="2:5" ht="60" customHeight="1" thickBot="1">
      <c r="B74" s="133" t="s">
        <v>3267</v>
      </c>
      <c r="C74" s="136" t="s">
        <v>3591</v>
      </c>
      <c r="D74" s="133" t="s">
        <v>3637</v>
      </c>
      <c r="E74" s="133" t="s">
        <v>4190</v>
      </c>
    </row>
    <row r="75" spans="2:5" ht="60" customHeight="1" thickBot="1">
      <c r="B75" s="133" t="s">
        <v>3268</v>
      </c>
      <c r="C75" s="136" t="s">
        <v>3623</v>
      </c>
      <c r="D75" s="133" t="s">
        <v>3638</v>
      </c>
      <c r="E75" s="133" t="s">
        <v>4191</v>
      </c>
    </row>
    <row r="76" spans="2:5" ht="60" customHeight="1" thickBot="1">
      <c r="B76" s="133" t="s">
        <v>3269</v>
      </c>
      <c r="C76" s="136" t="s">
        <v>3639</v>
      </c>
      <c r="D76" s="133" t="s">
        <v>3640</v>
      </c>
      <c r="E76" s="133" t="s">
        <v>4192</v>
      </c>
    </row>
    <row r="77" spans="2:5" ht="60" customHeight="1" thickBot="1">
      <c r="B77" s="133" t="s">
        <v>3270</v>
      </c>
      <c r="C77" s="136" t="s">
        <v>3641</v>
      </c>
      <c r="D77" s="133" t="s">
        <v>3642</v>
      </c>
      <c r="E77" s="133" t="s">
        <v>4193</v>
      </c>
    </row>
    <row r="78" spans="2:5" ht="60" customHeight="1" thickBot="1">
      <c r="B78" s="133" t="s">
        <v>3271</v>
      </c>
      <c r="C78" s="136" t="s">
        <v>3643</v>
      </c>
      <c r="D78" s="133" t="s">
        <v>3644</v>
      </c>
      <c r="E78" s="133" t="s">
        <v>4194</v>
      </c>
    </row>
    <row r="79" spans="2:5" ht="60" customHeight="1" thickBot="1">
      <c r="B79" s="133" t="s">
        <v>3272</v>
      </c>
      <c r="C79" s="136" t="s">
        <v>3641</v>
      </c>
      <c r="D79" s="133" t="s">
        <v>3645</v>
      </c>
      <c r="E79" s="133" t="s">
        <v>4195</v>
      </c>
    </row>
    <row r="80" spans="2:5" ht="60" customHeight="1" thickBot="1">
      <c r="B80" s="133" t="s">
        <v>3273</v>
      </c>
      <c r="C80" s="136" t="s">
        <v>3643</v>
      </c>
      <c r="D80" s="133" t="s">
        <v>3646</v>
      </c>
      <c r="E80" s="133" t="s">
        <v>4196</v>
      </c>
    </row>
    <row r="81" spans="2:5" ht="60" customHeight="1" thickBot="1">
      <c r="B81" s="133" t="s">
        <v>3274</v>
      </c>
      <c r="C81" s="136" t="s">
        <v>3647</v>
      </c>
      <c r="D81" s="133" t="s">
        <v>3648</v>
      </c>
      <c r="E81" s="133" t="s">
        <v>4197</v>
      </c>
    </row>
    <row r="82" spans="2:5" ht="60" customHeight="1" thickBot="1">
      <c r="B82" s="133" t="s">
        <v>3275</v>
      </c>
      <c r="C82" s="136" t="s">
        <v>3641</v>
      </c>
      <c r="D82" s="133" t="s">
        <v>3649</v>
      </c>
      <c r="E82" s="133" t="s">
        <v>4198</v>
      </c>
    </row>
    <row r="83" spans="2:5" ht="60" customHeight="1" thickBot="1">
      <c r="B83" s="133" t="s">
        <v>3276</v>
      </c>
      <c r="C83" s="136" t="s">
        <v>3643</v>
      </c>
      <c r="D83" s="133" t="s">
        <v>3650</v>
      </c>
      <c r="E83" s="133" t="s">
        <v>4215</v>
      </c>
    </row>
    <row r="84" spans="2:5" ht="60" customHeight="1" thickBot="1">
      <c r="B84" s="133" t="s">
        <v>3277</v>
      </c>
      <c r="C84" s="136" t="s">
        <v>3641</v>
      </c>
      <c r="D84" s="133" t="s">
        <v>3651</v>
      </c>
      <c r="E84" s="133" t="s">
        <v>4216</v>
      </c>
    </row>
    <row r="85" spans="2:5" ht="60" customHeight="1" thickBot="1">
      <c r="B85" s="133" t="s">
        <v>3278</v>
      </c>
      <c r="C85" s="136" t="s">
        <v>3652</v>
      </c>
      <c r="D85" s="133" t="s">
        <v>3653</v>
      </c>
      <c r="E85" s="133" t="s">
        <v>4217</v>
      </c>
    </row>
    <row r="86" spans="2:5" ht="60" customHeight="1" thickBot="1">
      <c r="B86" s="133" t="s">
        <v>3279</v>
      </c>
      <c r="C86" s="136" t="s">
        <v>3641</v>
      </c>
      <c r="D86" s="133" t="s">
        <v>3654</v>
      </c>
      <c r="E86" s="133" t="s">
        <v>4218</v>
      </c>
    </row>
    <row r="87" spans="2:5" ht="60" customHeight="1" thickBot="1">
      <c r="B87" s="133" t="s">
        <v>3280</v>
      </c>
      <c r="C87" s="136" t="s">
        <v>3652</v>
      </c>
      <c r="D87" s="133" t="s">
        <v>3655</v>
      </c>
      <c r="E87" s="133" t="s">
        <v>4219</v>
      </c>
    </row>
    <row r="88" spans="2:5" ht="60" customHeight="1" thickBot="1">
      <c r="B88" s="133" t="s">
        <v>3281</v>
      </c>
      <c r="C88" s="136" t="s">
        <v>3652</v>
      </c>
      <c r="D88" s="133" t="s">
        <v>3656</v>
      </c>
      <c r="E88" s="133" t="s">
        <v>3657</v>
      </c>
    </row>
    <row r="89" spans="2:5" ht="60" customHeight="1" thickBot="1">
      <c r="B89" s="133" t="s">
        <v>3282</v>
      </c>
      <c r="C89" s="136" t="s">
        <v>3658</v>
      </c>
      <c r="D89" s="133" t="s">
        <v>3659</v>
      </c>
      <c r="E89" s="133" t="s">
        <v>3660</v>
      </c>
    </row>
    <row r="90" spans="2:5" ht="60" customHeight="1" thickBot="1">
      <c r="B90" s="133" t="s">
        <v>3283</v>
      </c>
      <c r="C90" s="136" t="s">
        <v>3661</v>
      </c>
      <c r="D90" s="133" t="s">
        <v>3662</v>
      </c>
      <c r="E90" s="133" t="s">
        <v>3663</v>
      </c>
    </row>
    <row r="91" spans="2:5" ht="60" customHeight="1" thickBot="1">
      <c r="B91" s="133" t="s">
        <v>3284</v>
      </c>
      <c r="C91" s="136" t="s">
        <v>3664</v>
      </c>
      <c r="D91" s="133" t="s">
        <v>3665</v>
      </c>
      <c r="E91" s="133" t="s">
        <v>3666</v>
      </c>
    </row>
    <row r="92" spans="2:5" ht="60" customHeight="1" thickBot="1">
      <c r="B92" s="133" t="s">
        <v>3285</v>
      </c>
      <c r="C92" s="136" t="s">
        <v>3652</v>
      </c>
      <c r="D92" s="133" t="s">
        <v>3667</v>
      </c>
      <c r="E92" s="133" t="s">
        <v>3668</v>
      </c>
    </row>
    <row r="93" spans="2:5" ht="60" customHeight="1" thickBot="1">
      <c r="B93" s="133" t="s">
        <v>3286</v>
      </c>
      <c r="C93" s="136" t="s">
        <v>3661</v>
      </c>
      <c r="D93" s="133" t="s">
        <v>3669</v>
      </c>
      <c r="E93" s="133" t="s">
        <v>3670</v>
      </c>
    </row>
    <row r="94" spans="2:5" ht="60" customHeight="1" thickBot="1">
      <c r="B94" s="133" t="s">
        <v>2453</v>
      </c>
      <c r="C94" s="136" t="s">
        <v>3671</v>
      </c>
      <c r="D94" s="133" t="s">
        <v>3672</v>
      </c>
      <c r="E94" s="133" t="s">
        <v>3673</v>
      </c>
    </row>
    <row r="95" spans="2:5" ht="60" customHeight="1" thickBot="1">
      <c r="B95" s="133" t="s">
        <v>3287</v>
      </c>
      <c r="C95" s="136" t="s">
        <v>3671</v>
      </c>
      <c r="D95" s="133" t="s">
        <v>3674</v>
      </c>
      <c r="E95" s="133" t="s">
        <v>3675</v>
      </c>
    </row>
    <row r="96" spans="2:5" ht="60" customHeight="1" thickBot="1">
      <c r="B96" s="133" t="s">
        <v>3288</v>
      </c>
      <c r="C96" s="136" t="s">
        <v>3661</v>
      </c>
      <c r="D96" s="133" t="s">
        <v>3676</v>
      </c>
      <c r="E96" s="133" t="s">
        <v>3677</v>
      </c>
    </row>
    <row r="97" spans="2:5" ht="60" customHeight="1" thickBot="1">
      <c r="B97" s="133" t="s">
        <v>3289</v>
      </c>
      <c r="C97" s="136" t="s">
        <v>3678</v>
      </c>
      <c r="D97" s="133" t="s">
        <v>3679</v>
      </c>
      <c r="E97" s="133" t="s">
        <v>3680</v>
      </c>
    </row>
    <row r="98" spans="2:5" ht="60" customHeight="1" thickBot="1">
      <c r="B98" s="133" t="s">
        <v>3290</v>
      </c>
      <c r="C98" s="136" t="s">
        <v>3681</v>
      </c>
      <c r="D98" s="133" t="s">
        <v>3682</v>
      </c>
      <c r="E98" s="133" t="s">
        <v>3683</v>
      </c>
    </row>
    <row r="99" spans="2:5" ht="60" customHeight="1" thickBot="1">
      <c r="B99" s="133" t="s">
        <v>3291</v>
      </c>
      <c r="C99" s="136" t="s">
        <v>3647</v>
      </c>
      <c r="D99" s="133" t="s">
        <v>3684</v>
      </c>
      <c r="E99" s="133" t="s">
        <v>3685</v>
      </c>
    </row>
    <row r="100" spans="2:5" ht="60" customHeight="1" thickBot="1">
      <c r="B100" s="133" t="s">
        <v>3292</v>
      </c>
      <c r="C100" s="136" t="s">
        <v>3686</v>
      </c>
      <c r="D100" s="133" t="s">
        <v>3687</v>
      </c>
      <c r="E100" s="133" t="s">
        <v>3688</v>
      </c>
    </row>
    <row r="101" spans="2:5" ht="60" customHeight="1" thickBot="1">
      <c r="B101" s="133" t="s">
        <v>3293</v>
      </c>
      <c r="C101" s="136" t="s">
        <v>3689</v>
      </c>
      <c r="D101" s="133" t="s">
        <v>3690</v>
      </c>
      <c r="E101" s="133" t="s">
        <v>3691</v>
      </c>
    </row>
    <row r="102" spans="2:5" ht="60" customHeight="1" thickBot="1">
      <c r="B102" s="133" t="s">
        <v>3294</v>
      </c>
      <c r="C102" s="136" t="s">
        <v>3692</v>
      </c>
      <c r="D102" s="133" t="s">
        <v>3693</v>
      </c>
      <c r="E102" s="133" t="s">
        <v>3694</v>
      </c>
    </row>
    <row r="103" spans="2:5" ht="60" customHeight="1" thickBot="1">
      <c r="B103" s="133" t="s">
        <v>3295</v>
      </c>
      <c r="C103" s="136" t="s">
        <v>3695</v>
      </c>
      <c r="D103" s="133" t="s">
        <v>3696</v>
      </c>
      <c r="E103" s="133" t="s">
        <v>3697</v>
      </c>
    </row>
    <row r="104" spans="2:5" ht="60" customHeight="1" thickBot="1">
      <c r="B104" s="133" t="s">
        <v>3296</v>
      </c>
      <c r="C104" s="136" t="s">
        <v>3698</v>
      </c>
      <c r="D104" s="133" t="s">
        <v>3699</v>
      </c>
      <c r="E104" s="133" t="s">
        <v>3700</v>
      </c>
    </row>
    <row r="105" spans="2:5" ht="60" customHeight="1" thickBot="1">
      <c r="B105" s="133" t="s">
        <v>3297</v>
      </c>
      <c r="C105" s="136" t="s">
        <v>3698</v>
      </c>
      <c r="D105" s="133" t="s">
        <v>3701</v>
      </c>
      <c r="E105" s="133" t="s">
        <v>3702</v>
      </c>
    </row>
    <row r="106" spans="2:5" ht="60" customHeight="1" thickBot="1">
      <c r="B106" s="133" t="s">
        <v>3298</v>
      </c>
      <c r="C106" s="136" t="s">
        <v>3703</v>
      </c>
      <c r="D106" s="133" t="s">
        <v>3704</v>
      </c>
      <c r="E106" s="133" t="s">
        <v>3705</v>
      </c>
    </row>
    <row r="107" spans="2:5" ht="60" customHeight="1" thickBot="1">
      <c r="B107" s="133" t="s">
        <v>3299</v>
      </c>
      <c r="C107" s="136" t="s">
        <v>3703</v>
      </c>
      <c r="D107" s="133" t="s">
        <v>3706</v>
      </c>
      <c r="E107" s="133" t="s">
        <v>3707</v>
      </c>
    </row>
    <row r="108" spans="2:5" ht="60" customHeight="1" thickBot="1">
      <c r="B108" s="133" t="s">
        <v>3300</v>
      </c>
      <c r="C108" s="136" t="s">
        <v>3708</v>
      </c>
      <c r="D108" s="133" t="s">
        <v>3709</v>
      </c>
      <c r="E108" s="133" t="s">
        <v>3710</v>
      </c>
    </row>
    <row r="109" spans="2:5" ht="60" customHeight="1" thickBot="1">
      <c r="B109" s="133" t="s">
        <v>3301</v>
      </c>
      <c r="C109" s="136" t="s">
        <v>3711</v>
      </c>
      <c r="D109" s="133" t="s">
        <v>3712</v>
      </c>
      <c r="E109" s="133" t="s">
        <v>3713</v>
      </c>
    </row>
    <row r="110" spans="2:5" ht="60" customHeight="1" thickBot="1">
      <c r="B110" s="133" t="s">
        <v>3302</v>
      </c>
      <c r="C110" s="136" t="s">
        <v>3711</v>
      </c>
      <c r="D110" s="133" t="s">
        <v>3714</v>
      </c>
      <c r="E110" s="133" t="s">
        <v>3715</v>
      </c>
    </row>
    <row r="111" spans="2:5" ht="60" customHeight="1" thickBot="1">
      <c r="B111" s="133" t="s">
        <v>3303</v>
      </c>
      <c r="C111" s="136" t="s">
        <v>3716</v>
      </c>
      <c r="D111" s="133" t="s">
        <v>3717</v>
      </c>
      <c r="E111" s="133" t="s">
        <v>3718</v>
      </c>
    </row>
    <row r="112" spans="2:5" ht="60" customHeight="1" thickBot="1">
      <c r="B112" s="133" t="s">
        <v>3304</v>
      </c>
      <c r="C112" s="136" t="s">
        <v>3719</v>
      </c>
      <c r="D112" s="133" t="s">
        <v>3720</v>
      </c>
      <c r="E112" s="133" t="s">
        <v>3721</v>
      </c>
    </row>
    <row r="113" spans="2:5" ht="60" customHeight="1" thickBot="1">
      <c r="B113" s="133" t="s">
        <v>3305</v>
      </c>
      <c r="C113" s="136" t="s">
        <v>3692</v>
      </c>
      <c r="D113" s="133" t="s">
        <v>3722</v>
      </c>
      <c r="E113" s="133" t="s">
        <v>3723</v>
      </c>
    </row>
    <row r="114" spans="2:5" ht="60" customHeight="1" thickBot="1">
      <c r="B114" s="133" t="s">
        <v>3306</v>
      </c>
      <c r="C114" s="136" t="s">
        <v>3695</v>
      </c>
      <c r="D114" s="133" t="s">
        <v>3724</v>
      </c>
      <c r="E114" s="133" t="s">
        <v>3725</v>
      </c>
    </row>
    <row r="115" spans="2:5" ht="60" customHeight="1" thickBot="1">
      <c r="B115" s="133" t="s">
        <v>3307</v>
      </c>
      <c r="C115" s="136" t="s">
        <v>3692</v>
      </c>
      <c r="D115" s="133" t="s">
        <v>3726</v>
      </c>
      <c r="E115" s="133" t="s">
        <v>3727</v>
      </c>
    </row>
    <row r="116" spans="2:5" ht="60" customHeight="1" thickBot="1">
      <c r="B116" s="133" t="s">
        <v>3308</v>
      </c>
      <c r="C116" s="136" t="s">
        <v>3711</v>
      </c>
      <c r="D116" s="133" t="s">
        <v>3728</v>
      </c>
      <c r="E116" s="133" t="s">
        <v>3729</v>
      </c>
    </row>
    <row r="117" spans="2:5" ht="60" customHeight="1" thickBot="1">
      <c r="B117" s="133" t="s">
        <v>3309</v>
      </c>
      <c r="C117" s="136" t="s">
        <v>3692</v>
      </c>
      <c r="D117" s="133" t="s">
        <v>3730</v>
      </c>
      <c r="E117" s="133" t="s">
        <v>3731</v>
      </c>
    </row>
    <row r="118" spans="2:5" ht="60" customHeight="1" thickBot="1">
      <c r="B118" s="133" t="s">
        <v>3310</v>
      </c>
      <c r="C118" s="136" t="s">
        <v>3732</v>
      </c>
      <c r="D118" s="133" t="s">
        <v>3733</v>
      </c>
      <c r="E118" s="133" t="s">
        <v>3734</v>
      </c>
    </row>
    <row r="119" spans="2:5" ht="60" customHeight="1" thickBot="1">
      <c r="B119" s="133" t="s">
        <v>3311</v>
      </c>
      <c r="C119" s="136" t="s">
        <v>3716</v>
      </c>
      <c r="D119" s="133" t="s">
        <v>3735</v>
      </c>
      <c r="E119" s="133" t="s">
        <v>3736</v>
      </c>
    </row>
    <row r="120" spans="2:5" ht="60" customHeight="1" thickBot="1">
      <c r="B120" s="133" t="s">
        <v>3312</v>
      </c>
      <c r="C120" s="136" t="s">
        <v>3695</v>
      </c>
      <c r="D120" s="133" t="s">
        <v>3737</v>
      </c>
      <c r="E120" s="133" t="s">
        <v>3738</v>
      </c>
    </row>
    <row r="121" spans="2:5" ht="60" customHeight="1" thickBot="1">
      <c r="B121" s="133" t="s">
        <v>3313</v>
      </c>
      <c r="C121" s="136" t="s">
        <v>3695</v>
      </c>
      <c r="D121" s="133" t="s">
        <v>3739</v>
      </c>
      <c r="E121" s="133" t="s">
        <v>3740</v>
      </c>
    </row>
    <row r="122" spans="2:5" ht="60" customHeight="1" thickBot="1">
      <c r="B122" s="133" t="s">
        <v>3314</v>
      </c>
      <c r="C122" s="136" t="s">
        <v>3703</v>
      </c>
      <c r="D122" s="133" t="s">
        <v>3741</v>
      </c>
      <c r="E122" s="133" t="s">
        <v>3742</v>
      </c>
    </row>
    <row r="123" spans="2:5" ht="60" customHeight="1" thickBot="1">
      <c r="B123" s="133" t="s">
        <v>3315</v>
      </c>
      <c r="C123" s="136" t="s">
        <v>3743</v>
      </c>
      <c r="D123" s="133" t="s">
        <v>3744</v>
      </c>
      <c r="E123" s="133" t="s">
        <v>3745</v>
      </c>
    </row>
    <row r="124" spans="2:5" ht="60" customHeight="1" thickBot="1">
      <c r="B124" s="133" t="s">
        <v>3316</v>
      </c>
      <c r="C124" s="136" t="s">
        <v>3703</v>
      </c>
      <c r="D124" s="133" t="s">
        <v>3746</v>
      </c>
      <c r="E124" s="133" t="s">
        <v>4199</v>
      </c>
    </row>
    <row r="125" spans="2:5" ht="60" customHeight="1" thickBot="1">
      <c r="B125" s="133" t="s">
        <v>3317</v>
      </c>
      <c r="C125" s="136" t="s">
        <v>3711</v>
      </c>
      <c r="D125" s="133" t="s">
        <v>3747</v>
      </c>
      <c r="E125" s="133" t="s">
        <v>4200</v>
      </c>
    </row>
    <row r="126" spans="2:5" ht="60" customHeight="1" thickBot="1">
      <c r="B126" s="133" t="s">
        <v>3318</v>
      </c>
      <c r="C126" s="136" t="s">
        <v>3743</v>
      </c>
      <c r="D126" s="133" t="s">
        <v>3748</v>
      </c>
      <c r="E126" s="133" t="s">
        <v>4201</v>
      </c>
    </row>
    <row r="127" spans="2:5" ht="60" customHeight="1" thickBot="1">
      <c r="B127" s="133" t="s">
        <v>3319</v>
      </c>
      <c r="C127" s="136" t="s">
        <v>3689</v>
      </c>
      <c r="D127" s="133" t="s">
        <v>3749</v>
      </c>
      <c r="E127" s="133" t="s">
        <v>4202</v>
      </c>
    </row>
    <row r="128" spans="2:5" ht="60" customHeight="1" thickBot="1">
      <c r="B128" s="133" t="s">
        <v>3320</v>
      </c>
      <c r="C128" s="136" t="s">
        <v>3743</v>
      </c>
      <c r="D128" s="133" t="s">
        <v>3750</v>
      </c>
      <c r="E128" s="133" t="s">
        <v>4203</v>
      </c>
    </row>
    <row r="129" spans="2:5" ht="60" customHeight="1" thickBot="1">
      <c r="B129" s="133" t="s">
        <v>3321</v>
      </c>
      <c r="C129" s="136" t="s">
        <v>3743</v>
      </c>
      <c r="D129" s="133" t="s">
        <v>3751</v>
      </c>
      <c r="E129" s="133" t="s">
        <v>4204</v>
      </c>
    </row>
    <row r="130" spans="2:5" ht="60" customHeight="1" thickBot="1">
      <c r="B130" s="133" t="s">
        <v>2192</v>
      </c>
      <c r="C130" s="136" t="s">
        <v>3695</v>
      </c>
      <c r="D130" s="133" t="s">
        <v>3752</v>
      </c>
      <c r="E130" s="133" t="s">
        <v>4205</v>
      </c>
    </row>
    <row r="131" spans="2:5" ht="60" customHeight="1" thickBot="1">
      <c r="B131" s="133" t="s">
        <v>3322</v>
      </c>
      <c r="C131" s="136" t="s">
        <v>3698</v>
      </c>
      <c r="D131" s="133" t="s">
        <v>3753</v>
      </c>
      <c r="E131" s="133" t="s">
        <v>4206</v>
      </c>
    </row>
    <row r="132" spans="2:5" ht="60" customHeight="1" thickBot="1">
      <c r="B132" s="133" t="s">
        <v>3323</v>
      </c>
      <c r="C132" s="136" t="s">
        <v>3692</v>
      </c>
      <c r="D132" s="133" t="s">
        <v>3754</v>
      </c>
      <c r="E132" s="133" t="s">
        <v>4207</v>
      </c>
    </row>
    <row r="133" spans="2:5" ht="60" customHeight="1" thickBot="1">
      <c r="B133" s="133" t="s">
        <v>3324</v>
      </c>
      <c r="C133" s="136" t="s">
        <v>3716</v>
      </c>
      <c r="D133" s="133" t="s">
        <v>3755</v>
      </c>
      <c r="E133" s="133" t="s">
        <v>4208</v>
      </c>
    </row>
    <row r="134" spans="2:5" ht="60" customHeight="1" thickBot="1">
      <c r="B134" s="133" t="s">
        <v>3325</v>
      </c>
      <c r="C134" s="136" t="s">
        <v>3743</v>
      </c>
      <c r="D134" s="133" t="s">
        <v>3756</v>
      </c>
      <c r="E134" s="133" t="s">
        <v>4209</v>
      </c>
    </row>
    <row r="135" spans="2:5" ht="60" customHeight="1" thickBot="1">
      <c r="B135" s="133" t="s">
        <v>3326</v>
      </c>
      <c r="C135" s="136" t="s">
        <v>3757</v>
      </c>
      <c r="D135" s="133" t="s">
        <v>3758</v>
      </c>
      <c r="E135" s="133" t="s">
        <v>4210</v>
      </c>
    </row>
    <row r="136" spans="2:5" ht="60" customHeight="1" thickBot="1">
      <c r="B136" s="133" t="s">
        <v>3327</v>
      </c>
      <c r="C136" s="136" t="s">
        <v>3692</v>
      </c>
      <c r="D136" s="133" t="s">
        <v>3759</v>
      </c>
      <c r="E136" s="133" t="s">
        <v>4211</v>
      </c>
    </row>
    <row r="137" spans="2:5" ht="60" customHeight="1" thickBot="1">
      <c r="B137" s="133" t="s">
        <v>3328</v>
      </c>
      <c r="C137" s="136" t="s">
        <v>3743</v>
      </c>
      <c r="D137" s="133" t="s">
        <v>3760</v>
      </c>
      <c r="E137" s="133" t="s">
        <v>4212</v>
      </c>
    </row>
    <row r="138" spans="2:5" ht="60" customHeight="1" thickBot="1">
      <c r="B138" s="133" t="s">
        <v>3329</v>
      </c>
      <c r="C138" s="136" t="s">
        <v>3761</v>
      </c>
      <c r="D138" s="133" t="s">
        <v>3762</v>
      </c>
      <c r="E138" s="133" t="s">
        <v>4213</v>
      </c>
    </row>
    <row r="139" spans="2:5" ht="60" customHeight="1" thickBot="1">
      <c r="B139" s="133" t="s">
        <v>3330</v>
      </c>
      <c r="C139" s="136" t="s">
        <v>3763</v>
      </c>
      <c r="D139" s="133" t="s">
        <v>3764</v>
      </c>
      <c r="E139" s="133" t="s">
        <v>4214</v>
      </c>
    </row>
    <row r="140" spans="2:5" ht="60" customHeight="1" thickBot="1">
      <c r="B140" s="133" t="s">
        <v>3331</v>
      </c>
      <c r="C140" s="136" t="s">
        <v>3765</v>
      </c>
      <c r="D140" s="133" t="s">
        <v>3766</v>
      </c>
      <c r="E140" s="133" t="s">
        <v>4152</v>
      </c>
    </row>
    <row r="141" spans="2:5" ht="60" customHeight="1" thickBot="1">
      <c r="B141" s="133" t="s">
        <v>3332</v>
      </c>
      <c r="C141" s="136" t="s">
        <v>3767</v>
      </c>
      <c r="D141" s="133" t="s">
        <v>3768</v>
      </c>
      <c r="E141" s="133" t="s">
        <v>4153</v>
      </c>
    </row>
    <row r="142" spans="2:5" ht="60" customHeight="1" thickBot="1">
      <c r="B142" s="133" t="s">
        <v>3333</v>
      </c>
      <c r="C142" s="136" t="s">
        <v>3769</v>
      </c>
      <c r="D142" s="133" t="s">
        <v>3770</v>
      </c>
      <c r="E142" s="133" t="s">
        <v>4154</v>
      </c>
    </row>
    <row r="143" spans="2:5" ht="60" customHeight="1" thickBot="1">
      <c r="B143" s="133" t="s">
        <v>3334</v>
      </c>
      <c r="C143" s="136" t="s">
        <v>3771</v>
      </c>
      <c r="D143" s="133" t="s">
        <v>3772</v>
      </c>
      <c r="E143" s="133" t="s">
        <v>4155</v>
      </c>
    </row>
    <row r="144" spans="2:5" ht="60" customHeight="1" thickBot="1">
      <c r="B144" s="133" t="s">
        <v>2153</v>
      </c>
      <c r="C144" s="136" t="s">
        <v>3773</v>
      </c>
      <c r="D144" s="133" t="s">
        <v>3774</v>
      </c>
      <c r="E144" s="133" t="s">
        <v>4156</v>
      </c>
    </row>
    <row r="145" spans="2:5" ht="60" customHeight="1" thickBot="1">
      <c r="B145" s="133" t="s">
        <v>3335</v>
      </c>
      <c r="C145" s="136" t="s">
        <v>3767</v>
      </c>
      <c r="D145" s="133" t="s">
        <v>3775</v>
      </c>
      <c r="E145" s="133" t="s">
        <v>4157</v>
      </c>
    </row>
    <row r="146" spans="2:5" ht="60" customHeight="1" thickBot="1">
      <c r="B146" s="133" t="s">
        <v>3336</v>
      </c>
      <c r="C146" s="136" t="s">
        <v>3776</v>
      </c>
      <c r="D146" s="133" t="s">
        <v>3777</v>
      </c>
      <c r="E146" s="133" t="s">
        <v>4158</v>
      </c>
    </row>
    <row r="147" spans="2:5" ht="60" customHeight="1" thickBot="1">
      <c r="B147" s="133" t="s">
        <v>3337</v>
      </c>
      <c r="C147" s="136" t="s">
        <v>3773</v>
      </c>
      <c r="D147" s="133" t="s">
        <v>3778</v>
      </c>
      <c r="E147" s="133" t="s">
        <v>4159</v>
      </c>
    </row>
    <row r="148" spans="2:5" ht="60" customHeight="1" thickBot="1">
      <c r="B148" s="133" t="s">
        <v>3338</v>
      </c>
      <c r="C148" s="136" t="s">
        <v>3773</v>
      </c>
      <c r="D148" s="133" t="s">
        <v>3779</v>
      </c>
      <c r="E148" s="133" t="s">
        <v>4160</v>
      </c>
    </row>
    <row r="149" spans="2:5" ht="60" customHeight="1" thickBot="1">
      <c r="B149" s="133" t="s">
        <v>3780</v>
      </c>
      <c r="C149" s="136" t="s">
        <v>3773</v>
      </c>
      <c r="D149" s="133" t="s">
        <v>3781</v>
      </c>
      <c r="E149" s="133" t="s">
        <v>4161</v>
      </c>
    </row>
    <row r="150" spans="2:5" ht="60" customHeight="1" thickBot="1">
      <c r="B150" s="133" t="s">
        <v>3339</v>
      </c>
      <c r="C150" s="136" t="s">
        <v>3782</v>
      </c>
      <c r="D150" s="133" t="s">
        <v>3783</v>
      </c>
      <c r="E150" s="133" t="s">
        <v>4162</v>
      </c>
    </row>
    <row r="151" spans="2:5" ht="60" customHeight="1" thickBot="1">
      <c r="B151" s="133" t="s">
        <v>3340</v>
      </c>
      <c r="C151" s="136" t="s">
        <v>3773</v>
      </c>
      <c r="D151" s="133" t="s">
        <v>3784</v>
      </c>
      <c r="E151" s="133" t="s">
        <v>4163</v>
      </c>
    </row>
    <row r="152" spans="2:5" ht="60" customHeight="1" thickBot="1">
      <c r="B152" s="133" t="s">
        <v>3341</v>
      </c>
      <c r="C152" s="136" t="s">
        <v>3767</v>
      </c>
      <c r="D152" s="133" t="s">
        <v>3785</v>
      </c>
      <c r="E152" s="133" t="s">
        <v>4164</v>
      </c>
    </row>
    <row r="153" spans="2:5" ht="60" customHeight="1" thickBot="1">
      <c r="B153" s="133" t="s">
        <v>3342</v>
      </c>
      <c r="C153" s="136" t="s">
        <v>3786</v>
      </c>
      <c r="D153" s="133" t="s">
        <v>3787</v>
      </c>
      <c r="E153" s="133" t="s">
        <v>4165</v>
      </c>
    </row>
    <row r="154" spans="2:5" ht="60" customHeight="1" thickBot="1">
      <c r="B154" s="133" t="s">
        <v>3343</v>
      </c>
      <c r="C154" s="136" t="s">
        <v>3788</v>
      </c>
      <c r="D154" s="133" t="s">
        <v>3789</v>
      </c>
      <c r="E154" s="133" t="s">
        <v>4166</v>
      </c>
    </row>
    <row r="155" spans="2:5" ht="60" customHeight="1" thickBot="1">
      <c r="B155" s="133" t="s">
        <v>3344</v>
      </c>
      <c r="C155" s="136" t="s">
        <v>3790</v>
      </c>
      <c r="D155" s="133" t="s">
        <v>3791</v>
      </c>
      <c r="E155" s="133" t="s">
        <v>4167</v>
      </c>
    </row>
    <row r="156" spans="2:5" ht="60" customHeight="1" thickBot="1">
      <c r="B156" s="133" t="s">
        <v>2101</v>
      </c>
      <c r="C156" s="136" t="s">
        <v>3792</v>
      </c>
      <c r="D156" s="133" t="s">
        <v>3793</v>
      </c>
      <c r="E156" s="133" t="s">
        <v>4168</v>
      </c>
    </row>
    <row r="157" spans="2:5" ht="60" customHeight="1" thickBot="1">
      <c r="B157" s="133" t="s">
        <v>3345</v>
      </c>
      <c r="C157" s="136" t="s">
        <v>3794</v>
      </c>
      <c r="D157" s="133" t="s">
        <v>3795</v>
      </c>
      <c r="E157" s="133" t="s">
        <v>4169</v>
      </c>
    </row>
    <row r="158" spans="2:5" ht="60" customHeight="1" thickBot="1">
      <c r="B158" s="133" t="s">
        <v>3346</v>
      </c>
      <c r="C158" s="136" t="s">
        <v>3796</v>
      </c>
      <c r="D158" s="133" t="s">
        <v>3797</v>
      </c>
      <c r="E158" s="133" t="s">
        <v>4170</v>
      </c>
    </row>
    <row r="159" spans="2:5" ht="60" customHeight="1" thickBot="1">
      <c r="B159" s="133" t="s">
        <v>3347</v>
      </c>
      <c r="C159" s="136" t="s">
        <v>3794</v>
      </c>
      <c r="D159" s="133" t="s">
        <v>3798</v>
      </c>
      <c r="E159" s="133" t="s">
        <v>4171</v>
      </c>
    </row>
    <row r="160" spans="2:5" ht="60" customHeight="1" thickBot="1">
      <c r="B160" s="133" t="s">
        <v>3348</v>
      </c>
      <c r="C160" s="136" t="s">
        <v>3799</v>
      </c>
      <c r="D160" s="133" t="s">
        <v>3800</v>
      </c>
      <c r="E160" s="133" t="s">
        <v>4172</v>
      </c>
    </row>
    <row r="161" spans="2:5" ht="60" customHeight="1" thickBot="1">
      <c r="B161" s="133" t="s">
        <v>3349</v>
      </c>
      <c r="C161" s="136" t="s">
        <v>3799</v>
      </c>
      <c r="D161" s="133" t="s">
        <v>3801</v>
      </c>
      <c r="E161" s="133" t="s">
        <v>4173</v>
      </c>
    </row>
    <row r="162" spans="2:5" ht="60" customHeight="1" thickBot="1">
      <c r="B162" s="133" t="s">
        <v>3350</v>
      </c>
      <c r="C162" s="136" t="s">
        <v>3786</v>
      </c>
      <c r="D162" s="133" t="s">
        <v>3802</v>
      </c>
      <c r="E162" s="133" t="s">
        <v>4174</v>
      </c>
    </row>
    <row r="163" spans="2:5" ht="60" customHeight="1" thickBot="1">
      <c r="B163" s="133" t="s">
        <v>3351</v>
      </c>
      <c r="C163" s="136" t="s">
        <v>3790</v>
      </c>
      <c r="D163" s="133" t="s">
        <v>3803</v>
      </c>
      <c r="E163" s="133" t="s">
        <v>4175</v>
      </c>
    </row>
    <row r="164" spans="2:5" ht="60" customHeight="1" thickBot="1">
      <c r="B164" s="133" t="s">
        <v>2112</v>
      </c>
      <c r="C164" s="136" t="s">
        <v>3804</v>
      </c>
      <c r="D164" s="133" t="s">
        <v>3805</v>
      </c>
      <c r="E164" s="133" t="s">
        <v>4176</v>
      </c>
    </row>
    <row r="165" spans="2:5" ht="60" customHeight="1" thickBot="1">
      <c r="B165" s="133" t="s">
        <v>3352</v>
      </c>
      <c r="C165" s="136" t="s">
        <v>3804</v>
      </c>
      <c r="D165" s="133" t="s">
        <v>3806</v>
      </c>
      <c r="E165" s="133" t="s">
        <v>4177</v>
      </c>
    </row>
    <row r="166" spans="2:5" ht="60" customHeight="1" thickBot="1">
      <c r="B166" s="133" t="s">
        <v>2400</v>
      </c>
      <c r="C166" s="136" t="s">
        <v>3807</v>
      </c>
      <c r="D166" s="133" t="s">
        <v>3808</v>
      </c>
      <c r="E166" s="133" t="s">
        <v>4178</v>
      </c>
    </row>
    <row r="167" spans="2:5" ht="60" customHeight="1" thickBot="1">
      <c r="B167" s="133" t="s">
        <v>3353</v>
      </c>
      <c r="C167" s="136" t="s">
        <v>3809</v>
      </c>
      <c r="D167" s="133" t="s">
        <v>3810</v>
      </c>
      <c r="E167" s="133" t="s">
        <v>4179</v>
      </c>
    </row>
    <row r="168" spans="2:5" ht="60" customHeight="1" thickBot="1">
      <c r="B168" s="133" t="s">
        <v>3354</v>
      </c>
      <c r="C168" s="136" t="s">
        <v>3811</v>
      </c>
      <c r="D168" s="133" t="s">
        <v>3812</v>
      </c>
      <c r="E168" s="133" t="s">
        <v>3813</v>
      </c>
    </row>
    <row r="169" spans="2:5" ht="60" customHeight="1" thickBot="1">
      <c r="B169" s="133" t="s">
        <v>3355</v>
      </c>
      <c r="C169" s="136" t="s">
        <v>3814</v>
      </c>
      <c r="D169" s="133" t="s">
        <v>3815</v>
      </c>
      <c r="E169" s="133" t="s">
        <v>3816</v>
      </c>
    </row>
    <row r="170" spans="2:5" ht="60" customHeight="1" thickBot="1">
      <c r="B170" s="133" t="s">
        <v>3356</v>
      </c>
      <c r="C170" s="136" t="s">
        <v>3807</v>
      </c>
      <c r="D170" s="133" t="s">
        <v>3817</v>
      </c>
      <c r="E170" s="133" t="s">
        <v>3818</v>
      </c>
    </row>
    <row r="171" spans="2:5" ht="60" customHeight="1" thickBot="1">
      <c r="B171" s="133" t="s">
        <v>3357</v>
      </c>
      <c r="C171" s="136" t="s">
        <v>3819</v>
      </c>
      <c r="D171" s="133" t="s">
        <v>3820</v>
      </c>
      <c r="E171" s="133" t="s">
        <v>3821</v>
      </c>
    </row>
    <row r="172" spans="2:5" ht="60" customHeight="1" thickBot="1">
      <c r="B172" s="133" t="s">
        <v>3358</v>
      </c>
      <c r="C172" s="136" t="s">
        <v>3814</v>
      </c>
      <c r="D172" s="133" t="s">
        <v>3822</v>
      </c>
      <c r="E172" s="133" t="s">
        <v>3823</v>
      </c>
    </row>
    <row r="173" spans="2:5" ht="60" customHeight="1" thickBot="1">
      <c r="B173" s="133" t="s">
        <v>3359</v>
      </c>
      <c r="C173" s="136" t="s">
        <v>3824</v>
      </c>
      <c r="D173" s="133" t="s">
        <v>3825</v>
      </c>
      <c r="E173" s="133" t="s">
        <v>3826</v>
      </c>
    </row>
    <row r="174" spans="2:5" ht="60" customHeight="1" thickBot="1">
      <c r="B174" s="133" t="s">
        <v>2375</v>
      </c>
      <c r="C174" s="136" t="s">
        <v>3807</v>
      </c>
      <c r="D174" s="133" t="s">
        <v>3827</v>
      </c>
      <c r="E174" s="133" t="s">
        <v>3828</v>
      </c>
    </row>
    <row r="175" spans="2:5" ht="60" customHeight="1" thickBot="1">
      <c r="B175" s="133" t="s">
        <v>3360</v>
      </c>
      <c r="C175" s="136" t="s">
        <v>3829</v>
      </c>
      <c r="D175" s="133" t="s">
        <v>3830</v>
      </c>
      <c r="E175" s="133" t="s">
        <v>3831</v>
      </c>
    </row>
    <row r="176" spans="2:5" ht="60" customHeight="1" thickBot="1">
      <c r="B176" s="133" t="s">
        <v>2283</v>
      </c>
      <c r="C176" s="136" t="s">
        <v>3807</v>
      </c>
      <c r="D176" s="133" t="s">
        <v>3832</v>
      </c>
      <c r="E176" s="133" t="s">
        <v>3833</v>
      </c>
    </row>
    <row r="177" spans="2:5" ht="60" customHeight="1" thickBot="1">
      <c r="B177" s="133" t="s">
        <v>3361</v>
      </c>
      <c r="C177" s="136" t="s">
        <v>3834</v>
      </c>
      <c r="D177" s="133" t="s">
        <v>3835</v>
      </c>
      <c r="E177" s="133" t="s">
        <v>3836</v>
      </c>
    </row>
    <row r="178" spans="2:5" ht="60" customHeight="1" thickBot="1">
      <c r="B178" s="133" t="s">
        <v>3362</v>
      </c>
      <c r="C178" s="136" t="s">
        <v>3811</v>
      </c>
      <c r="D178" s="133" t="s">
        <v>3837</v>
      </c>
      <c r="E178" s="133" t="s">
        <v>3838</v>
      </c>
    </row>
    <row r="179" spans="2:5" ht="60" customHeight="1" thickBot="1">
      <c r="B179" s="133" t="s">
        <v>3363</v>
      </c>
      <c r="C179" s="136" t="s">
        <v>3811</v>
      </c>
      <c r="D179" s="133" t="s">
        <v>3839</v>
      </c>
      <c r="E179" s="133" t="s">
        <v>3840</v>
      </c>
    </row>
    <row r="180" spans="2:5" ht="60" customHeight="1" thickBot="1">
      <c r="B180" s="133" t="s">
        <v>3364</v>
      </c>
      <c r="C180" s="136" t="s">
        <v>3807</v>
      </c>
      <c r="D180" s="133" t="s">
        <v>3841</v>
      </c>
      <c r="E180" s="133" t="s">
        <v>3842</v>
      </c>
    </row>
    <row r="181" spans="2:5" ht="60" customHeight="1" thickBot="1">
      <c r="B181" s="133" t="s">
        <v>2418</v>
      </c>
      <c r="C181" s="136" t="s">
        <v>3814</v>
      </c>
      <c r="D181" s="133" t="s">
        <v>3843</v>
      </c>
      <c r="E181" s="133" t="s">
        <v>3844</v>
      </c>
    </row>
    <row r="182" spans="2:5" ht="60" customHeight="1" thickBot="1">
      <c r="B182" s="133" t="s">
        <v>3365</v>
      </c>
      <c r="C182" s="136" t="s">
        <v>3814</v>
      </c>
      <c r="D182" s="133" t="s">
        <v>3845</v>
      </c>
      <c r="E182" s="133" t="s">
        <v>3846</v>
      </c>
    </row>
    <row r="183" spans="2:5" ht="60" customHeight="1" thickBot="1">
      <c r="B183" s="133" t="s">
        <v>2353</v>
      </c>
      <c r="C183" s="136" t="s">
        <v>3829</v>
      </c>
      <c r="D183" s="133" t="s">
        <v>3847</v>
      </c>
      <c r="E183" s="133" t="s">
        <v>3848</v>
      </c>
    </row>
    <row r="184" spans="2:5" ht="60" customHeight="1" thickBot="1">
      <c r="B184" s="133" t="s">
        <v>3366</v>
      </c>
      <c r="C184" s="136" t="s">
        <v>3804</v>
      </c>
      <c r="D184" s="133" t="s">
        <v>3849</v>
      </c>
      <c r="E184" s="133" t="s">
        <v>3850</v>
      </c>
    </row>
    <row r="185" spans="2:5" ht="60" customHeight="1" thickBot="1">
      <c r="B185" s="133" t="s">
        <v>3367</v>
      </c>
      <c r="C185" s="136" t="s">
        <v>3851</v>
      </c>
      <c r="D185" s="133" t="s">
        <v>3852</v>
      </c>
      <c r="E185" s="133" t="s">
        <v>3853</v>
      </c>
    </row>
    <row r="186" spans="2:5" ht="60" customHeight="1" thickBot="1">
      <c r="B186" s="133" t="s">
        <v>3368</v>
      </c>
      <c r="C186" s="136" t="s">
        <v>3854</v>
      </c>
      <c r="D186" s="133" t="s">
        <v>3855</v>
      </c>
      <c r="E186" s="133" t="s">
        <v>3856</v>
      </c>
    </row>
    <row r="187" spans="2:5" ht="60" customHeight="1" thickBot="1">
      <c r="B187" s="133" t="s">
        <v>2396</v>
      </c>
      <c r="C187" s="136" t="s">
        <v>3857</v>
      </c>
      <c r="D187" s="133" t="s">
        <v>3858</v>
      </c>
      <c r="E187" s="133" t="s">
        <v>3859</v>
      </c>
    </row>
    <row r="188" spans="2:5" ht="60" customHeight="1" thickBot="1">
      <c r="B188" s="133" t="s">
        <v>2048</v>
      </c>
      <c r="C188" s="136" t="s">
        <v>3860</v>
      </c>
      <c r="D188" s="133" t="s">
        <v>3861</v>
      </c>
      <c r="E188" s="133" t="s">
        <v>3862</v>
      </c>
    </row>
    <row r="189" spans="2:5" ht="60" customHeight="1" thickBot="1">
      <c r="B189" s="133" t="s">
        <v>3369</v>
      </c>
      <c r="C189" s="136" t="s">
        <v>3854</v>
      </c>
      <c r="D189" s="133" t="s">
        <v>3863</v>
      </c>
      <c r="E189" s="133" t="s">
        <v>3864</v>
      </c>
    </row>
    <row r="190" spans="2:5" ht="60" customHeight="1" thickBot="1">
      <c r="B190" s="133" t="s">
        <v>3370</v>
      </c>
      <c r="C190" s="136" t="s">
        <v>3865</v>
      </c>
      <c r="D190" s="133" t="s">
        <v>3866</v>
      </c>
      <c r="E190" s="133" t="s">
        <v>3867</v>
      </c>
    </row>
    <row r="191" spans="2:5" ht="60" customHeight="1" thickBot="1">
      <c r="B191" s="133" t="s">
        <v>3371</v>
      </c>
      <c r="C191" s="136" t="s">
        <v>3854</v>
      </c>
      <c r="D191" s="133" t="s">
        <v>3868</v>
      </c>
      <c r="E191" s="133" t="s">
        <v>3869</v>
      </c>
    </row>
    <row r="192" spans="2:5" ht="60" customHeight="1" thickBot="1">
      <c r="B192" s="133" t="s">
        <v>3372</v>
      </c>
      <c r="C192" s="136" t="s">
        <v>3865</v>
      </c>
      <c r="D192" s="133" t="s">
        <v>3870</v>
      </c>
      <c r="E192" s="133" t="s">
        <v>3871</v>
      </c>
    </row>
    <row r="193" spans="2:5" ht="60" customHeight="1" thickBot="1">
      <c r="B193" s="133" t="s">
        <v>3373</v>
      </c>
      <c r="C193" s="136" t="s">
        <v>3872</v>
      </c>
      <c r="D193" s="133" t="s">
        <v>3873</v>
      </c>
      <c r="E193" s="133" t="s">
        <v>3874</v>
      </c>
    </row>
    <row r="194" spans="2:5" ht="60" customHeight="1" thickBot="1">
      <c r="B194" s="133" t="s">
        <v>3374</v>
      </c>
      <c r="C194" s="136" t="s">
        <v>3857</v>
      </c>
      <c r="D194" s="133" t="s">
        <v>3875</v>
      </c>
      <c r="E194" s="133" t="s">
        <v>3876</v>
      </c>
    </row>
    <row r="195" spans="2:5" ht="60" customHeight="1" thickBot="1">
      <c r="B195" s="133" t="s">
        <v>3375</v>
      </c>
      <c r="C195" s="136" t="s">
        <v>3872</v>
      </c>
      <c r="D195" s="133" t="s">
        <v>3877</v>
      </c>
      <c r="E195" s="133" t="s">
        <v>3878</v>
      </c>
    </row>
    <row r="196" spans="2:5" ht="60" customHeight="1" thickBot="1">
      <c r="B196" s="133" t="s">
        <v>3376</v>
      </c>
      <c r="C196" s="136" t="s">
        <v>3872</v>
      </c>
      <c r="D196" s="133" t="s">
        <v>3879</v>
      </c>
      <c r="E196" s="133" t="s">
        <v>3880</v>
      </c>
    </row>
    <row r="197" spans="2:5" ht="60" customHeight="1" thickBot="1">
      <c r="B197" s="133" t="s">
        <v>3377</v>
      </c>
      <c r="C197" s="136" t="s">
        <v>3872</v>
      </c>
      <c r="D197" s="133" t="s">
        <v>3881</v>
      </c>
      <c r="E197" s="133" t="s">
        <v>3882</v>
      </c>
    </row>
    <row r="198" spans="2:5" ht="60" customHeight="1" thickBot="1">
      <c r="B198" s="133" t="s">
        <v>3378</v>
      </c>
      <c r="C198" s="136" t="s">
        <v>3883</v>
      </c>
      <c r="D198" s="133" t="s">
        <v>3884</v>
      </c>
      <c r="E198" s="133" t="s">
        <v>3885</v>
      </c>
    </row>
    <row r="199" spans="2:5" ht="60" customHeight="1" thickBot="1">
      <c r="B199" s="133" t="s">
        <v>3379</v>
      </c>
      <c r="C199" s="136" t="s">
        <v>3886</v>
      </c>
      <c r="D199" s="133" t="s">
        <v>3887</v>
      </c>
      <c r="E199" s="133" t="s">
        <v>3888</v>
      </c>
    </row>
    <row r="200" spans="2:5" ht="60" customHeight="1" thickBot="1">
      <c r="B200" s="133" t="s">
        <v>3889</v>
      </c>
      <c r="C200" s="136" t="s">
        <v>3890</v>
      </c>
      <c r="D200" s="133" t="s">
        <v>3891</v>
      </c>
      <c r="E200" s="133" t="s">
        <v>3892</v>
      </c>
    </row>
    <row r="201" spans="2:5" ht="60" customHeight="1" thickBot="1">
      <c r="B201" s="133" t="s">
        <v>2256</v>
      </c>
      <c r="C201" s="136" t="s">
        <v>3893</v>
      </c>
      <c r="D201" s="133" t="s">
        <v>3894</v>
      </c>
      <c r="E201" s="133" t="s">
        <v>3895</v>
      </c>
    </row>
    <row r="202" spans="2:5" ht="60" customHeight="1" thickBot="1">
      <c r="B202" s="133" t="s">
        <v>3380</v>
      </c>
      <c r="C202" s="136" t="s">
        <v>3896</v>
      </c>
      <c r="D202" s="133" t="s">
        <v>3897</v>
      </c>
      <c r="E202" s="133" t="s">
        <v>3898</v>
      </c>
    </row>
    <row r="203" spans="2:5" ht="60" customHeight="1" thickBot="1">
      <c r="B203" s="133" t="s">
        <v>2262</v>
      </c>
      <c r="C203" s="136" t="s">
        <v>3899</v>
      </c>
      <c r="D203" s="133" t="s">
        <v>3900</v>
      </c>
      <c r="E203" s="133" t="s">
        <v>3901</v>
      </c>
    </row>
    <row r="204" spans="2:5" ht="60" customHeight="1" thickBot="1">
      <c r="B204" s="133" t="s">
        <v>2272</v>
      </c>
      <c r="C204" s="136" t="s">
        <v>3899</v>
      </c>
      <c r="D204" s="133" t="s">
        <v>3902</v>
      </c>
      <c r="E204" s="133" t="s">
        <v>3903</v>
      </c>
    </row>
    <row r="205" spans="2:5" ht="60" customHeight="1" thickBot="1">
      <c r="B205" s="133" t="s">
        <v>2317</v>
      </c>
      <c r="C205" s="136" t="s">
        <v>3893</v>
      </c>
      <c r="D205" s="133" t="s">
        <v>3904</v>
      </c>
      <c r="E205" s="133" t="s">
        <v>3905</v>
      </c>
    </row>
    <row r="206" spans="2:5" ht="60" customHeight="1" thickBot="1">
      <c r="B206" s="133" t="s">
        <v>3381</v>
      </c>
      <c r="C206" s="136" t="s">
        <v>3906</v>
      </c>
      <c r="D206" s="133" t="s">
        <v>3907</v>
      </c>
      <c r="E206" s="133" t="s">
        <v>3908</v>
      </c>
    </row>
    <row r="207" spans="2:5" ht="60" customHeight="1" thickBot="1">
      <c r="B207" s="133" t="s">
        <v>3382</v>
      </c>
      <c r="C207" s="136" t="s">
        <v>3890</v>
      </c>
      <c r="D207" s="133" t="s">
        <v>3909</v>
      </c>
      <c r="E207" s="133" t="s">
        <v>3910</v>
      </c>
    </row>
    <row r="208" spans="2:5" ht="60" customHeight="1" thickBot="1">
      <c r="B208" s="133" t="s">
        <v>3383</v>
      </c>
      <c r="C208" s="136" t="s">
        <v>3911</v>
      </c>
      <c r="D208" s="133" t="s">
        <v>3912</v>
      </c>
      <c r="E208" s="133" t="s">
        <v>3913</v>
      </c>
    </row>
    <row r="209" spans="2:5" ht="60" customHeight="1" thickBot="1">
      <c r="B209" s="133" t="s">
        <v>3384</v>
      </c>
      <c r="C209" s="136" t="s">
        <v>3914</v>
      </c>
      <c r="D209" s="133" t="s">
        <v>3915</v>
      </c>
      <c r="E209" s="133" t="s">
        <v>3916</v>
      </c>
    </row>
    <row r="210" spans="2:5" ht="60" customHeight="1" thickBot="1">
      <c r="B210" s="133" t="s">
        <v>2227</v>
      </c>
      <c r="C210" s="136" t="s">
        <v>3906</v>
      </c>
      <c r="D210" s="133" t="s">
        <v>3917</v>
      </c>
      <c r="E210" s="133" t="s">
        <v>3918</v>
      </c>
    </row>
    <row r="211" spans="2:5" ht="60" customHeight="1" thickBot="1">
      <c r="B211" s="133" t="s">
        <v>4151</v>
      </c>
      <c r="C211" s="136" t="s">
        <v>3919</v>
      </c>
      <c r="D211" s="133" t="s">
        <v>3920</v>
      </c>
      <c r="E211" s="133" t="s">
        <v>3921</v>
      </c>
    </row>
    <row r="212" spans="2:5" ht="60" customHeight="1" thickBot="1">
      <c r="B212" s="133" t="s">
        <v>3385</v>
      </c>
      <c r="C212" s="136" t="s">
        <v>3922</v>
      </c>
      <c r="D212" s="133" t="s">
        <v>3923</v>
      </c>
      <c r="E212" s="133" t="s">
        <v>3924</v>
      </c>
    </row>
    <row r="213" spans="2:5" ht="60" customHeight="1" thickBot="1">
      <c r="B213" s="133" t="s">
        <v>3386</v>
      </c>
      <c r="C213" s="136" t="s">
        <v>3925</v>
      </c>
      <c r="D213" s="133" t="s">
        <v>3926</v>
      </c>
      <c r="E213" s="133" t="s">
        <v>3927</v>
      </c>
    </row>
    <row r="214" spans="2:5" ht="60" customHeight="1" thickBot="1">
      <c r="B214" s="133" t="s">
        <v>2167</v>
      </c>
      <c r="C214" s="136" t="s">
        <v>3928</v>
      </c>
      <c r="D214" s="133" t="s">
        <v>3929</v>
      </c>
      <c r="E214" s="133" t="s">
        <v>3930</v>
      </c>
    </row>
    <row r="215" spans="2:5" ht="60" customHeight="1" thickBot="1">
      <c r="B215" s="133" t="s">
        <v>2062</v>
      </c>
      <c r="C215" s="136" t="s">
        <v>3931</v>
      </c>
      <c r="D215" s="133" t="s">
        <v>3932</v>
      </c>
      <c r="E215" s="133" t="s">
        <v>3933</v>
      </c>
    </row>
    <row r="216" spans="2:5" ht="60" customHeight="1" thickBot="1">
      <c r="B216" s="133" t="s">
        <v>3387</v>
      </c>
      <c r="C216" s="136" t="s">
        <v>3928</v>
      </c>
      <c r="D216" s="133" t="s">
        <v>3934</v>
      </c>
      <c r="E216" s="133" t="s">
        <v>3935</v>
      </c>
    </row>
    <row r="217" spans="2:5" ht="60" customHeight="1" thickBot="1">
      <c r="B217" s="133" t="s">
        <v>3388</v>
      </c>
      <c r="C217" s="136" t="s">
        <v>3936</v>
      </c>
      <c r="D217" s="133" t="s">
        <v>3937</v>
      </c>
      <c r="E217" s="133" t="s">
        <v>3938</v>
      </c>
    </row>
    <row r="218" spans="2:5" ht="60" customHeight="1" thickBot="1">
      <c r="B218" s="133" t="s">
        <v>2225</v>
      </c>
      <c r="C218" s="136" t="s">
        <v>3919</v>
      </c>
      <c r="D218" s="133" t="s">
        <v>3939</v>
      </c>
      <c r="E218" s="133" t="s">
        <v>3940</v>
      </c>
    </row>
    <row r="219" spans="2:5" ht="60" customHeight="1" thickBot="1">
      <c r="B219" s="133" t="s">
        <v>3389</v>
      </c>
      <c r="C219" s="136" t="s">
        <v>3931</v>
      </c>
      <c r="D219" s="133" t="s">
        <v>3941</v>
      </c>
      <c r="E219" s="133" t="s">
        <v>3942</v>
      </c>
    </row>
    <row r="220" spans="2:5" ht="60" customHeight="1" thickBot="1">
      <c r="B220" s="133" t="s">
        <v>3390</v>
      </c>
      <c r="C220" s="136" t="s">
        <v>3928</v>
      </c>
      <c r="D220" s="133" t="s">
        <v>3943</v>
      </c>
      <c r="E220" s="133" t="s">
        <v>3944</v>
      </c>
    </row>
    <row r="221" spans="2:5" ht="60" customHeight="1" thickBot="1">
      <c r="B221" s="133" t="s">
        <v>3391</v>
      </c>
      <c r="C221" s="136" t="s">
        <v>3945</v>
      </c>
      <c r="D221" s="133" t="s">
        <v>3946</v>
      </c>
      <c r="E221" s="133" t="s">
        <v>3947</v>
      </c>
    </row>
    <row r="222" spans="2:5" ht="60" customHeight="1" thickBot="1">
      <c r="B222" s="133" t="s">
        <v>3392</v>
      </c>
      <c r="C222" s="136" t="s">
        <v>3948</v>
      </c>
      <c r="D222" s="133" t="s">
        <v>3949</v>
      </c>
      <c r="E222" s="133" t="s">
        <v>3950</v>
      </c>
    </row>
    <row r="223" spans="2:5" ht="60" customHeight="1" thickBot="1">
      <c r="B223" s="133" t="s">
        <v>2147</v>
      </c>
      <c r="C223" s="136" t="s">
        <v>3951</v>
      </c>
      <c r="D223" s="133" t="s">
        <v>3952</v>
      </c>
      <c r="E223" s="133" t="s">
        <v>3953</v>
      </c>
    </row>
    <row r="224" spans="2:5" ht="60" customHeight="1" thickBot="1">
      <c r="B224" s="133" t="s">
        <v>3393</v>
      </c>
      <c r="C224" s="136" t="s">
        <v>3954</v>
      </c>
      <c r="D224" s="133" t="s">
        <v>3955</v>
      </c>
      <c r="E224" s="133" t="s">
        <v>3956</v>
      </c>
    </row>
    <row r="225" spans="2:5" ht="60" customHeight="1" thickBot="1">
      <c r="B225" s="133" t="s">
        <v>3394</v>
      </c>
      <c r="C225" s="136" t="s">
        <v>3954</v>
      </c>
      <c r="D225" s="133" t="s">
        <v>3957</v>
      </c>
      <c r="E225" s="133" t="s">
        <v>3958</v>
      </c>
    </row>
    <row r="226" spans="2:5" ht="60" customHeight="1" thickBot="1">
      <c r="B226" s="133" t="s">
        <v>3395</v>
      </c>
      <c r="C226" s="136" t="s">
        <v>3959</v>
      </c>
      <c r="D226" s="133" t="s">
        <v>3960</v>
      </c>
      <c r="E226" s="133" t="s">
        <v>3961</v>
      </c>
    </row>
    <row r="227" spans="2:5" ht="60" customHeight="1" thickBot="1">
      <c r="B227" s="133" t="s">
        <v>3396</v>
      </c>
      <c r="C227" s="136" t="s">
        <v>3962</v>
      </c>
      <c r="D227" s="133" t="s">
        <v>3963</v>
      </c>
      <c r="E227" s="133" t="s">
        <v>3964</v>
      </c>
    </row>
    <row r="228" spans="2:5" ht="60" customHeight="1" thickBot="1">
      <c r="B228" s="133" t="s">
        <v>3397</v>
      </c>
      <c r="C228" s="136" t="s">
        <v>3965</v>
      </c>
      <c r="D228" s="133" t="s">
        <v>3966</v>
      </c>
      <c r="E228" s="133" t="s">
        <v>3967</v>
      </c>
    </row>
    <row r="229" spans="2:5" ht="60" customHeight="1" thickBot="1">
      <c r="B229" s="133" t="s">
        <v>2258</v>
      </c>
      <c r="C229" s="136" t="s">
        <v>3968</v>
      </c>
      <c r="D229" s="133" t="s">
        <v>3969</v>
      </c>
      <c r="E229" s="133" t="s">
        <v>3970</v>
      </c>
    </row>
    <row r="230" spans="2:5" ht="60" customHeight="1" thickBot="1">
      <c r="B230" s="133" t="s">
        <v>3398</v>
      </c>
      <c r="C230" s="136" t="s">
        <v>3959</v>
      </c>
      <c r="D230" s="133" t="s">
        <v>3971</v>
      </c>
      <c r="E230" s="133" t="s">
        <v>3972</v>
      </c>
    </row>
    <row r="231" spans="2:5" ht="60" customHeight="1" thickBot="1">
      <c r="B231" s="133" t="s">
        <v>2124</v>
      </c>
      <c r="C231" s="136" t="s">
        <v>3973</v>
      </c>
      <c r="D231" s="133" t="s">
        <v>3974</v>
      </c>
      <c r="E231" s="133" t="s">
        <v>3975</v>
      </c>
    </row>
    <row r="232" spans="2:5" ht="60" customHeight="1" thickBot="1">
      <c r="B232" s="133" t="s">
        <v>3399</v>
      </c>
      <c r="C232" s="136" t="s">
        <v>3976</v>
      </c>
      <c r="D232" s="133" t="s">
        <v>3977</v>
      </c>
      <c r="E232" s="133" t="s">
        <v>3978</v>
      </c>
    </row>
    <row r="233" spans="2:5" ht="60" customHeight="1" thickBot="1">
      <c r="B233" s="133" t="s">
        <v>2254</v>
      </c>
      <c r="C233" s="136" t="s">
        <v>3976</v>
      </c>
      <c r="D233" s="133" t="s">
        <v>3979</v>
      </c>
      <c r="E233" s="133" t="s">
        <v>3980</v>
      </c>
    </row>
    <row r="234" spans="2:5" ht="60" customHeight="1" thickBot="1">
      <c r="B234" s="133" t="s">
        <v>3400</v>
      </c>
      <c r="C234" s="136" t="s">
        <v>3962</v>
      </c>
      <c r="D234" s="133" t="s">
        <v>3981</v>
      </c>
      <c r="E234" s="133" t="s">
        <v>3982</v>
      </c>
    </row>
    <row r="235" spans="2:5" ht="60" customHeight="1" thickBot="1">
      <c r="B235" s="133" t="s">
        <v>3401</v>
      </c>
      <c r="C235" s="136" t="s">
        <v>3968</v>
      </c>
      <c r="D235" s="133" t="s">
        <v>3983</v>
      </c>
      <c r="E235" s="133" t="s">
        <v>3984</v>
      </c>
    </row>
    <row r="236" spans="2:5" ht="60" customHeight="1" thickBot="1">
      <c r="B236" s="133" t="s">
        <v>3402</v>
      </c>
      <c r="C236" s="136" t="s">
        <v>3959</v>
      </c>
      <c r="D236" s="133" t="s">
        <v>3985</v>
      </c>
      <c r="E236" s="133" t="s">
        <v>3986</v>
      </c>
    </row>
    <row r="237" spans="2:5" ht="60" customHeight="1" thickBot="1">
      <c r="B237" s="133" t="s">
        <v>3403</v>
      </c>
      <c r="C237" s="136" t="s">
        <v>3962</v>
      </c>
      <c r="D237" s="133" t="s">
        <v>3987</v>
      </c>
      <c r="E237" s="133" t="s">
        <v>3988</v>
      </c>
    </row>
    <row r="238" spans="2:5" ht="60" customHeight="1" thickBot="1">
      <c r="B238" s="133" t="s">
        <v>3404</v>
      </c>
      <c r="C238" s="136" t="s">
        <v>3962</v>
      </c>
      <c r="D238" s="133" t="s">
        <v>3989</v>
      </c>
      <c r="E238" s="133" t="s">
        <v>3990</v>
      </c>
    </row>
    <row r="239" spans="2:5" ht="60" customHeight="1" thickBot="1">
      <c r="B239" s="133" t="s">
        <v>3405</v>
      </c>
      <c r="C239" s="136" t="s">
        <v>3968</v>
      </c>
      <c r="D239" s="133" t="s">
        <v>3991</v>
      </c>
      <c r="E239" s="133" t="s">
        <v>3992</v>
      </c>
    </row>
    <row r="240" spans="2:5" ht="60" customHeight="1" thickBot="1">
      <c r="B240" s="133" t="s">
        <v>3406</v>
      </c>
      <c r="C240" s="136" t="s">
        <v>3968</v>
      </c>
      <c r="D240" s="133" t="s">
        <v>3993</v>
      </c>
      <c r="E240" s="133" t="s">
        <v>3994</v>
      </c>
    </row>
    <row r="241" spans="2:5" ht="60" customHeight="1" thickBot="1">
      <c r="B241" s="133" t="s">
        <v>3407</v>
      </c>
      <c r="C241" s="136" t="s">
        <v>3976</v>
      </c>
      <c r="D241" s="133" t="s">
        <v>3995</v>
      </c>
      <c r="E241" s="133" t="s">
        <v>3996</v>
      </c>
    </row>
    <row r="242" spans="2:5" ht="60" customHeight="1" thickBot="1">
      <c r="B242" s="133" t="s">
        <v>3408</v>
      </c>
      <c r="C242" s="136" t="s">
        <v>3976</v>
      </c>
      <c r="D242" s="133" t="s">
        <v>3997</v>
      </c>
      <c r="E242" s="133" t="s">
        <v>3998</v>
      </c>
    </row>
    <row r="243" spans="2:5" ht="60" customHeight="1" thickBot="1">
      <c r="B243" s="133" t="s">
        <v>3409</v>
      </c>
      <c r="C243" s="136" t="s">
        <v>3959</v>
      </c>
      <c r="D243" s="133" t="s">
        <v>3999</v>
      </c>
      <c r="E243" s="133" t="s">
        <v>4000</v>
      </c>
    </row>
    <row r="244" spans="2:5" ht="60" customHeight="1" thickBot="1">
      <c r="B244" s="133" t="s">
        <v>2128</v>
      </c>
      <c r="C244" s="136" t="s">
        <v>4001</v>
      </c>
      <c r="D244" s="133" t="s">
        <v>4002</v>
      </c>
      <c r="E244" s="133" t="s">
        <v>4003</v>
      </c>
    </row>
    <row r="245" spans="2:5" ht="60" customHeight="1" thickBot="1">
      <c r="B245" s="133" t="s">
        <v>3410</v>
      </c>
      <c r="C245" s="136" t="s">
        <v>4001</v>
      </c>
      <c r="D245" s="133" t="s">
        <v>4004</v>
      </c>
      <c r="E245" s="133" t="s">
        <v>4005</v>
      </c>
    </row>
    <row r="246" spans="2:5" ht="60" customHeight="1" thickBot="1">
      <c r="B246" s="133" t="s">
        <v>3411</v>
      </c>
      <c r="C246" s="136" t="s">
        <v>3959</v>
      </c>
      <c r="D246" s="133" t="s">
        <v>4006</v>
      </c>
      <c r="E246" s="133" t="s">
        <v>4007</v>
      </c>
    </row>
    <row r="247" spans="2:5" ht="60" customHeight="1" thickBot="1">
      <c r="B247" s="133" t="s">
        <v>3412</v>
      </c>
      <c r="C247" s="136" t="s">
        <v>4008</v>
      </c>
      <c r="D247" s="133" t="s">
        <v>4009</v>
      </c>
      <c r="E247" s="133" t="s">
        <v>4010</v>
      </c>
    </row>
    <row r="248" spans="2:5" ht="60" customHeight="1" thickBot="1">
      <c r="B248" s="133" t="s">
        <v>2241</v>
      </c>
      <c r="C248" s="136" t="s">
        <v>4011</v>
      </c>
      <c r="D248" s="133" t="s">
        <v>4012</v>
      </c>
      <c r="E248" s="133" t="s">
        <v>4013</v>
      </c>
    </row>
    <row r="249" spans="2:5" ht="60" customHeight="1" thickBot="1">
      <c r="B249" s="133" t="s">
        <v>3413</v>
      </c>
      <c r="C249" s="136" t="s">
        <v>4014</v>
      </c>
      <c r="D249" s="133" t="s">
        <v>4015</v>
      </c>
      <c r="E249" s="133" t="s">
        <v>4016</v>
      </c>
    </row>
    <row r="250" spans="2:5" ht="60" customHeight="1" thickBot="1">
      <c r="B250" s="133" t="s">
        <v>3414</v>
      </c>
      <c r="C250" s="136" t="s">
        <v>4011</v>
      </c>
      <c r="D250" s="133" t="s">
        <v>4017</v>
      </c>
      <c r="E250" s="133" t="s">
        <v>4018</v>
      </c>
    </row>
    <row r="251" spans="2:5" ht="60" customHeight="1" thickBot="1">
      <c r="B251" s="133" t="s">
        <v>3415</v>
      </c>
      <c r="C251" s="136" t="s">
        <v>4019</v>
      </c>
      <c r="D251" s="133" t="s">
        <v>4020</v>
      </c>
      <c r="E251" s="133" t="s">
        <v>4021</v>
      </c>
    </row>
    <row r="252" spans="2:5" ht="60" customHeight="1" thickBot="1">
      <c r="B252" s="133" t="s">
        <v>3416</v>
      </c>
      <c r="C252" s="136" t="s">
        <v>4014</v>
      </c>
      <c r="D252" s="133" t="s">
        <v>4022</v>
      </c>
      <c r="E252" s="133" t="s">
        <v>4023</v>
      </c>
    </row>
    <row r="253" spans="2:5" ht="60" customHeight="1" thickBot="1">
      <c r="B253" s="133" t="s">
        <v>3417</v>
      </c>
      <c r="C253" s="136" t="s">
        <v>4008</v>
      </c>
      <c r="D253" s="133" t="s">
        <v>4024</v>
      </c>
      <c r="E253" s="133" t="s">
        <v>4025</v>
      </c>
    </row>
    <row r="254" spans="2:5" ht="60" customHeight="1" thickBot="1">
      <c r="B254" s="133" t="s">
        <v>3418</v>
      </c>
      <c r="C254" s="136" t="s">
        <v>4008</v>
      </c>
      <c r="D254" s="133" t="s">
        <v>4026</v>
      </c>
      <c r="E254" s="133" t="s">
        <v>4027</v>
      </c>
    </row>
    <row r="255" spans="2:5" ht="60" customHeight="1" thickBot="1">
      <c r="B255" s="133" t="s">
        <v>3419</v>
      </c>
      <c r="C255" s="136" t="s">
        <v>4008</v>
      </c>
      <c r="D255" s="133" t="s">
        <v>4028</v>
      </c>
      <c r="E255" s="133" t="s">
        <v>4029</v>
      </c>
    </row>
    <row r="256" spans="2:5" ht="60" customHeight="1" thickBot="1">
      <c r="B256" s="133" t="s">
        <v>2143</v>
      </c>
      <c r="C256" s="136" t="s">
        <v>4008</v>
      </c>
      <c r="D256" s="133" t="s">
        <v>4030</v>
      </c>
      <c r="E256" s="133" t="s">
        <v>4031</v>
      </c>
    </row>
    <row r="257" spans="2:5" ht="60" customHeight="1" thickBot="1">
      <c r="B257" s="133" t="s">
        <v>3420</v>
      </c>
      <c r="C257" s="136" t="s">
        <v>4032</v>
      </c>
      <c r="D257" s="133" t="s">
        <v>4033</v>
      </c>
      <c r="E257" s="133" t="s">
        <v>4034</v>
      </c>
    </row>
    <row r="258" spans="2:5" ht="60" customHeight="1" thickBot="1">
      <c r="B258" s="133" t="s">
        <v>2074</v>
      </c>
      <c r="C258" s="136" t="s">
        <v>4019</v>
      </c>
      <c r="D258" s="133" t="s">
        <v>4035</v>
      </c>
      <c r="E258" s="133" t="s">
        <v>4036</v>
      </c>
    </row>
    <row r="259" spans="2:5" ht="60" customHeight="1" thickBot="1">
      <c r="B259" s="133" t="s">
        <v>3421</v>
      </c>
      <c r="C259" s="136" t="s">
        <v>4008</v>
      </c>
      <c r="D259" s="133" t="s">
        <v>4037</v>
      </c>
      <c r="E259" s="133" t="s">
        <v>4038</v>
      </c>
    </row>
    <row r="260" spans="2:5" ht="60" customHeight="1" thickBot="1">
      <c r="B260" s="133" t="s">
        <v>3422</v>
      </c>
      <c r="C260" s="136" t="s">
        <v>4008</v>
      </c>
      <c r="D260" s="133" t="s">
        <v>4039</v>
      </c>
      <c r="E260" s="133" t="s">
        <v>4040</v>
      </c>
    </row>
    <row r="261" spans="2:5" ht="60" customHeight="1" thickBot="1">
      <c r="B261" s="133" t="s">
        <v>3423</v>
      </c>
      <c r="C261" s="136" t="s">
        <v>4041</v>
      </c>
      <c r="D261" s="133" t="s">
        <v>4042</v>
      </c>
      <c r="E261" s="133" t="s">
        <v>4043</v>
      </c>
    </row>
    <row r="262" spans="2:5" ht="60" customHeight="1" thickBot="1">
      <c r="B262" s="133" t="s">
        <v>3424</v>
      </c>
      <c r="C262" s="136" t="s">
        <v>4011</v>
      </c>
      <c r="D262" s="133" t="s">
        <v>4044</v>
      </c>
      <c r="E262" s="133" t="s">
        <v>4045</v>
      </c>
    </row>
    <row r="263" spans="2:5" ht="60" customHeight="1" thickBot="1">
      <c r="B263" s="133" t="s">
        <v>3425</v>
      </c>
      <c r="C263" s="136" t="s">
        <v>4046</v>
      </c>
      <c r="D263" s="133" t="s">
        <v>4047</v>
      </c>
      <c r="E263" s="133" t="s">
        <v>4048</v>
      </c>
    </row>
    <row r="264" spans="2:5" ht="60" customHeight="1" thickBot="1">
      <c r="B264" s="133" t="s">
        <v>3426</v>
      </c>
      <c r="C264" s="136" t="s">
        <v>4008</v>
      </c>
      <c r="D264" s="133" t="s">
        <v>4049</v>
      </c>
      <c r="E264" s="133" t="s">
        <v>4050</v>
      </c>
    </row>
    <row r="265" spans="2:5" ht="60" customHeight="1" thickBot="1">
      <c r="B265" s="133" t="s">
        <v>3427</v>
      </c>
      <c r="C265" s="136" t="s">
        <v>4008</v>
      </c>
      <c r="D265" s="133" t="s">
        <v>4051</v>
      </c>
      <c r="E265" s="133" t="s">
        <v>4052</v>
      </c>
    </row>
    <row r="266" spans="2:5" ht="60" customHeight="1" thickBot="1">
      <c r="B266" s="133" t="s">
        <v>3428</v>
      </c>
      <c r="C266" s="136" t="s">
        <v>4008</v>
      </c>
      <c r="D266" s="133" t="s">
        <v>4053</v>
      </c>
      <c r="E266" s="133" t="s">
        <v>4054</v>
      </c>
    </row>
    <row r="267" spans="2:5" ht="60" customHeight="1" thickBot="1">
      <c r="B267" s="133" t="s">
        <v>3429</v>
      </c>
      <c r="C267" s="136" t="s">
        <v>4041</v>
      </c>
      <c r="D267" s="133" t="s">
        <v>4055</v>
      </c>
      <c r="E267" s="133" t="s">
        <v>4056</v>
      </c>
    </row>
    <row r="268" spans="2:5" ht="60" customHeight="1" thickBot="1">
      <c r="B268" s="133" t="s">
        <v>3430</v>
      </c>
      <c r="C268" s="136" t="s">
        <v>4057</v>
      </c>
      <c r="D268" s="133" t="s">
        <v>4058</v>
      </c>
      <c r="E268" s="133" t="s">
        <v>4059</v>
      </c>
    </row>
    <row r="269" spans="2:5" ht="60" customHeight="1" thickBot="1">
      <c r="B269" s="133" t="s">
        <v>3431</v>
      </c>
      <c r="C269" s="136" t="s">
        <v>4014</v>
      </c>
      <c r="D269" s="133" t="s">
        <v>4060</v>
      </c>
      <c r="E269" s="133" t="s">
        <v>4061</v>
      </c>
    </row>
    <row r="270" spans="2:5" ht="60" customHeight="1" thickBot="1">
      <c r="B270" s="133" t="s">
        <v>2139</v>
      </c>
      <c r="C270" s="136" t="s">
        <v>4008</v>
      </c>
      <c r="D270" s="133" t="s">
        <v>4062</v>
      </c>
      <c r="E270" s="133" t="s">
        <v>4063</v>
      </c>
    </row>
    <row r="271" spans="2:5" ht="60" customHeight="1" thickBot="1">
      <c r="B271" s="133" t="s">
        <v>4064</v>
      </c>
      <c r="C271" s="136" t="s">
        <v>4008</v>
      </c>
      <c r="D271" s="133" t="s">
        <v>4065</v>
      </c>
      <c r="E271" s="133" t="s">
        <v>4066</v>
      </c>
    </row>
    <row r="272" spans="2:5" ht="60" customHeight="1" thickBot="1">
      <c r="B272" s="133" t="s">
        <v>3432</v>
      </c>
      <c r="C272" s="136" t="s">
        <v>4014</v>
      </c>
      <c r="D272" s="133" t="s">
        <v>4067</v>
      </c>
      <c r="E272" s="133" t="s">
        <v>4068</v>
      </c>
    </row>
    <row r="273" spans="2:5" ht="60" customHeight="1" thickBot="1">
      <c r="B273" s="133" t="s">
        <v>3433</v>
      </c>
      <c r="C273" s="136" t="s">
        <v>4069</v>
      </c>
      <c r="D273" s="133" t="s">
        <v>4070</v>
      </c>
      <c r="E273" s="133" t="s">
        <v>4071</v>
      </c>
    </row>
    <row r="274" spans="2:5" ht="60" customHeight="1" thickBot="1">
      <c r="B274" s="133" t="s">
        <v>3434</v>
      </c>
      <c r="C274" s="136" t="s">
        <v>4072</v>
      </c>
      <c r="D274" s="133" t="s">
        <v>4073</v>
      </c>
      <c r="E274" s="133" t="s">
        <v>4074</v>
      </c>
    </row>
    <row r="275" spans="2:5" ht="60" customHeight="1" thickBot="1">
      <c r="B275" s="133" t="s">
        <v>2159</v>
      </c>
      <c r="C275" s="136" t="s">
        <v>4075</v>
      </c>
      <c r="D275" s="133" t="s">
        <v>4076</v>
      </c>
      <c r="E275" s="133" t="s">
        <v>4077</v>
      </c>
    </row>
    <row r="276" spans="2:5" ht="60" customHeight="1" thickBot="1">
      <c r="B276" s="133" t="s">
        <v>3435</v>
      </c>
      <c r="C276" s="136" t="s">
        <v>4075</v>
      </c>
      <c r="D276" s="133" t="s">
        <v>4078</v>
      </c>
      <c r="E276" s="133" t="s">
        <v>4079</v>
      </c>
    </row>
    <row r="277" spans="2:5" ht="60" customHeight="1" thickBot="1">
      <c r="B277" s="133" t="s">
        <v>3436</v>
      </c>
      <c r="C277" s="136" t="s">
        <v>4080</v>
      </c>
      <c r="D277" s="133" t="s">
        <v>4081</v>
      </c>
      <c r="E277" s="133" t="s">
        <v>4082</v>
      </c>
    </row>
    <row r="278" spans="2:5" ht="60" customHeight="1" thickBot="1">
      <c r="B278" s="133" t="s">
        <v>3437</v>
      </c>
      <c r="C278" s="136" t="s">
        <v>4083</v>
      </c>
      <c r="D278" s="133" t="s">
        <v>4084</v>
      </c>
      <c r="E278" s="133" t="s">
        <v>4085</v>
      </c>
    </row>
    <row r="279" spans="2:5" ht="60" customHeight="1" thickBot="1">
      <c r="B279" s="133" t="s">
        <v>3438</v>
      </c>
      <c r="C279" s="136" t="s">
        <v>4086</v>
      </c>
      <c r="D279" s="133" t="s">
        <v>4087</v>
      </c>
      <c r="E279" s="133" t="s">
        <v>4088</v>
      </c>
    </row>
    <row r="280" spans="2:5" ht="60" customHeight="1" thickBot="1">
      <c r="B280" s="133" t="s">
        <v>3439</v>
      </c>
      <c r="C280" s="136" t="s">
        <v>4089</v>
      </c>
      <c r="D280" s="133" t="s">
        <v>4090</v>
      </c>
      <c r="E280" s="133" t="s">
        <v>4091</v>
      </c>
    </row>
    <row r="281" spans="2:5" ht="60" customHeight="1" thickBot="1">
      <c r="B281" s="133" t="s">
        <v>3440</v>
      </c>
      <c r="C281" s="136" t="s">
        <v>4089</v>
      </c>
      <c r="D281" s="133" t="s">
        <v>4092</v>
      </c>
      <c r="E281" s="133" t="s">
        <v>4093</v>
      </c>
    </row>
    <row r="282" spans="2:5" ht="60" customHeight="1" thickBot="1">
      <c r="B282" s="133" t="s">
        <v>3441</v>
      </c>
      <c r="C282" s="136" t="s">
        <v>4094</v>
      </c>
      <c r="D282" s="133" t="s">
        <v>4095</v>
      </c>
      <c r="E282" s="133" t="s">
        <v>4096</v>
      </c>
    </row>
    <row r="283" spans="2:5" ht="60" customHeight="1" thickBot="1">
      <c r="B283" s="133" t="s">
        <v>3442</v>
      </c>
      <c r="C283" s="136" t="s">
        <v>4097</v>
      </c>
      <c r="D283" s="133" t="s">
        <v>4098</v>
      </c>
      <c r="E283" s="133" t="s">
        <v>4099</v>
      </c>
    </row>
    <row r="284" spans="2:5" ht="60" customHeight="1" thickBot="1">
      <c r="B284" s="133" t="s">
        <v>3443</v>
      </c>
      <c r="C284" s="136" t="s">
        <v>4094</v>
      </c>
      <c r="D284" s="133" t="s">
        <v>4100</v>
      </c>
      <c r="E284" s="133" t="s">
        <v>4101</v>
      </c>
    </row>
    <row r="285" spans="2:5" ht="60" customHeight="1" thickBot="1">
      <c r="B285" s="133" t="s">
        <v>3444</v>
      </c>
      <c r="C285" s="136" t="s">
        <v>4094</v>
      </c>
      <c r="D285" s="133" t="s">
        <v>4102</v>
      </c>
      <c r="E285" s="133" t="s">
        <v>4103</v>
      </c>
    </row>
    <row r="286" spans="2:5" ht="60" customHeight="1" thickBot="1">
      <c r="B286" s="133" t="s">
        <v>3445</v>
      </c>
      <c r="C286" s="136" t="s">
        <v>4089</v>
      </c>
      <c r="D286" s="133" t="s">
        <v>4104</v>
      </c>
      <c r="E286" s="133" t="s">
        <v>4105</v>
      </c>
    </row>
    <row r="287" spans="2:5" ht="60" customHeight="1" thickBot="1">
      <c r="B287" s="133" t="s">
        <v>2060</v>
      </c>
      <c r="C287" s="136" t="s">
        <v>4106</v>
      </c>
      <c r="D287" s="133" t="s">
        <v>4107</v>
      </c>
      <c r="E287" s="133" t="s">
        <v>4108</v>
      </c>
    </row>
    <row r="288" spans="2:5" ht="60" customHeight="1" thickBot="1">
      <c r="B288" s="133" t="s">
        <v>3446</v>
      </c>
      <c r="C288" s="136" t="s">
        <v>4097</v>
      </c>
      <c r="D288" s="133" t="s">
        <v>4109</v>
      </c>
      <c r="E288" s="133" t="s">
        <v>4110</v>
      </c>
    </row>
    <row r="289" spans="2:5" ht="60" customHeight="1" thickBot="1">
      <c r="B289" s="133" t="s">
        <v>3447</v>
      </c>
      <c r="C289" s="136" t="s">
        <v>4111</v>
      </c>
      <c r="D289" s="133" t="s">
        <v>4112</v>
      </c>
      <c r="E289" s="133" t="s">
        <v>4113</v>
      </c>
    </row>
    <row r="290" spans="2:5" ht="60" customHeight="1" thickBot="1">
      <c r="B290" s="133" t="s">
        <v>3448</v>
      </c>
      <c r="C290" s="136" t="s">
        <v>4114</v>
      </c>
      <c r="D290" s="133" t="s">
        <v>4115</v>
      </c>
      <c r="E290" s="133" t="s">
        <v>4116</v>
      </c>
    </row>
    <row r="291" spans="2:5" ht="60" customHeight="1" thickBot="1">
      <c r="B291" s="133" t="s">
        <v>3449</v>
      </c>
      <c r="C291" s="136" t="s">
        <v>4114</v>
      </c>
      <c r="D291" s="133" t="s">
        <v>4117</v>
      </c>
      <c r="E291" s="133" t="s">
        <v>4118</v>
      </c>
    </row>
    <row r="292" spans="2:5" ht="60" customHeight="1" thickBot="1">
      <c r="B292" s="133" t="s">
        <v>3450</v>
      </c>
      <c r="C292" s="136" t="s">
        <v>4114</v>
      </c>
      <c r="D292" s="133" t="s">
        <v>4119</v>
      </c>
      <c r="E292" s="133" t="s">
        <v>4120</v>
      </c>
    </row>
    <row r="293" spans="2:5" ht="60" customHeight="1" thickBot="1">
      <c r="B293" s="133" t="s">
        <v>3451</v>
      </c>
      <c r="C293" s="136" t="s">
        <v>4114</v>
      </c>
      <c r="D293" s="133" t="s">
        <v>4121</v>
      </c>
      <c r="E293" s="133" t="s">
        <v>4122</v>
      </c>
    </row>
    <row r="294" spans="2:5" ht="60" customHeight="1" thickBot="1">
      <c r="B294" s="133" t="s">
        <v>3452</v>
      </c>
      <c r="C294" s="136" t="s">
        <v>4123</v>
      </c>
      <c r="D294" s="133" t="s">
        <v>4124</v>
      </c>
      <c r="E294" s="133" t="s">
        <v>4125</v>
      </c>
    </row>
    <row r="295" spans="2:5" ht="60" customHeight="1" thickBot="1">
      <c r="B295" s="133" t="s">
        <v>3453</v>
      </c>
      <c r="C295" s="136" t="s">
        <v>4126</v>
      </c>
      <c r="D295" s="133" t="s">
        <v>4127</v>
      </c>
      <c r="E295" s="133" t="s">
        <v>4128</v>
      </c>
    </row>
    <row r="296" spans="2:5" ht="60" customHeight="1" thickBot="1">
      <c r="B296" s="133" t="s">
        <v>3454</v>
      </c>
      <c r="C296" s="136" t="s">
        <v>4129</v>
      </c>
      <c r="D296" s="133" t="s">
        <v>4130</v>
      </c>
      <c r="E296" s="133" t="s">
        <v>4131</v>
      </c>
    </row>
    <row r="297" spans="2:5" ht="60" customHeight="1" thickBot="1">
      <c r="B297" s="133" t="s">
        <v>3455</v>
      </c>
      <c r="C297" s="136" t="s">
        <v>4132</v>
      </c>
      <c r="D297" s="133" t="s">
        <v>4133</v>
      </c>
      <c r="E297" s="133" t="s">
        <v>4134</v>
      </c>
    </row>
    <row r="298" spans="2:5" ht="60" customHeight="1" thickBot="1">
      <c r="B298" s="133" t="s">
        <v>3456</v>
      </c>
      <c r="C298" s="136" t="s">
        <v>4135</v>
      </c>
      <c r="D298" s="133" t="s">
        <v>4136</v>
      </c>
      <c r="E298" s="133" t="s">
        <v>4137</v>
      </c>
    </row>
    <row r="299" spans="2:5" ht="60" customHeight="1" thickBot="1">
      <c r="B299" s="133" t="s">
        <v>3457</v>
      </c>
      <c r="C299" s="136" t="s">
        <v>4135</v>
      </c>
      <c r="D299" s="133" t="s">
        <v>4138</v>
      </c>
      <c r="E299" s="133" t="s">
        <v>4139</v>
      </c>
    </row>
    <row r="300" spans="2:5" ht="60" customHeight="1" thickBot="1">
      <c r="B300" s="133" t="s">
        <v>3458</v>
      </c>
      <c r="C300" s="136" t="s">
        <v>4140</v>
      </c>
      <c r="D300" s="133" t="s">
        <v>4141</v>
      </c>
      <c r="E300" s="133" t="s">
        <v>4142</v>
      </c>
    </row>
    <row r="301" spans="2:5" ht="60" customHeight="1" thickBot="1">
      <c r="B301" s="133" t="s">
        <v>3459</v>
      </c>
      <c r="C301" s="136" t="s">
        <v>4143</v>
      </c>
      <c r="D301" s="133" t="s">
        <v>4144</v>
      </c>
      <c r="E301" s="133" t="s">
        <v>4145</v>
      </c>
    </row>
    <row r="302" spans="2:5" ht="60" customHeight="1" thickBot="1">
      <c r="B302" s="133" t="s">
        <v>3460</v>
      </c>
      <c r="C302" s="136" t="s">
        <v>4140</v>
      </c>
      <c r="D302" s="133" t="s">
        <v>4146</v>
      </c>
      <c r="E302" s="133" t="s">
        <v>4147</v>
      </c>
    </row>
    <row r="303" spans="2:5" ht="60" customHeight="1" thickBot="1">
      <c r="B303" s="133" t="s">
        <v>3461</v>
      </c>
      <c r="C303" s="136" t="s">
        <v>4148</v>
      </c>
      <c r="D303" s="133" t="s">
        <v>4149</v>
      </c>
      <c r="E303" s="133" t="s">
        <v>4150</v>
      </c>
    </row>
    <row r="304" spans="2:5" ht="60" customHeight="1">
      <c r="B304" s="127"/>
    </row>
    <row r="305" spans="2:2" ht="60" customHeight="1">
      <c r="B305" s="128"/>
    </row>
    <row r="306" spans="2:2" ht="60" customHeight="1">
      <c r="B306" s="129"/>
    </row>
    <row r="307" spans="2:2" ht="60" customHeight="1">
      <c r="B307" s="129"/>
    </row>
    <row r="308" spans="2:2" ht="60" customHeight="1">
      <c r="B308" s="130"/>
    </row>
    <row r="309" spans="2:2" ht="60" customHeight="1">
      <c r="B309" s="131"/>
    </row>
    <row r="310" spans="2:2" ht="60" customHeight="1">
      <c r="B310" s="127"/>
    </row>
    <row r="311" spans="2:2" ht="60" customHeight="1">
      <c r="B311" s="128"/>
    </row>
    <row r="312" spans="2:2" ht="60" customHeight="1">
      <c r="B312" s="129"/>
    </row>
    <row r="313" spans="2:2" ht="60" customHeight="1">
      <c r="B313" s="129"/>
    </row>
    <row r="314" spans="2:2" ht="60" customHeight="1">
      <c r="B314" s="130"/>
    </row>
    <row r="315" spans="2:2" ht="60" customHeight="1">
      <c r="B315" s="131"/>
    </row>
    <row r="316" spans="2:2" ht="60" customHeight="1">
      <c r="B316" s="127"/>
    </row>
    <row r="317" spans="2:2" ht="60" customHeight="1">
      <c r="B317" s="128"/>
    </row>
    <row r="318" spans="2:2" ht="60" customHeight="1">
      <c r="B318" s="129"/>
    </row>
    <row r="319" spans="2:2" ht="60" customHeight="1">
      <c r="B319" s="129"/>
    </row>
    <row r="320" spans="2:2" ht="60" customHeight="1">
      <c r="B320" s="130"/>
    </row>
    <row r="321" spans="2:2" ht="60" customHeight="1">
      <c r="B321" s="131"/>
    </row>
    <row r="322" spans="2:2" ht="60" customHeight="1">
      <c r="B322" s="127"/>
    </row>
    <row r="323" spans="2:2" ht="60" customHeight="1">
      <c r="B323" s="128"/>
    </row>
    <row r="324" spans="2:2" ht="60" customHeight="1">
      <c r="B324" s="129"/>
    </row>
    <row r="325" spans="2:2" ht="60" customHeight="1">
      <c r="B325" s="129"/>
    </row>
    <row r="326" spans="2:2" ht="60" customHeight="1">
      <c r="B326" s="130"/>
    </row>
    <row r="327" spans="2:2" ht="60" customHeight="1">
      <c r="B327" s="131"/>
    </row>
    <row r="328" spans="2:2" ht="60" customHeight="1">
      <c r="B328" s="127"/>
    </row>
    <row r="329" spans="2:2" ht="60" customHeight="1">
      <c r="B329" s="128"/>
    </row>
    <row r="330" spans="2:2" ht="60" customHeight="1">
      <c r="B330" s="129"/>
    </row>
    <row r="331" spans="2:2" ht="60" customHeight="1">
      <c r="B331" s="129"/>
    </row>
    <row r="332" spans="2:2" ht="60" customHeight="1">
      <c r="B332" s="130"/>
    </row>
    <row r="333" spans="2:2" ht="60" customHeight="1">
      <c r="B333" s="131"/>
    </row>
    <row r="334" spans="2:2" ht="60" customHeight="1">
      <c r="B334" s="127"/>
    </row>
    <row r="335" spans="2:2" ht="60" customHeight="1">
      <c r="B335" s="128"/>
    </row>
    <row r="336" spans="2:2" ht="60" customHeight="1">
      <c r="B336" s="129"/>
    </row>
    <row r="337" spans="2:2" ht="60" customHeight="1">
      <c r="B337" s="129"/>
    </row>
    <row r="338" spans="2:2" ht="60" customHeight="1">
      <c r="B338" s="130"/>
    </row>
    <row r="339" spans="2:2" ht="60" customHeight="1">
      <c r="B339" s="131"/>
    </row>
    <row r="340" spans="2:2" ht="60" customHeight="1">
      <c r="B340" s="127"/>
    </row>
    <row r="341" spans="2:2" ht="60" customHeight="1">
      <c r="B341" s="128"/>
    </row>
    <row r="342" spans="2:2" ht="60" customHeight="1">
      <c r="B342" s="129"/>
    </row>
    <row r="343" spans="2:2" ht="60" customHeight="1">
      <c r="B343" s="129"/>
    </row>
    <row r="344" spans="2:2" ht="60" customHeight="1">
      <c r="B344" s="130"/>
    </row>
    <row r="345" spans="2:2" ht="60" customHeight="1">
      <c r="B345" s="131"/>
    </row>
    <row r="346" spans="2:2" ht="60" customHeight="1">
      <c r="B346" s="127"/>
    </row>
    <row r="347" spans="2:2" ht="60" customHeight="1">
      <c r="B347" s="128"/>
    </row>
    <row r="348" spans="2:2" ht="60" customHeight="1">
      <c r="B348" s="129"/>
    </row>
    <row r="349" spans="2:2" ht="60" customHeight="1">
      <c r="B349" s="129"/>
    </row>
    <row r="350" spans="2:2" ht="60" customHeight="1">
      <c r="B350" s="130"/>
    </row>
    <row r="351" spans="2:2" ht="60" customHeight="1">
      <c r="B351" s="131"/>
    </row>
    <row r="352" spans="2:2" ht="60" customHeight="1">
      <c r="B352" s="127"/>
    </row>
    <row r="353" spans="2:2" ht="60" customHeight="1">
      <c r="B353" s="128"/>
    </row>
    <row r="354" spans="2:2" ht="60" customHeight="1">
      <c r="B354" s="129"/>
    </row>
    <row r="355" spans="2:2" ht="60" customHeight="1">
      <c r="B355" s="129"/>
    </row>
    <row r="356" spans="2:2" ht="60" customHeight="1">
      <c r="B356" s="130"/>
    </row>
    <row r="357" spans="2:2" ht="60" customHeight="1">
      <c r="B357" s="131"/>
    </row>
    <row r="358" spans="2:2" ht="60" customHeight="1">
      <c r="B358" s="127"/>
    </row>
    <row r="359" spans="2:2" ht="60" customHeight="1">
      <c r="B359" s="128"/>
    </row>
    <row r="360" spans="2:2" ht="60" customHeight="1">
      <c r="B360" s="129"/>
    </row>
    <row r="361" spans="2:2" ht="60" customHeight="1">
      <c r="B361" s="129"/>
    </row>
    <row r="362" spans="2:2" ht="60" customHeight="1">
      <c r="B362" s="130"/>
    </row>
    <row r="363" spans="2:2" ht="60" customHeight="1">
      <c r="B363" s="131"/>
    </row>
    <row r="364" spans="2:2" ht="60" customHeight="1">
      <c r="B364" s="127"/>
    </row>
    <row r="365" spans="2:2" ht="60" customHeight="1">
      <c r="B365" s="128"/>
    </row>
    <row r="366" spans="2:2" ht="60" customHeight="1">
      <c r="B366" s="129"/>
    </row>
    <row r="367" spans="2:2" ht="60" customHeight="1">
      <c r="B367" s="129"/>
    </row>
    <row r="368" spans="2:2" ht="60" customHeight="1">
      <c r="B368" s="130"/>
    </row>
    <row r="369" spans="2:2" ht="60" customHeight="1">
      <c r="B369" s="131"/>
    </row>
    <row r="370" spans="2:2" ht="60" customHeight="1">
      <c r="B370" s="127"/>
    </row>
    <row r="371" spans="2:2" ht="60" customHeight="1">
      <c r="B371" s="128"/>
    </row>
    <row r="372" spans="2:2" ht="60" customHeight="1">
      <c r="B372" s="129"/>
    </row>
    <row r="373" spans="2:2" ht="60" customHeight="1">
      <c r="B373" s="129"/>
    </row>
    <row r="374" spans="2:2" ht="60" customHeight="1">
      <c r="B374" s="130"/>
    </row>
    <row r="375" spans="2:2" ht="60" customHeight="1">
      <c r="B375" s="131"/>
    </row>
    <row r="376" spans="2:2" ht="60" customHeight="1">
      <c r="B376" s="127"/>
    </row>
    <row r="377" spans="2:2" ht="60" customHeight="1">
      <c r="B377" s="128"/>
    </row>
    <row r="378" spans="2:2" ht="60" customHeight="1">
      <c r="B378" s="129"/>
    </row>
    <row r="379" spans="2:2" ht="60" customHeight="1">
      <c r="B379" s="129"/>
    </row>
    <row r="380" spans="2:2" ht="60" customHeight="1">
      <c r="B380" s="130"/>
    </row>
    <row r="381" spans="2:2" ht="60" customHeight="1">
      <c r="B381" s="131"/>
    </row>
    <row r="382" spans="2:2" ht="60" customHeight="1">
      <c r="B382" s="127"/>
    </row>
    <row r="383" spans="2:2" ht="60" customHeight="1">
      <c r="B383" s="128"/>
    </row>
    <row r="384" spans="2:2" ht="60" customHeight="1">
      <c r="B384" s="129"/>
    </row>
    <row r="385" spans="2:2" ht="60" customHeight="1">
      <c r="B385" s="129"/>
    </row>
    <row r="386" spans="2:2" ht="60" customHeight="1">
      <c r="B386" s="130"/>
    </row>
    <row r="387" spans="2:2" ht="60" customHeight="1">
      <c r="B387" s="131"/>
    </row>
    <row r="388" spans="2:2" ht="60" customHeight="1">
      <c r="B388" s="127"/>
    </row>
    <row r="389" spans="2:2" ht="60" customHeight="1">
      <c r="B389" s="128"/>
    </row>
    <row r="390" spans="2:2" ht="60" customHeight="1">
      <c r="B390" s="129"/>
    </row>
    <row r="391" spans="2:2" ht="60" customHeight="1">
      <c r="B391" s="129"/>
    </row>
    <row r="392" spans="2:2" ht="60" customHeight="1">
      <c r="B392" s="130"/>
    </row>
    <row r="393" spans="2:2" ht="60" customHeight="1">
      <c r="B393" s="131"/>
    </row>
    <row r="394" spans="2:2" ht="60" customHeight="1">
      <c r="B394" s="127"/>
    </row>
    <row r="395" spans="2:2" ht="60" customHeight="1">
      <c r="B395" s="128"/>
    </row>
    <row r="396" spans="2:2" ht="60" customHeight="1">
      <c r="B396" s="129"/>
    </row>
    <row r="397" spans="2:2" ht="60" customHeight="1">
      <c r="B397" s="129"/>
    </row>
    <row r="398" spans="2:2" ht="60" customHeight="1">
      <c r="B398" s="130"/>
    </row>
    <row r="399" spans="2:2" ht="60" customHeight="1">
      <c r="B399" s="131"/>
    </row>
    <row r="400" spans="2:2" ht="60" customHeight="1">
      <c r="B400" s="127"/>
    </row>
    <row r="401" spans="2:2" ht="60" customHeight="1">
      <c r="B401" s="128"/>
    </row>
    <row r="402" spans="2:2" ht="60" customHeight="1">
      <c r="B402" s="129"/>
    </row>
    <row r="403" spans="2:2" ht="60" customHeight="1">
      <c r="B403" s="129"/>
    </row>
    <row r="404" spans="2:2" ht="60" customHeight="1">
      <c r="B404" s="130"/>
    </row>
    <row r="405" spans="2:2" ht="60" customHeight="1">
      <c r="B405" s="131"/>
    </row>
    <row r="406" spans="2:2" ht="60" customHeight="1">
      <c r="B406" s="127"/>
    </row>
    <row r="407" spans="2:2" ht="60" customHeight="1">
      <c r="B407" s="128"/>
    </row>
    <row r="408" spans="2:2" ht="60" customHeight="1">
      <c r="B408" s="129"/>
    </row>
    <row r="409" spans="2:2" ht="60" customHeight="1">
      <c r="B409" s="129"/>
    </row>
    <row r="410" spans="2:2" ht="60" customHeight="1">
      <c r="B410" s="130"/>
    </row>
    <row r="411" spans="2:2" ht="60" customHeight="1">
      <c r="B411" s="131"/>
    </row>
    <row r="412" spans="2:2" ht="60" customHeight="1">
      <c r="B412" s="127"/>
    </row>
    <row r="413" spans="2:2" ht="60" customHeight="1">
      <c r="B413" s="128"/>
    </row>
    <row r="414" spans="2:2" ht="60" customHeight="1">
      <c r="B414" s="129"/>
    </row>
    <row r="415" spans="2:2" ht="60" customHeight="1">
      <c r="B415" s="129"/>
    </row>
    <row r="416" spans="2:2" ht="60" customHeight="1">
      <c r="B416" s="130"/>
    </row>
    <row r="417" spans="2:2" ht="60" customHeight="1">
      <c r="B417" s="131"/>
    </row>
    <row r="418" spans="2:2" ht="60" customHeight="1">
      <c r="B418" s="127"/>
    </row>
    <row r="419" spans="2:2" ht="60" customHeight="1">
      <c r="B419" s="128"/>
    </row>
    <row r="420" spans="2:2" ht="60" customHeight="1">
      <c r="B420" s="129"/>
    </row>
    <row r="421" spans="2:2" ht="60" customHeight="1">
      <c r="B421" s="129"/>
    </row>
    <row r="422" spans="2:2" ht="60" customHeight="1">
      <c r="B422" s="130"/>
    </row>
    <row r="423" spans="2:2" ht="60" customHeight="1">
      <c r="B423" s="131"/>
    </row>
    <row r="424" spans="2:2" ht="60" customHeight="1">
      <c r="B424" s="127"/>
    </row>
    <row r="425" spans="2:2" ht="60" customHeight="1">
      <c r="B425" s="128"/>
    </row>
    <row r="426" spans="2:2" ht="60" customHeight="1">
      <c r="B426" s="129"/>
    </row>
    <row r="427" spans="2:2" ht="60" customHeight="1">
      <c r="B427" s="129"/>
    </row>
    <row r="428" spans="2:2" ht="60" customHeight="1">
      <c r="B428" s="130"/>
    </row>
    <row r="429" spans="2:2" ht="60" customHeight="1">
      <c r="B429" s="131"/>
    </row>
    <row r="430" spans="2:2" ht="60" customHeight="1">
      <c r="B430" s="127"/>
    </row>
    <row r="431" spans="2:2" ht="60" customHeight="1">
      <c r="B431" s="128"/>
    </row>
    <row r="432" spans="2:2" ht="60" customHeight="1">
      <c r="B432" s="129"/>
    </row>
    <row r="433" spans="2:2" ht="60" customHeight="1">
      <c r="B433" s="129"/>
    </row>
    <row r="434" spans="2:2" ht="60" customHeight="1">
      <c r="B434" s="130"/>
    </row>
    <row r="435" spans="2:2" ht="60" customHeight="1">
      <c r="B435" s="131"/>
    </row>
    <row r="436" spans="2:2" ht="60" customHeight="1">
      <c r="B436" s="127"/>
    </row>
    <row r="437" spans="2:2" ht="60" customHeight="1">
      <c r="B437" s="128"/>
    </row>
    <row r="438" spans="2:2" ht="60" customHeight="1">
      <c r="B438" s="129"/>
    </row>
    <row r="439" spans="2:2" ht="60" customHeight="1">
      <c r="B439" s="129"/>
    </row>
    <row r="440" spans="2:2" ht="60" customHeight="1">
      <c r="B440" s="130"/>
    </row>
    <row r="441" spans="2:2" ht="60" customHeight="1">
      <c r="B441" s="131"/>
    </row>
    <row r="442" spans="2:2" ht="60" customHeight="1">
      <c r="B442" s="127"/>
    </row>
    <row r="443" spans="2:2" ht="60" customHeight="1">
      <c r="B443" s="128"/>
    </row>
    <row r="444" spans="2:2" ht="60" customHeight="1">
      <c r="B444" s="129"/>
    </row>
    <row r="445" spans="2:2" ht="60" customHeight="1">
      <c r="B445" s="129"/>
    </row>
    <row r="446" spans="2:2" ht="60" customHeight="1">
      <c r="B446" s="130"/>
    </row>
    <row r="447" spans="2:2" ht="60" customHeight="1">
      <c r="B447" s="131"/>
    </row>
    <row r="448" spans="2:2" ht="60" customHeight="1">
      <c r="B448" s="127"/>
    </row>
    <row r="449" spans="2:2" ht="60" customHeight="1">
      <c r="B449" s="128"/>
    </row>
    <row r="450" spans="2:2" ht="60" customHeight="1">
      <c r="B450" s="129"/>
    </row>
    <row r="451" spans="2:2" ht="60" customHeight="1">
      <c r="B451" s="129"/>
    </row>
    <row r="452" spans="2:2" ht="60" customHeight="1">
      <c r="B452" s="130"/>
    </row>
    <row r="453" spans="2:2" ht="60" customHeight="1">
      <c r="B453" s="131"/>
    </row>
    <row r="454" spans="2:2" ht="60" customHeight="1">
      <c r="B454" s="127"/>
    </row>
    <row r="455" spans="2:2" ht="60" customHeight="1">
      <c r="B455" s="128"/>
    </row>
    <row r="456" spans="2:2" ht="60" customHeight="1">
      <c r="B456" s="129"/>
    </row>
    <row r="457" spans="2:2" ht="60" customHeight="1">
      <c r="B457" s="129"/>
    </row>
    <row r="458" spans="2:2" ht="60" customHeight="1">
      <c r="B458" s="130"/>
    </row>
    <row r="459" spans="2:2" ht="60" customHeight="1">
      <c r="B459" s="131"/>
    </row>
    <row r="460" spans="2:2" ht="60" customHeight="1">
      <c r="B460" s="127"/>
    </row>
    <row r="461" spans="2:2" ht="60" customHeight="1">
      <c r="B461" s="128"/>
    </row>
    <row r="462" spans="2:2" ht="60" customHeight="1">
      <c r="B462" s="129"/>
    </row>
    <row r="463" spans="2:2" ht="60" customHeight="1">
      <c r="B463" s="129"/>
    </row>
    <row r="464" spans="2:2" ht="60" customHeight="1">
      <c r="B464" s="130"/>
    </row>
    <row r="465" spans="2:2" ht="60" customHeight="1">
      <c r="B465" s="131"/>
    </row>
    <row r="466" spans="2:2" ht="60" customHeight="1">
      <c r="B466" s="127"/>
    </row>
    <row r="467" spans="2:2" ht="60" customHeight="1">
      <c r="B467" s="128"/>
    </row>
    <row r="468" spans="2:2" ht="60" customHeight="1">
      <c r="B468" s="129"/>
    </row>
    <row r="469" spans="2:2" ht="60" customHeight="1">
      <c r="B469" s="129"/>
    </row>
    <row r="470" spans="2:2" ht="60" customHeight="1">
      <c r="B470" s="130"/>
    </row>
    <row r="471" spans="2:2" ht="60" customHeight="1">
      <c r="B471" s="131"/>
    </row>
    <row r="472" spans="2:2" ht="60" customHeight="1">
      <c r="B472" s="127"/>
    </row>
    <row r="473" spans="2:2" ht="60" customHeight="1">
      <c r="B473" s="128"/>
    </row>
    <row r="474" spans="2:2" ht="60" customHeight="1">
      <c r="B474" s="129"/>
    </row>
    <row r="475" spans="2:2" ht="60" customHeight="1">
      <c r="B475" s="129"/>
    </row>
    <row r="476" spans="2:2" ht="60" customHeight="1">
      <c r="B476" s="130"/>
    </row>
    <row r="477" spans="2:2" ht="60" customHeight="1">
      <c r="B477" s="131"/>
    </row>
    <row r="478" spans="2:2" ht="60" customHeight="1">
      <c r="B478" s="127"/>
    </row>
    <row r="479" spans="2:2" ht="60" customHeight="1">
      <c r="B479" s="128"/>
    </row>
    <row r="480" spans="2:2" ht="60" customHeight="1">
      <c r="B480" s="129"/>
    </row>
    <row r="481" spans="2:2" ht="60" customHeight="1">
      <c r="B481" s="129"/>
    </row>
    <row r="482" spans="2:2" ht="60" customHeight="1">
      <c r="B482" s="130"/>
    </row>
    <row r="483" spans="2:2" ht="60" customHeight="1">
      <c r="B483" s="131"/>
    </row>
    <row r="484" spans="2:2" ht="60" customHeight="1">
      <c r="B484" s="127"/>
    </row>
    <row r="485" spans="2:2" ht="60" customHeight="1">
      <c r="B485" s="128"/>
    </row>
    <row r="486" spans="2:2" ht="60" customHeight="1">
      <c r="B486" s="129"/>
    </row>
    <row r="487" spans="2:2" ht="60" customHeight="1">
      <c r="B487" s="129"/>
    </row>
    <row r="488" spans="2:2" ht="60" customHeight="1">
      <c r="B488" s="130"/>
    </row>
    <row r="489" spans="2:2" ht="60" customHeight="1">
      <c r="B489" s="131"/>
    </row>
    <row r="490" spans="2:2" ht="60" customHeight="1">
      <c r="B490" s="127"/>
    </row>
    <row r="491" spans="2:2" ht="60" customHeight="1">
      <c r="B491" s="128"/>
    </row>
    <row r="492" spans="2:2" ht="60" customHeight="1">
      <c r="B492" s="129"/>
    </row>
    <row r="493" spans="2:2" ht="60" customHeight="1">
      <c r="B493" s="129"/>
    </row>
    <row r="494" spans="2:2" ht="60" customHeight="1">
      <c r="B494" s="130"/>
    </row>
    <row r="495" spans="2:2" ht="60" customHeight="1">
      <c r="B495" s="131"/>
    </row>
    <row r="496" spans="2:2" ht="60" customHeight="1">
      <c r="B496" s="127"/>
    </row>
    <row r="497" spans="2:2" ht="60" customHeight="1">
      <c r="B497" s="128"/>
    </row>
    <row r="498" spans="2:2" ht="60" customHeight="1">
      <c r="B498" s="129"/>
    </row>
    <row r="499" spans="2:2" ht="60" customHeight="1">
      <c r="B499" s="129"/>
    </row>
    <row r="500" spans="2:2" ht="60" customHeight="1">
      <c r="B500" s="130"/>
    </row>
    <row r="501" spans="2:2" ht="60" customHeight="1">
      <c r="B501" s="131"/>
    </row>
    <row r="502" spans="2:2" ht="60" customHeight="1">
      <c r="B502" s="127"/>
    </row>
    <row r="503" spans="2:2" ht="60" customHeight="1">
      <c r="B503" s="128"/>
    </row>
    <row r="504" spans="2:2" ht="60" customHeight="1">
      <c r="B504" s="129"/>
    </row>
    <row r="505" spans="2:2" ht="60" customHeight="1">
      <c r="B505" s="129"/>
    </row>
    <row r="506" spans="2:2" ht="60" customHeight="1">
      <c r="B506" s="130"/>
    </row>
    <row r="507" spans="2:2" ht="60" customHeight="1">
      <c r="B507" s="131"/>
    </row>
    <row r="508" spans="2:2" ht="60" customHeight="1">
      <c r="B508" s="127"/>
    </row>
    <row r="509" spans="2:2" ht="60" customHeight="1">
      <c r="B509" s="128"/>
    </row>
    <row r="510" spans="2:2" ht="60" customHeight="1">
      <c r="B510" s="129"/>
    </row>
    <row r="511" spans="2:2" ht="60" customHeight="1">
      <c r="B511" s="129"/>
    </row>
    <row r="512" spans="2:2" ht="60" customHeight="1">
      <c r="B512" s="130"/>
    </row>
    <row r="513" spans="2:2" ht="60" customHeight="1">
      <c r="B513" s="131"/>
    </row>
    <row r="514" spans="2:2" ht="60" customHeight="1">
      <c r="B514" s="127"/>
    </row>
    <row r="515" spans="2:2" ht="60" customHeight="1">
      <c r="B515" s="128"/>
    </row>
    <row r="516" spans="2:2" ht="60" customHeight="1">
      <c r="B516" s="129"/>
    </row>
    <row r="517" spans="2:2" ht="60" customHeight="1">
      <c r="B517" s="129"/>
    </row>
    <row r="518" spans="2:2" ht="60" customHeight="1">
      <c r="B518" s="130"/>
    </row>
    <row r="519" spans="2:2" ht="60" customHeight="1">
      <c r="B519" s="131"/>
    </row>
    <row r="520" spans="2:2" ht="60" customHeight="1">
      <c r="B520" s="127"/>
    </row>
    <row r="521" spans="2:2" ht="60" customHeight="1">
      <c r="B521" s="128"/>
    </row>
    <row r="522" spans="2:2" ht="60" customHeight="1">
      <c r="B522" s="129"/>
    </row>
    <row r="523" spans="2:2" ht="60" customHeight="1">
      <c r="B523" s="129"/>
    </row>
    <row r="524" spans="2:2" ht="60" customHeight="1">
      <c r="B524" s="130"/>
    </row>
    <row r="525" spans="2:2" ht="60" customHeight="1">
      <c r="B525" s="131"/>
    </row>
    <row r="526" spans="2:2" ht="60" customHeight="1">
      <c r="B526" s="127"/>
    </row>
    <row r="527" spans="2:2" ht="60" customHeight="1">
      <c r="B527" s="128"/>
    </row>
    <row r="528" spans="2:2" ht="60" customHeight="1">
      <c r="B528" s="129"/>
    </row>
    <row r="529" spans="2:2" ht="60" customHeight="1">
      <c r="B529" s="129"/>
    </row>
    <row r="530" spans="2:2" ht="60" customHeight="1">
      <c r="B530" s="130"/>
    </row>
    <row r="531" spans="2:2" ht="60" customHeight="1">
      <c r="B531" s="131"/>
    </row>
    <row r="532" spans="2:2" ht="60" customHeight="1">
      <c r="B532" s="127"/>
    </row>
    <row r="533" spans="2:2" ht="60" customHeight="1">
      <c r="B533" s="128"/>
    </row>
    <row r="534" spans="2:2" ht="60" customHeight="1">
      <c r="B534" s="129"/>
    </row>
    <row r="535" spans="2:2" ht="60" customHeight="1">
      <c r="B535" s="129"/>
    </row>
    <row r="536" spans="2:2" ht="60" customHeight="1">
      <c r="B536" s="130"/>
    </row>
    <row r="537" spans="2:2" ht="60" customHeight="1">
      <c r="B537" s="131"/>
    </row>
    <row r="538" spans="2:2" ht="60" customHeight="1">
      <c r="B538" s="127"/>
    </row>
    <row r="539" spans="2:2" ht="60" customHeight="1">
      <c r="B539" s="128"/>
    </row>
    <row r="540" spans="2:2" ht="60" customHeight="1">
      <c r="B540" s="129"/>
    </row>
    <row r="541" spans="2:2" ht="60" customHeight="1">
      <c r="B541" s="129"/>
    </row>
    <row r="542" spans="2:2" ht="60" customHeight="1">
      <c r="B542" s="130"/>
    </row>
    <row r="543" spans="2:2" ht="60" customHeight="1">
      <c r="B543" s="131"/>
    </row>
    <row r="544" spans="2:2" ht="60" customHeight="1">
      <c r="B544" s="127"/>
    </row>
    <row r="545" spans="2:2" ht="60" customHeight="1">
      <c r="B545" s="128"/>
    </row>
    <row r="546" spans="2:2" ht="60" customHeight="1">
      <c r="B546" s="129"/>
    </row>
    <row r="547" spans="2:2" ht="60" customHeight="1">
      <c r="B547" s="129"/>
    </row>
    <row r="548" spans="2:2" ht="60" customHeight="1">
      <c r="B548" s="130"/>
    </row>
    <row r="549" spans="2:2" ht="60" customHeight="1">
      <c r="B549" s="131"/>
    </row>
    <row r="550" spans="2:2" ht="60" customHeight="1">
      <c r="B550" s="127"/>
    </row>
    <row r="551" spans="2:2" ht="60" customHeight="1">
      <c r="B551" s="128"/>
    </row>
    <row r="552" spans="2:2" ht="60" customHeight="1">
      <c r="B552" s="129"/>
    </row>
    <row r="553" spans="2:2" ht="60" customHeight="1">
      <c r="B553" s="129"/>
    </row>
    <row r="554" spans="2:2" ht="60" customHeight="1">
      <c r="B554" s="130"/>
    </row>
    <row r="555" spans="2:2" ht="60" customHeight="1">
      <c r="B555" s="131"/>
    </row>
    <row r="556" spans="2:2" ht="60" customHeight="1">
      <c r="B556" s="127"/>
    </row>
    <row r="557" spans="2:2" ht="60" customHeight="1">
      <c r="B557" s="128"/>
    </row>
    <row r="558" spans="2:2" ht="60" customHeight="1">
      <c r="B558" s="129"/>
    </row>
    <row r="559" spans="2:2" ht="60" customHeight="1">
      <c r="B559" s="129"/>
    </row>
    <row r="560" spans="2:2" ht="60" customHeight="1">
      <c r="B560" s="130"/>
    </row>
    <row r="561" spans="2:2" ht="60" customHeight="1">
      <c r="B561" s="131"/>
    </row>
    <row r="562" spans="2:2" ht="60" customHeight="1">
      <c r="B562" s="127"/>
    </row>
    <row r="563" spans="2:2" ht="60" customHeight="1">
      <c r="B563" s="128"/>
    </row>
    <row r="564" spans="2:2" ht="60" customHeight="1">
      <c r="B564" s="129"/>
    </row>
    <row r="565" spans="2:2" ht="60" customHeight="1">
      <c r="B565" s="129"/>
    </row>
    <row r="566" spans="2:2" ht="60" customHeight="1">
      <c r="B566" s="130"/>
    </row>
    <row r="567" spans="2:2" ht="60" customHeight="1">
      <c r="B567" s="131"/>
    </row>
    <row r="568" spans="2:2" ht="60" customHeight="1">
      <c r="B568" s="127"/>
    </row>
    <row r="569" spans="2:2" ht="60" customHeight="1">
      <c r="B569" s="128"/>
    </row>
    <row r="570" spans="2:2" ht="60" customHeight="1">
      <c r="B570" s="129"/>
    </row>
    <row r="571" spans="2:2" ht="60" customHeight="1">
      <c r="B571" s="129"/>
    </row>
    <row r="572" spans="2:2" ht="60" customHeight="1">
      <c r="B572" s="130"/>
    </row>
    <row r="573" spans="2:2" ht="60" customHeight="1">
      <c r="B573" s="131"/>
    </row>
    <row r="574" spans="2:2" ht="60" customHeight="1">
      <c r="B574" s="127"/>
    </row>
    <row r="575" spans="2:2" ht="60" customHeight="1">
      <c r="B575" s="128"/>
    </row>
    <row r="576" spans="2:2" ht="60" customHeight="1">
      <c r="B576" s="129"/>
    </row>
    <row r="577" spans="2:2" ht="60" customHeight="1">
      <c r="B577" s="129"/>
    </row>
    <row r="578" spans="2:2" ht="60" customHeight="1">
      <c r="B578" s="130"/>
    </row>
    <row r="579" spans="2:2" ht="60" customHeight="1">
      <c r="B579" s="131"/>
    </row>
    <row r="580" spans="2:2" ht="60" customHeight="1">
      <c r="B580" s="127"/>
    </row>
    <row r="581" spans="2:2" ht="60" customHeight="1">
      <c r="B581" s="128"/>
    </row>
    <row r="582" spans="2:2" ht="60" customHeight="1">
      <c r="B582" s="129"/>
    </row>
    <row r="583" spans="2:2" ht="60" customHeight="1">
      <c r="B583" s="129"/>
    </row>
    <row r="584" spans="2:2" ht="60" customHeight="1">
      <c r="B584" s="130"/>
    </row>
    <row r="585" spans="2:2" ht="60" customHeight="1">
      <c r="B585" s="131"/>
    </row>
    <row r="586" spans="2:2" ht="60" customHeight="1">
      <c r="B586" s="127"/>
    </row>
    <row r="587" spans="2:2" ht="60" customHeight="1">
      <c r="B587" s="128"/>
    </row>
    <row r="588" spans="2:2" ht="60" customHeight="1">
      <c r="B588" s="129"/>
    </row>
    <row r="589" spans="2:2" ht="60" customHeight="1">
      <c r="B589" s="129"/>
    </row>
    <row r="590" spans="2:2" ht="60" customHeight="1">
      <c r="B590" s="130"/>
    </row>
    <row r="591" spans="2:2" ht="60" customHeight="1">
      <c r="B591" s="131"/>
    </row>
    <row r="592" spans="2:2" ht="60" customHeight="1">
      <c r="B592" s="127"/>
    </row>
    <row r="593" spans="2:2" ht="60" customHeight="1">
      <c r="B593" s="128"/>
    </row>
    <row r="594" spans="2:2" ht="60" customHeight="1">
      <c r="B594" s="129"/>
    </row>
    <row r="595" spans="2:2" ht="60" customHeight="1">
      <c r="B595" s="129"/>
    </row>
    <row r="596" spans="2:2" ht="60" customHeight="1">
      <c r="B596" s="130"/>
    </row>
    <row r="597" spans="2:2" ht="60" customHeight="1">
      <c r="B597" s="131"/>
    </row>
    <row r="598" spans="2:2" ht="60" customHeight="1">
      <c r="B598" s="127"/>
    </row>
    <row r="599" spans="2:2" ht="60" customHeight="1">
      <c r="B599" s="128"/>
    </row>
    <row r="600" spans="2:2" ht="60" customHeight="1">
      <c r="B600" s="129"/>
    </row>
    <row r="601" spans="2:2" ht="60" customHeight="1">
      <c r="B601" s="129"/>
    </row>
    <row r="602" spans="2:2" ht="60" customHeight="1">
      <c r="B602" s="130"/>
    </row>
    <row r="603" spans="2:2" ht="60" customHeight="1">
      <c r="B603" s="131"/>
    </row>
    <row r="604" spans="2:2" ht="60" customHeight="1">
      <c r="B604" s="127"/>
    </row>
    <row r="605" spans="2:2" ht="60" customHeight="1">
      <c r="B605" s="128"/>
    </row>
    <row r="606" spans="2:2" ht="60" customHeight="1">
      <c r="B606" s="129"/>
    </row>
    <row r="607" spans="2:2" ht="60" customHeight="1">
      <c r="B607" s="129"/>
    </row>
    <row r="608" spans="2:2" ht="60" customHeight="1">
      <c r="B608" s="130"/>
    </row>
    <row r="609" spans="2:2" ht="60" customHeight="1">
      <c r="B609" s="131"/>
    </row>
    <row r="610" spans="2:2" ht="60" customHeight="1">
      <c r="B610" s="127"/>
    </row>
    <row r="611" spans="2:2" ht="60" customHeight="1">
      <c r="B611" s="128"/>
    </row>
    <row r="612" spans="2:2" ht="60" customHeight="1">
      <c r="B612" s="129"/>
    </row>
    <row r="613" spans="2:2" ht="60" customHeight="1">
      <c r="B613" s="129"/>
    </row>
    <row r="614" spans="2:2" ht="60" customHeight="1">
      <c r="B614" s="130"/>
    </row>
    <row r="615" spans="2:2" ht="60" customHeight="1">
      <c r="B615" s="131"/>
    </row>
    <row r="616" spans="2:2" ht="60" customHeight="1">
      <c r="B616" s="127"/>
    </row>
    <row r="617" spans="2:2" ht="60" customHeight="1">
      <c r="B617" s="128"/>
    </row>
    <row r="618" spans="2:2" ht="60" customHeight="1">
      <c r="B618" s="129"/>
    </row>
    <row r="619" spans="2:2" ht="60" customHeight="1">
      <c r="B619" s="129"/>
    </row>
    <row r="620" spans="2:2" ht="60" customHeight="1">
      <c r="B620" s="130"/>
    </row>
    <row r="621" spans="2:2" ht="60" customHeight="1">
      <c r="B621" s="131"/>
    </row>
    <row r="622" spans="2:2" ht="60" customHeight="1">
      <c r="B622" s="127"/>
    </row>
    <row r="623" spans="2:2" ht="60" customHeight="1">
      <c r="B623" s="128"/>
    </row>
    <row r="624" spans="2:2" ht="60" customHeight="1">
      <c r="B624" s="129"/>
    </row>
    <row r="625" spans="2:2" ht="60" customHeight="1">
      <c r="B625" s="129"/>
    </row>
    <row r="626" spans="2:2" ht="60" customHeight="1">
      <c r="B626" s="130"/>
    </row>
    <row r="627" spans="2:2" ht="60" customHeight="1">
      <c r="B627" s="131"/>
    </row>
    <row r="628" spans="2:2" ht="60" customHeight="1">
      <c r="B628" s="127"/>
    </row>
    <row r="629" spans="2:2" ht="60" customHeight="1">
      <c r="B629" s="128"/>
    </row>
    <row r="630" spans="2:2" ht="60" customHeight="1">
      <c r="B630" s="129"/>
    </row>
    <row r="631" spans="2:2" ht="60" customHeight="1">
      <c r="B631" s="129"/>
    </row>
    <row r="632" spans="2:2" ht="60" customHeight="1">
      <c r="B632" s="130"/>
    </row>
    <row r="633" spans="2:2" ht="60" customHeight="1">
      <c r="B633" s="131"/>
    </row>
    <row r="634" spans="2:2" ht="60" customHeight="1">
      <c r="B634" s="127"/>
    </row>
    <row r="635" spans="2:2" ht="60" customHeight="1">
      <c r="B635" s="128"/>
    </row>
    <row r="636" spans="2:2" ht="60" customHeight="1">
      <c r="B636" s="129"/>
    </row>
    <row r="637" spans="2:2" ht="60" customHeight="1">
      <c r="B637" s="129"/>
    </row>
    <row r="638" spans="2:2" ht="60" customHeight="1">
      <c r="B638" s="130"/>
    </row>
    <row r="639" spans="2:2" ht="60" customHeight="1">
      <c r="B639" s="131"/>
    </row>
    <row r="640" spans="2:2" ht="60" customHeight="1">
      <c r="B640" s="127"/>
    </row>
    <row r="641" spans="2:2" ht="60" customHeight="1">
      <c r="B641" s="128"/>
    </row>
    <row r="642" spans="2:2" ht="60" customHeight="1">
      <c r="B642" s="129"/>
    </row>
    <row r="643" spans="2:2" ht="60" customHeight="1">
      <c r="B643" s="129"/>
    </row>
    <row r="644" spans="2:2" ht="60" customHeight="1">
      <c r="B644" s="130"/>
    </row>
    <row r="645" spans="2:2" ht="60" customHeight="1">
      <c r="B645" s="131"/>
    </row>
    <row r="646" spans="2:2" ht="60" customHeight="1">
      <c r="B646" s="127"/>
    </row>
    <row r="647" spans="2:2" ht="60" customHeight="1">
      <c r="B647" s="128"/>
    </row>
    <row r="648" spans="2:2" ht="60" customHeight="1">
      <c r="B648" s="129"/>
    </row>
    <row r="649" spans="2:2" ht="60" customHeight="1">
      <c r="B649" s="129"/>
    </row>
    <row r="650" spans="2:2" ht="60" customHeight="1">
      <c r="B650" s="130"/>
    </row>
    <row r="651" spans="2:2" ht="60" customHeight="1">
      <c r="B651" s="131"/>
    </row>
    <row r="652" spans="2:2" ht="60" customHeight="1">
      <c r="B652" s="127"/>
    </row>
    <row r="653" spans="2:2" ht="60" customHeight="1">
      <c r="B653" s="128"/>
    </row>
    <row r="654" spans="2:2" ht="60" customHeight="1">
      <c r="B654" s="129"/>
    </row>
    <row r="655" spans="2:2" ht="60" customHeight="1">
      <c r="B655" s="129"/>
    </row>
    <row r="656" spans="2:2" ht="60" customHeight="1">
      <c r="B656" s="130"/>
    </row>
    <row r="657" spans="2:2" ht="60" customHeight="1">
      <c r="B657" s="131"/>
    </row>
    <row r="658" spans="2:2" ht="60" customHeight="1">
      <c r="B658" s="127"/>
    </row>
    <row r="659" spans="2:2" ht="60" customHeight="1">
      <c r="B659" s="128"/>
    </row>
    <row r="660" spans="2:2" ht="60" customHeight="1">
      <c r="B660" s="129"/>
    </row>
    <row r="661" spans="2:2" ht="60" customHeight="1">
      <c r="B661" s="129"/>
    </row>
    <row r="662" spans="2:2" ht="60" customHeight="1">
      <c r="B662" s="130"/>
    </row>
    <row r="663" spans="2:2" ht="60" customHeight="1">
      <c r="B663" s="131"/>
    </row>
    <row r="664" spans="2:2" ht="60" customHeight="1">
      <c r="B664" s="127"/>
    </row>
    <row r="665" spans="2:2" ht="60" customHeight="1">
      <c r="B665" s="128"/>
    </row>
    <row r="666" spans="2:2" ht="60" customHeight="1">
      <c r="B666" s="129"/>
    </row>
    <row r="667" spans="2:2" ht="60" customHeight="1">
      <c r="B667" s="129"/>
    </row>
    <row r="668" spans="2:2" ht="60" customHeight="1">
      <c r="B668" s="130"/>
    </row>
    <row r="669" spans="2:2" ht="60" customHeight="1">
      <c r="B669" s="131"/>
    </row>
    <row r="670" spans="2:2" ht="60" customHeight="1">
      <c r="B670" s="127"/>
    </row>
    <row r="671" spans="2:2" ht="60" customHeight="1">
      <c r="B671" s="128"/>
    </row>
    <row r="672" spans="2:2" ht="60" customHeight="1">
      <c r="B672" s="129"/>
    </row>
    <row r="673" spans="2:2" ht="60" customHeight="1">
      <c r="B673" s="129"/>
    </row>
    <row r="674" spans="2:2" ht="60" customHeight="1">
      <c r="B674" s="130"/>
    </row>
    <row r="675" spans="2:2" ht="60" customHeight="1">
      <c r="B675" s="131"/>
    </row>
    <row r="676" spans="2:2" ht="60" customHeight="1">
      <c r="B676" s="127"/>
    </row>
    <row r="677" spans="2:2" ht="60" customHeight="1">
      <c r="B677" s="128"/>
    </row>
    <row r="678" spans="2:2" ht="60" customHeight="1">
      <c r="B678" s="129"/>
    </row>
    <row r="679" spans="2:2" ht="60" customHeight="1">
      <c r="B679" s="129"/>
    </row>
    <row r="680" spans="2:2" ht="60" customHeight="1">
      <c r="B680" s="130"/>
    </row>
    <row r="681" spans="2:2" ht="60" customHeight="1">
      <c r="B681" s="131"/>
    </row>
    <row r="682" spans="2:2" ht="60" customHeight="1">
      <c r="B682" s="127"/>
    </row>
    <row r="683" spans="2:2" ht="60" customHeight="1">
      <c r="B683" s="128"/>
    </row>
    <row r="684" spans="2:2" ht="60" customHeight="1">
      <c r="B684" s="129"/>
    </row>
    <row r="685" spans="2:2" ht="60" customHeight="1">
      <c r="B685" s="129"/>
    </row>
    <row r="686" spans="2:2" ht="60" customHeight="1">
      <c r="B686" s="130"/>
    </row>
    <row r="687" spans="2:2" ht="60" customHeight="1">
      <c r="B687" s="131"/>
    </row>
    <row r="688" spans="2:2" ht="60" customHeight="1">
      <c r="B688" s="127"/>
    </row>
    <row r="689" spans="2:2" ht="60" customHeight="1">
      <c r="B689" s="128"/>
    </row>
    <row r="690" spans="2:2" ht="60" customHeight="1">
      <c r="B690" s="129"/>
    </row>
    <row r="691" spans="2:2" ht="60" customHeight="1">
      <c r="B691" s="129"/>
    </row>
    <row r="692" spans="2:2" ht="60" customHeight="1">
      <c r="B692" s="130"/>
    </row>
    <row r="693" spans="2:2" ht="60" customHeight="1">
      <c r="B693" s="131"/>
    </row>
    <row r="694" spans="2:2" ht="60" customHeight="1">
      <c r="B694" s="127"/>
    </row>
    <row r="695" spans="2:2" ht="60" customHeight="1">
      <c r="B695" s="128"/>
    </row>
    <row r="696" spans="2:2" ht="60" customHeight="1">
      <c r="B696" s="129"/>
    </row>
    <row r="697" spans="2:2" ht="60" customHeight="1">
      <c r="B697" s="129"/>
    </row>
    <row r="698" spans="2:2" ht="60" customHeight="1">
      <c r="B698" s="130"/>
    </row>
    <row r="699" spans="2:2" ht="60" customHeight="1">
      <c r="B699" s="131"/>
    </row>
    <row r="700" spans="2:2" ht="60" customHeight="1">
      <c r="B700" s="127"/>
    </row>
    <row r="701" spans="2:2" ht="60" customHeight="1">
      <c r="B701" s="128"/>
    </row>
    <row r="702" spans="2:2" ht="60" customHeight="1">
      <c r="B702" s="129"/>
    </row>
    <row r="703" spans="2:2" ht="60" customHeight="1">
      <c r="B703" s="129"/>
    </row>
    <row r="704" spans="2:2" ht="60" customHeight="1">
      <c r="B704" s="130"/>
    </row>
    <row r="705" spans="2:2" ht="60" customHeight="1">
      <c r="B705" s="131"/>
    </row>
    <row r="706" spans="2:2" ht="60" customHeight="1">
      <c r="B706" s="127"/>
    </row>
    <row r="707" spans="2:2" ht="60" customHeight="1">
      <c r="B707" s="128"/>
    </row>
    <row r="708" spans="2:2" ht="60" customHeight="1">
      <c r="B708" s="129"/>
    </row>
    <row r="709" spans="2:2" ht="60" customHeight="1">
      <c r="B709" s="129"/>
    </row>
    <row r="710" spans="2:2" ht="60" customHeight="1">
      <c r="B710" s="130"/>
    </row>
    <row r="711" spans="2:2" ht="60" customHeight="1">
      <c r="B711" s="131"/>
    </row>
    <row r="712" spans="2:2" ht="60" customHeight="1">
      <c r="B712" s="127"/>
    </row>
    <row r="713" spans="2:2" ht="60" customHeight="1">
      <c r="B713" s="128"/>
    </row>
    <row r="714" spans="2:2" ht="60" customHeight="1">
      <c r="B714" s="129"/>
    </row>
    <row r="715" spans="2:2" ht="60" customHeight="1">
      <c r="B715" s="129"/>
    </row>
    <row r="716" spans="2:2" ht="60" customHeight="1">
      <c r="B716" s="130"/>
    </row>
    <row r="717" spans="2:2" ht="60" customHeight="1">
      <c r="B717" s="131"/>
    </row>
    <row r="718" spans="2:2" ht="60" customHeight="1">
      <c r="B718" s="127"/>
    </row>
    <row r="719" spans="2:2" ht="60" customHeight="1">
      <c r="B719" s="128"/>
    </row>
    <row r="720" spans="2:2" ht="60" customHeight="1">
      <c r="B720" s="129"/>
    </row>
    <row r="721" spans="2:2" ht="60" customHeight="1">
      <c r="B721" s="129"/>
    </row>
    <row r="722" spans="2:2" ht="60" customHeight="1">
      <c r="B722" s="130"/>
    </row>
    <row r="723" spans="2:2" ht="60" customHeight="1">
      <c r="B723" s="131"/>
    </row>
    <row r="724" spans="2:2" ht="60" customHeight="1">
      <c r="B724" s="127"/>
    </row>
    <row r="725" spans="2:2" ht="60" customHeight="1">
      <c r="B725" s="128"/>
    </row>
    <row r="726" spans="2:2" ht="60" customHeight="1">
      <c r="B726" s="129"/>
    </row>
    <row r="727" spans="2:2" ht="60" customHeight="1">
      <c r="B727" s="129"/>
    </row>
    <row r="728" spans="2:2" ht="60" customHeight="1">
      <c r="B728" s="130"/>
    </row>
    <row r="729" spans="2:2" ht="60" customHeight="1">
      <c r="B729" s="131"/>
    </row>
    <row r="730" spans="2:2" ht="60" customHeight="1">
      <c r="B730" s="127"/>
    </row>
    <row r="731" spans="2:2" ht="60" customHeight="1">
      <c r="B731" s="128"/>
    </row>
    <row r="732" spans="2:2" ht="60" customHeight="1">
      <c r="B732" s="129"/>
    </row>
    <row r="733" spans="2:2" ht="60" customHeight="1">
      <c r="B733" s="129"/>
    </row>
    <row r="734" spans="2:2" ht="60" customHeight="1">
      <c r="B734" s="130"/>
    </row>
    <row r="735" spans="2:2" ht="60" customHeight="1">
      <c r="B735" s="131"/>
    </row>
    <row r="736" spans="2:2" ht="60" customHeight="1">
      <c r="B736" s="127"/>
    </row>
    <row r="737" spans="2:2" ht="60" customHeight="1">
      <c r="B737" s="128"/>
    </row>
    <row r="738" spans="2:2" ht="60" customHeight="1">
      <c r="B738" s="129"/>
    </row>
    <row r="739" spans="2:2" ht="60" customHeight="1">
      <c r="B739" s="129"/>
    </row>
    <row r="740" spans="2:2" ht="60" customHeight="1">
      <c r="B740" s="130"/>
    </row>
    <row r="741" spans="2:2" ht="60" customHeight="1">
      <c r="B741" s="131"/>
    </row>
    <row r="742" spans="2:2" ht="60" customHeight="1">
      <c r="B742" s="127"/>
    </row>
    <row r="743" spans="2:2" ht="60" customHeight="1">
      <c r="B743" s="128"/>
    </row>
    <row r="744" spans="2:2" ht="60" customHeight="1">
      <c r="B744" s="129"/>
    </row>
    <row r="745" spans="2:2" ht="60" customHeight="1">
      <c r="B745" s="129"/>
    </row>
    <row r="746" spans="2:2" ht="60" customHeight="1">
      <c r="B746" s="130"/>
    </row>
    <row r="747" spans="2:2" ht="60" customHeight="1">
      <c r="B747" s="131"/>
    </row>
    <row r="748" spans="2:2" ht="60" customHeight="1">
      <c r="B748" s="127"/>
    </row>
    <row r="749" spans="2:2" ht="60" customHeight="1">
      <c r="B749" s="128"/>
    </row>
    <row r="750" spans="2:2" ht="60" customHeight="1">
      <c r="B750" s="129"/>
    </row>
    <row r="751" spans="2:2" ht="60" customHeight="1">
      <c r="B751" s="129"/>
    </row>
    <row r="752" spans="2:2" ht="60" customHeight="1">
      <c r="B752" s="130"/>
    </row>
    <row r="753" spans="2:2" ht="60" customHeight="1">
      <c r="B753" s="131"/>
    </row>
    <row r="754" spans="2:2" ht="60" customHeight="1">
      <c r="B754" s="127"/>
    </row>
    <row r="755" spans="2:2" ht="60" customHeight="1">
      <c r="B755" s="128"/>
    </row>
    <row r="756" spans="2:2" ht="60" customHeight="1">
      <c r="B756" s="129"/>
    </row>
    <row r="757" spans="2:2" ht="60" customHeight="1">
      <c r="B757" s="129"/>
    </row>
    <row r="758" spans="2:2" ht="60" customHeight="1">
      <c r="B758" s="130"/>
    </row>
    <row r="759" spans="2:2" ht="60" customHeight="1">
      <c r="B759" s="131"/>
    </row>
    <row r="760" spans="2:2" ht="60" customHeight="1">
      <c r="B760" s="127"/>
    </row>
    <row r="761" spans="2:2" ht="60" customHeight="1">
      <c r="B761" s="128"/>
    </row>
    <row r="762" spans="2:2" ht="60" customHeight="1">
      <c r="B762" s="129"/>
    </row>
    <row r="763" spans="2:2" ht="60" customHeight="1">
      <c r="B763" s="129"/>
    </row>
    <row r="764" spans="2:2" ht="60" customHeight="1">
      <c r="B764" s="130"/>
    </row>
    <row r="765" spans="2:2" ht="60" customHeight="1">
      <c r="B765" s="131"/>
    </row>
    <row r="766" spans="2:2" ht="60" customHeight="1">
      <c r="B766" s="127"/>
    </row>
    <row r="767" spans="2:2" ht="60" customHeight="1">
      <c r="B767" s="128"/>
    </row>
    <row r="768" spans="2:2" ht="60" customHeight="1">
      <c r="B768" s="129"/>
    </row>
    <row r="769" spans="2:2" ht="60" customHeight="1">
      <c r="B769" s="129"/>
    </row>
    <row r="770" spans="2:2" ht="60" customHeight="1">
      <c r="B770" s="130"/>
    </row>
    <row r="771" spans="2:2" ht="60" customHeight="1">
      <c r="B771" s="131"/>
    </row>
    <row r="772" spans="2:2" ht="60" customHeight="1">
      <c r="B772" s="127"/>
    </row>
    <row r="773" spans="2:2" ht="60" customHeight="1">
      <c r="B773" s="128"/>
    </row>
    <row r="774" spans="2:2" ht="60" customHeight="1">
      <c r="B774" s="129"/>
    </row>
    <row r="775" spans="2:2" ht="60" customHeight="1">
      <c r="B775" s="129"/>
    </row>
    <row r="776" spans="2:2" ht="60" customHeight="1">
      <c r="B776" s="130"/>
    </row>
    <row r="777" spans="2:2" ht="60" customHeight="1">
      <c r="B777" s="131"/>
    </row>
    <row r="778" spans="2:2" ht="60" customHeight="1">
      <c r="B778" s="127"/>
    </row>
    <row r="779" spans="2:2" ht="60" customHeight="1">
      <c r="B779" s="128"/>
    </row>
    <row r="780" spans="2:2" ht="60" customHeight="1">
      <c r="B780" s="129"/>
    </row>
    <row r="781" spans="2:2" ht="60" customHeight="1">
      <c r="B781" s="129"/>
    </row>
    <row r="782" spans="2:2" ht="60" customHeight="1">
      <c r="B782" s="130"/>
    </row>
    <row r="783" spans="2:2" ht="60" customHeight="1">
      <c r="B783" s="131"/>
    </row>
    <row r="784" spans="2:2" ht="60" customHeight="1">
      <c r="B784" s="127"/>
    </row>
    <row r="785" spans="2:2" ht="60" customHeight="1">
      <c r="B785" s="128"/>
    </row>
    <row r="786" spans="2:2" ht="60" customHeight="1">
      <c r="B786" s="129"/>
    </row>
    <row r="787" spans="2:2" ht="60" customHeight="1">
      <c r="B787" s="129"/>
    </row>
    <row r="788" spans="2:2" ht="60" customHeight="1">
      <c r="B788" s="130"/>
    </row>
    <row r="789" spans="2:2" ht="60" customHeight="1">
      <c r="B789" s="131"/>
    </row>
    <row r="790" spans="2:2" ht="60" customHeight="1">
      <c r="B790" s="127"/>
    </row>
    <row r="791" spans="2:2" ht="60" customHeight="1">
      <c r="B791" s="128"/>
    </row>
    <row r="792" spans="2:2" ht="60" customHeight="1">
      <c r="B792" s="129"/>
    </row>
    <row r="793" spans="2:2" ht="60" customHeight="1">
      <c r="B793" s="129"/>
    </row>
    <row r="794" spans="2:2" ht="60" customHeight="1">
      <c r="B794" s="130"/>
    </row>
    <row r="795" spans="2:2" ht="60" customHeight="1">
      <c r="B795" s="131"/>
    </row>
    <row r="796" spans="2:2" ht="60" customHeight="1">
      <c r="B796" s="127"/>
    </row>
    <row r="797" spans="2:2" ht="60" customHeight="1">
      <c r="B797" s="128"/>
    </row>
    <row r="798" spans="2:2" ht="60" customHeight="1">
      <c r="B798" s="129"/>
    </row>
    <row r="799" spans="2:2" ht="60" customHeight="1">
      <c r="B799" s="129"/>
    </row>
    <row r="800" spans="2:2" ht="60" customHeight="1">
      <c r="B800" s="130"/>
    </row>
    <row r="801" spans="2:2" ht="60" customHeight="1">
      <c r="B801" s="131"/>
    </row>
    <row r="802" spans="2:2" ht="60" customHeight="1">
      <c r="B802" s="127"/>
    </row>
    <row r="803" spans="2:2" ht="60" customHeight="1">
      <c r="B803" s="128"/>
    </row>
    <row r="804" spans="2:2" ht="60" customHeight="1">
      <c r="B804" s="129"/>
    </row>
    <row r="805" spans="2:2" ht="60" customHeight="1">
      <c r="B805" s="129"/>
    </row>
    <row r="806" spans="2:2" ht="60" customHeight="1">
      <c r="B806" s="130"/>
    </row>
    <row r="807" spans="2:2" ht="60" customHeight="1">
      <c r="B807" s="131"/>
    </row>
    <row r="808" spans="2:2" ht="60" customHeight="1">
      <c r="B808" s="127"/>
    </row>
    <row r="809" spans="2:2" ht="60" customHeight="1">
      <c r="B809" s="128"/>
    </row>
    <row r="810" spans="2:2" ht="60" customHeight="1">
      <c r="B810" s="129"/>
    </row>
    <row r="811" spans="2:2" ht="60" customHeight="1">
      <c r="B811" s="129"/>
    </row>
    <row r="812" spans="2:2" ht="60" customHeight="1">
      <c r="B812" s="130"/>
    </row>
    <row r="813" spans="2:2" ht="60" customHeight="1">
      <c r="B813" s="131"/>
    </row>
    <row r="814" spans="2:2" ht="60" customHeight="1">
      <c r="B814" s="127"/>
    </row>
    <row r="815" spans="2:2" ht="60" customHeight="1">
      <c r="B815" s="128"/>
    </row>
    <row r="816" spans="2:2" ht="60" customHeight="1">
      <c r="B816" s="129"/>
    </row>
    <row r="817" spans="2:2" ht="60" customHeight="1">
      <c r="B817" s="129"/>
    </row>
    <row r="818" spans="2:2" ht="60" customHeight="1">
      <c r="B818" s="130"/>
    </row>
    <row r="819" spans="2:2" ht="60" customHeight="1">
      <c r="B819" s="131"/>
    </row>
    <row r="820" spans="2:2" ht="60" customHeight="1">
      <c r="B820" s="127"/>
    </row>
    <row r="821" spans="2:2" ht="60" customHeight="1">
      <c r="B821" s="128"/>
    </row>
    <row r="822" spans="2:2" ht="60" customHeight="1">
      <c r="B822" s="129"/>
    </row>
    <row r="823" spans="2:2" ht="60" customHeight="1">
      <c r="B823" s="129"/>
    </row>
    <row r="824" spans="2:2" ht="60" customHeight="1">
      <c r="B824" s="130"/>
    </row>
    <row r="825" spans="2:2" ht="60" customHeight="1">
      <c r="B825" s="131"/>
    </row>
    <row r="826" spans="2:2" ht="60" customHeight="1">
      <c r="B826" s="127"/>
    </row>
    <row r="827" spans="2:2" ht="60" customHeight="1">
      <c r="B827" s="128"/>
    </row>
    <row r="828" spans="2:2" ht="60" customHeight="1">
      <c r="B828" s="129"/>
    </row>
    <row r="829" spans="2:2" ht="60" customHeight="1">
      <c r="B829" s="129"/>
    </row>
    <row r="830" spans="2:2" ht="60" customHeight="1">
      <c r="B830" s="130"/>
    </row>
    <row r="831" spans="2:2" ht="60" customHeight="1">
      <c r="B831" s="131"/>
    </row>
    <row r="832" spans="2:2" ht="60" customHeight="1">
      <c r="B832" s="127"/>
    </row>
    <row r="833" spans="2:2" ht="60" customHeight="1">
      <c r="B833" s="128"/>
    </row>
    <row r="834" spans="2:2" ht="60" customHeight="1">
      <c r="B834" s="129"/>
    </row>
    <row r="835" spans="2:2" ht="60" customHeight="1">
      <c r="B835" s="129"/>
    </row>
    <row r="836" spans="2:2" ht="60" customHeight="1">
      <c r="B836" s="130"/>
    </row>
    <row r="837" spans="2:2" ht="60" customHeight="1">
      <c r="B837" s="131"/>
    </row>
    <row r="838" spans="2:2" ht="60" customHeight="1">
      <c r="B838" s="127"/>
    </row>
    <row r="839" spans="2:2" ht="60" customHeight="1">
      <c r="B839" s="128"/>
    </row>
    <row r="840" spans="2:2" ht="60" customHeight="1">
      <c r="B840" s="129"/>
    </row>
    <row r="841" spans="2:2" ht="60" customHeight="1">
      <c r="B841" s="129"/>
    </row>
    <row r="842" spans="2:2" ht="60" customHeight="1">
      <c r="B842" s="130"/>
    </row>
    <row r="843" spans="2:2" ht="60" customHeight="1">
      <c r="B843" s="131"/>
    </row>
    <row r="844" spans="2:2" ht="60" customHeight="1">
      <c r="B844" s="127"/>
    </row>
    <row r="845" spans="2:2" ht="60" customHeight="1">
      <c r="B845" s="128"/>
    </row>
    <row r="846" spans="2:2" ht="60" customHeight="1">
      <c r="B846" s="129"/>
    </row>
    <row r="847" spans="2:2" ht="60" customHeight="1">
      <c r="B847" s="129"/>
    </row>
    <row r="848" spans="2:2" ht="60" customHeight="1">
      <c r="B848" s="130"/>
    </row>
    <row r="849" spans="2:2" ht="60" customHeight="1">
      <c r="B849" s="131"/>
    </row>
    <row r="850" spans="2:2" ht="60" customHeight="1">
      <c r="B850" s="127"/>
    </row>
    <row r="851" spans="2:2" ht="60" customHeight="1">
      <c r="B851" s="128"/>
    </row>
    <row r="852" spans="2:2" ht="60" customHeight="1">
      <c r="B852" s="129"/>
    </row>
    <row r="853" spans="2:2" ht="60" customHeight="1">
      <c r="B853" s="129"/>
    </row>
    <row r="854" spans="2:2" ht="60" customHeight="1">
      <c r="B854" s="130"/>
    </row>
    <row r="855" spans="2:2" ht="60" customHeight="1">
      <c r="B855" s="131"/>
    </row>
    <row r="856" spans="2:2" ht="60" customHeight="1">
      <c r="B856" s="127"/>
    </row>
    <row r="857" spans="2:2" ht="60" customHeight="1">
      <c r="B857" s="128"/>
    </row>
    <row r="858" spans="2:2" ht="60" customHeight="1">
      <c r="B858" s="129"/>
    </row>
    <row r="859" spans="2:2" ht="60" customHeight="1">
      <c r="B859" s="129"/>
    </row>
    <row r="860" spans="2:2" ht="60" customHeight="1">
      <c r="B860" s="130"/>
    </row>
    <row r="861" spans="2:2" ht="60" customHeight="1">
      <c r="B861" s="131"/>
    </row>
    <row r="862" spans="2:2" ht="60" customHeight="1">
      <c r="B862" s="127"/>
    </row>
    <row r="863" spans="2:2" ht="60" customHeight="1">
      <c r="B863" s="128"/>
    </row>
    <row r="864" spans="2:2" ht="60" customHeight="1">
      <c r="B864" s="129"/>
    </row>
    <row r="865" spans="2:2" ht="60" customHeight="1">
      <c r="B865" s="129"/>
    </row>
    <row r="866" spans="2:2" ht="60" customHeight="1">
      <c r="B866" s="130"/>
    </row>
    <row r="867" spans="2:2" ht="60" customHeight="1">
      <c r="B867" s="131"/>
    </row>
    <row r="868" spans="2:2" ht="60" customHeight="1">
      <c r="B868" s="127"/>
    </row>
    <row r="869" spans="2:2" ht="60" customHeight="1">
      <c r="B869" s="128"/>
    </row>
    <row r="870" spans="2:2" ht="60" customHeight="1">
      <c r="B870" s="129"/>
    </row>
    <row r="871" spans="2:2" ht="60" customHeight="1">
      <c r="B871" s="129"/>
    </row>
    <row r="872" spans="2:2" ht="60" customHeight="1">
      <c r="B872" s="130"/>
    </row>
    <row r="873" spans="2:2" ht="60" customHeight="1">
      <c r="B873" s="131"/>
    </row>
    <row r="874" spans="2:2" ht="60" customHeight="1">
      <c r="B874" s="127"/>
    </row>
    <row r="875" spans="2:2" ht="60" customHeight="1">
      <c r="B875" s="128"/>
    </row>
    <row r="876" spans="2:2" ht="60" customHeight="1">
      <c r="B876" s="129"/>
    </row>
    <row r="877" spans="2:2" ht="60" customHeight="1">
      <c r="B877" s="129"/>
    </row>
    <row r="878" spans="2:2" ht="60" customHeight="1">
      <c r="B878" s="130"/>
    </row>
    <row r="879" spans="2:2" ht="60" customHeight="1">
      <c r="B879" s="131"/>
    </row>
    <row r="880" spans="2:2" ht="60" customHeight="1">
      <c r="B880" s="127"/>
    </row>
    <row r="881" spans="2:2" ht="60" customHeight="1">
      <c r="B881" s="128"/>
    </row>
    <row r="882" spans="2:2" ht="60" customHeight="1">
      <c r="B882" s="129"/>
    </row>
    <row r="883" spans="2:2" ht="60" customHeight="1">
      <c r="B883" s="129"/>
    </row>
    <row r="884" spans="2:2" ht="60" customHeight="1">
      <c r="B884" s="130"/>
    </row>
    <row r="885" spans="2:2" ht="60" customHeight="1">
      <c r="B885" s="131"/>
    </row>
    <row r="886" spans="2:2" ht="60" customHeight="1">
      <c r="B886" s="127"/>
    </row>
    <row r="887" spans="2:2" ht="60" customHeight="1">
      <c r="B887" s="128"/>
    </row>
    <row r="888" spans="2:2" ht="60" customHeight="1">
      <c r="B888" s="129"/>
    </row>
    <row r="889" spans="2:2" ht="60" customHeight="1">
      <c r="B889" s="129"/>
    </row>
    <row r="890" spans="2:2" ht="60" customHeight="1">
      <c r="B890" s="130"/>
    </row>
    <row r="891" spans="2:2" ht="60" customHeight="1">
      <c r="B891" s="131"/>
    </row>
    <row r="892" spans="2:2" ht="60" customHeight="1">
      <c r="B892" s="127"/>
    </row>
    <row r="893" spans="2:2" ht="60" customHeight="1">
      <c r="B893" s="128"/>
    </row>
    <row r="894" spans="2:2" ht="60" customHeight="1">
      <c r="B894" s="129"/>
    </row>
    <row r="895" spans="2:2" ht="60" customHeight="1">
      <c r="B895" s="129"/>
    </row>
    <row r="896" spans="2:2" ht="60" customHeight="1">
      <c r="B896" s="130"/>
    </row>
    <row r="897" spans="2:2" ht="60" customHeight="1">
      <c r="B897" s="131"/>
    </row>
    <row r="898" spans="2:2" ht="60" customHeight="1">
      <c r="B898" s="127"/>
    </row>
    <row r="899" spans="2:2" ht="60" customHeight="1">
      <c r="B899" s="128"/>
    </row>
    <row r="900" spans="2:2" ht="60" customHeight="1">
      <c r="B900" s="129"/>
    </row>
    <row r="901" spans="2:2" ht="60" customHeight="1">
      <c r="B901" s="129"/>
    </row>
    <row r="902" spans="2:2" ht="60" customHeight="1">
      <c r="B902" s="130"/>
    </row>
    <row r="903" spans="2:2" ht="60" customHeight="1">
      <c r="B903" s="131"/>
    </row>
    <row r="904" spans="2:2" ht="60" customHeight="1">
      <c r="B904" s="127"/>
    </row>
    <row r="905" spans="2:2" ht="60" customHeight="1">
      <c r="B905" s="128"/>
    </row>
    <row r="906" spans="2:2" ht="60" customHeight="1">
      <c r="B906" s="129"/>
    </row>
    <row r="907" spans="2:2" ht="60" customHeight="1">
      <c r="B907" s="129"/>
    </row>
    <row r="908" spans="2:2" ht="60" customHeight="1">
      <c r="B908" s="130"/>
    </row>
    <row r="909" spans="2:2" ht="60" customHeight="1">
      <c r="B909" s="131"/>
    </row>
    <row r="910" spans="2:2" ht="60" customHeight="1">
      <c r="B910" s="127"/>
    </row>
    <row r="911" spans="2:2" ht="60" customHeight="1">
      <c r="B911" s="128"/>
    </row>
    <row r="912" spans="2:2" ht="60" customHeight="1">
      <c r="B912" s="129"/>
    </row>
    <row r="913" spans="2:2" ht="60" customHeight="1">
      <c r="B913" s="129"/>
    </row>
    <row r="914" spans="2:2" ht="60" customHeight="1">
      <c r="B914" s="130"/>
    </row>
    <row r="915" spans="2:2" ht="60" customHeight="1">
      <c r="B915" s="131"/>
    </row>
    <row r="916" spans="2:2" ht="60" customHeight="1">
      <c r="B916" s="127"/>
    </row>
    <row r="917" spans="2:2" ht="60" customHeight="1">
      <c r="B917" s="128"/>
    </row>
    <row r="918" spans="2:2" ht="60" customHeight="1">
      <c r="B918" s="129"/>
    </row>
    <row r="919" spans="2:2" ht="60" customHeight="1">
      <c r="B919" s="129"/>
    </row>
    <row r="920" spans="2:2" ht="60" customHeight="1">
      <c r="B920" s="130"/>
    </row>
    <row r="921" spans="2:2" ht="60" customHeight="1">
      <c r="B921" s="131"/>
    </row>
    <row r="922" spans="2:2" ht="60" customHeight="1">
      <c r="B922" s="127"/>
    </row>
    <row r="923" spans="2:2" ht="60" customHeight="1">
      <c r="B923" s="128"/>
    </row>
    <row r="924" spans="2:2" ht="60" customHeight="1">
      <c r="B924" s="129"/>
    </row>
    <row r="925" spans="2:2" ht="60" customHeight="1">
      <c r="B925" s="129"/>
    </row>
    <row r="926" spans="2:2" ht="60" customHeight="1">
      <c r="B926" s="130"/>
    </row>
    <row r="927" spans="2:2" ht="60" customHeight="1">
      <c r="B927" s="131"/>
    </row>
    <row r="928" spans="2:2" ht="60" customHeight="1">
      <c r="B928" s="127"/>
    </row>
    <row r="929" spans="2:2" ht="60" customHeight="1">
      <c r="B929" s="128"/>
    </row>
    <row r="930" spans="2:2" ht="60" customHeight="1">
      <c r="B930" s="129"/>
    </row>
    <row r="931" spans="2:2" ht="60" customHeight="1">
      <c r="B931" s="129"/>
    </row>
    <row r="932" spans="2:2" ht="60" customHeight="1">
      <c r="B932" s="130"/>
    </row>
    <row r="933" spans="2:2" ht="60" customHeight="1">
      <c r="B933" s="131"/>
    </row>
    <row r="934" spans="2:2" ht="60" customHeight="1">
      <c r="B934" s="127"/>
    </row>
    <row r="935" spans="2:2" ht="60" customHeight="1">
      <c r="B935" s="128"/>
    </row>
    <row r="936" spans="2:2" ht="60" customHeight="1">
      <c r="B936" s="129"/>
    </row>
    <row r="937" spans="2:2" ht="60" customHeight="1">
      <c r="B937" s="129"/>
    </row>
    <row r="938" spans="2:2" ht="60" customHeight="1">
      <c r="B938" s="130"/>
    </row>
    <row r="939" spans="2:2" ht="60" customHeight="1">
      <c r="B939" s="131"/>
    </row>
    <row r="940" spans="2:2" ht="60" customHeight="1">
      <c r="B940" s="127"/>
    </row>
    <row r="941" spans="2:2" ht="60" customHeight="1">
      <c r="B941" s="128"/>
    </row>
    <row r="942" spans="2:2" ht="60" customHeight="1">
      <c r="B942" s="129"/>
    </row>
    <row r="943" spans="2:2" ht="60" customHeight="1">
      <c r="B943" s="129"/>
    </row>
    <row r="944" spans="2:2" ht="60" customHeight="1">
      <c r="B944" s="130"/>
    </row>
    <row r="945" spans="2:2" ht="60" customHeight="1">
      <c r="B945" s="131"/>
    </row>
    <row r="946" spans="2:2" ht="60" customHeight="1">
      <c r="B946" s="127"/>
    </row>
    <row r="947" spans="2:2" ht="60" customHeight="1">
      <c r="B947" s="128"/>
    </row>
    <row r="948" spans="2:2" ht="60" customHeight="1">
      <c r="B948" s="129"/>
    </row>
    <row r="949" spans="2:2" ht="60" customHeight="1">
      <c r="B949" s="129"/>
    </row>
    <row r="950" spans="2:2" ht="60" customHeight="1">
      <c r="B950" s="130"/>
    </row>
    <row r="951" spans="2:2" ht="60" customHeight="1">
      <c r="B951" s="131"/>
    </row>
    <row r="952" spans="2:2" ht="60" customHeight="1">
      <c r="B952" s="127"/>
    </row>
    <row r="953" spans="2:2" ht="60" customHeight="1">
      <c r="B953" s="128"/>
    </row>
    <row r="954" spans="2:2" ht="60" customHeight="1">
      <c r="B954" s="129"/>
    </row>
    <row r="955" spans="2:2" ht="60" customHeight="1">
      <c r="B955" s="129"/>
    </row>
    <row r="956" spans="2:2" ht="60" customHeight="1">
      <c r="B956" s="130"/>
    </row>
    <row r="957" spans="2:2" ht="60" customHeight="1">
      <c r="B957" s="131"/>
    </row>
    <row r="958" spans="2:2" ht="60" customHeight="1">
      <c r="B958" s="127"/>
    </row>
    <row r="959" spans="2:2" ht="60" customHeight="1">
      <c r="B959" s="128"/>
    </row>
    <row r="960" spans="2:2" ht="60" customHeight="1">
      <c r="B960" s="129"/>
    </row>
    <row r="961" spans="2:2" ht="60" customHeight="1">
      <c r="B961" s="129"/>
    </row>
    <row r="962" spans="2:2" ht="60" customHeight="1">
      <c r="B962" s="130"/>
    </row>
    <row r="963" spans="2:2" ht="60" customHeight="1">
      <c r="B963" s="131"/>
    </row>
    <row r="964" spans="2:2" ht="60" customHeight="1">
      <c r="B964" s="127"/>
    </row>
    <row r="965" spans="2:2" ht="60" customHeight="1">
      <c r="B965" s="128"/>
    </row>
    <row r="966" spans="2:2" ht="60" customHeight="1">
      <c r="B966" s="129"/>
    </row>
    <row r="967" spans="2:2" ht="60" customHeight="1">
      <c r="B967" s="129"/>
    </row>
    <row r="968" spans="2:2" ht="60" customHeight="1">
      <c r="B968" s="130"/>
    </row>
    <row r="969" spans="2:2" ht="60" customHeight="1">
      <c r="B969" s="131"/>
    </row>
    <row r="970" spans="2:2" ht="60" customHeight="1">
      <c r="B970" s="127"/>
    </row>
    <row r="971" spans="2:2" ht="60" customHeight="1">
      <c r="B971" s="128"/>
    </row>
    <row r="972" spans="2:2" ht="60" customHeight="1">
      <c r="B972" s="129"/>
    </row>
    <row r="973" spans="2:2" ht="60" customHeight="1">
      <c r="B973" s="129"/>
    </row>
    <row r="974" spans="2:2" ht="60" customHeight="1">
      <c r="B974" s="130"/>
    </row>
    <row r="975" spans="2:2" ht="60" customHeight="1">
      <c r="B975" s="131"/>
    </row>
    <row r="976" spans="2:2" ht="60" customHeight="1">
      <c r="B976" s="127"/>
    </row>
    <row r="977" spans="2:2" ht="60" customHeight="1">
      <c r="B977" s="128"/>
    </row>
    <row r="978" spans="2:2" ht="60" customHeight="1">
      <c r="B978" s="129"/>
    </row>
    <row r="979" spans="2:2" ht="60" customHeight="1">
      <c r="B979" s="129"/>
    </row>
    <row r="980" spans="2:2" ht="60" customHeight="1">
      <c r="B980" s="130"/>
    </row>
    <row r="981" spans="2:2" ht="60" customHeight="1">
      <c r="B981" s="131"/>
    </row>
    <row r="982" spans="2:2" ht="60" customHeight="1">
      <c r="B982" s="127"/>
    </row>
    <row r="983" spans="2:2" ht="60" customHeight="1">
      <c r="B983" s="128"/>
    </row>
    <row r="984" spans="2:2" ht="60" customHeight="1">
      <c r="B984" s="129"/>
    </row>
    <row r="985" spans="2:2" ht="60" customHeight="1">
      <c r="B985" s="129"/>
    </row>
    <row r="986" spans="2:2" ht="60" customHeight="1">
      <c r="B986" s="130"/>
    </row>
    <row r="987" spans="2:2" ht="60" customHeight="1">
      <c r="B987" s="131"/>
    </row>
    <row r="988" spans="2:2" ht="60" customHeight="1">
      <c r="B988" s="127"/>
    </row>
    <row r="989" spans="2:2" ht="60" customHeight="1">
      <c r="B989" s="128"/>
    </row>
    <row r="990" spans="2:2" ht="60" customHeight="1">
      <c r="B990" s="129"/>
    </row>
    <row r="991" spans="2:2" ht="60" customHeight="1">
      <c r="B991" s="129"/>
    </row>
    <row r="992" spans="2:2" ht="60" customHeight="1">
      <c r="B992" s="130"/>
    </row>
    <row r="993" spans="2:2" ht="60" customHeight="1">
      <c r="B993" s="131"/>
    </row>
    <row r="994" spans="2:2" ht="60" customHeight="1">
      <c r="B994" s="127"/>
    </row>
    <row r="995" spans="2:2" ht="60" customHeight="1">
      <c r="B995" s="128"/>
    </row>
    <row r="996" spans="2:2" ht="60" customHeight="1">
      <c r="B996" s="129"/>
    </row>
    <row r="997" spans="2:2" ht="60" customHeight="1">
      <c r="B997" s="129"/>
    </row>
    <row r="998" spans="2:2" ht="60" customHeight="1">
      <c r="B998" s="130"/>
    </row>
    <row r="999" spans="2:2" ht="60" customHeight="1">
      <c r="B999" s="131"/>
    </row>
    <row r="1000" spans="2:2" ht="60" customHeight="1">
      <c r="B1000" s="127"/>
    </row>
    <row r="1001" spans="2:2" ht="60" customHeight="1">
      <c r="B1001" s="128"/>
    </row>
    <row r="1002" spans="2:2" ht="60" customHeight="1">
      <c r="B1002" s="129"/>
    </row>
    <row r="1003" spans="2:2" ht="60" customHeight="1">
      <c r="B1003" s="129"/>
    </row>
    <row r="1004" spans="2:2" ht="60" customHeight="1">
      <c r="B1004" s="130"/>
    </row>
    <row r="1005" spans="2:2" ht="60" customHeight="1">
      <c r="B1005" s="131"/>
    </row>
    <row r="1006" spans="2:2" ht="60" customHeight="1">
      <c r="B1006" s="127"/>
    </row>
    <row r="1007" spans="2:2" ht="60" customHeight="1">
      <c r="B1007" s="128"/>
    </row>
    <row r="1008" spans="2:2" ht="60" customHeight="1">
      <c r="B1008" s="129"/>
    </row>
    <row r="1009" spans="2:2" ht="60" customHeight="1">
      <c r="B1009" s="129"/>
    </row>
    <row r="1010" spans="2:2" ht="60" customHeight="1">
      <c r="B1010" s="130"/>
    </row>
    <row r="1011" spans="2:2" ht="60" customHeight="1">
      <c r="B1011" s="131"/>
    </row>
    <row r="1012" spans="2:2" ht="60" customHeight="1">
      <c r="B1012" s="127"/>
    </row>
    <row r="1013" spans="2:2" ht="60" customHeight="1">
      <c r="B1013" s="128"/>
    </row>
    <row r="1014" spans="2:2" ht="60" customHeight="1">
      <c r="B1014" s="129"/>
    </row>
    <row r="1015" spans="2:2" ht="60" customHeight="1">
      <c r="B1015" s="129"/>
    </row>
    <row r="1016" spans="2:2" ht="60" customHeight="1">
      <c r="B1016" s="130"/>
    </row>
    <row r="1017" spans="2:2" ht="60" customHeight="1">
      <c r="B1017" s="131"/>
    </row>
    <row r="1018" spans="2:2" ht="60" customHeight="1">
      <c r="B1018" s="127"/>
    </row>
    <row r="1019" spans="2:2" ht="60" customHeight="1">
      <c r="B1019" s="128"/>
    </row>
    <row r="1020" spans="2:2" ht="60" customHeight="1">
      <c r="B1020" s="129"/>
    </row>
    <row r="1021" spans="2:2" ht="60" customHeight="1">
      <c r="B1021" s="129"/>
    </row>
    <row r="1022" spans="2:2" ht="60" customHeight="1">
      <c r="B1022" s="130"/>
    </row>
    <row r="1023" spans="2:2" ht="60" customHeight="1">
      <c r="B1023" s="131"/>
    </row>
    <row r="1024" spans="2:2" ht="60" customHeight="1">
      <c r="B1024" s="127"/>
    </row>
    <row r="1025" spans="2:2" ht="60" customHeight="1">
      <c r="B1025" s="128"/>
    </row>
    <row r="1026" spans="2:2" ht="60" customHeight="1">
      <c r="B1026" s="129"/>
    </row>
    <row r="1027" spans="2:2" ht="60" customHeight="1">
      <c r="B1027" s="129"/>
    </row>
    <row r="1028" spans="2:2" ht="60" customHeight="1">
      <c r="B1028" s="130"/>
    </row>
    <row r="1029" spans="2:2" ht="60" customHeight="1">
      <c r="B1029" s="131"/>
    </row>
    <row r="1030" spans="2:2" ht="60" customHeight="1">
      <c r="B1030" s="127"/>
    </row>
    <row r="1031" spans="2:2" ht="60" customHeight="1">
      <c r="B1031" s="128"/>
    </row>
    <row r="1032" spans="2:2" ht="60" customHeight="1">
      <c r="B1032" s="129"/>
    </row>
    <row r="1033" spans="2:2" ht="60" customHeight="1">
      <c r="B1033" s="129"/>
    </row>
    <row r="1034" spans="2:2" ht="60" customHeight="1">
      <c r="B1034" s="130"/>
    </row>
    <row r="1035" spans="2:2" ht="60" customHeight="1">
      <c r="B1035" s="131"/>
    </row>
    <row r="1036" spans="2:2" ht="60" customHeight="1">
      <c r="B1036" s="127"/>
    </row>
    <row r="1037" spans="2:2" ht="60" customHeight="1">
      <c r="B1037" s="128"/>
    </row>
    <row r="1038" spans="2:2" ht="60" customHeight="1">
      <c r="B1038" s="129"/>
    </row>
    <row r="1039" spans="2:2" ht="60" customHeight="1">
      <c r="B1039" s="129"/>
    </row>
    <row r="1040" spans="2:2" ht="60" customHeight="1">
      <c r="B1040" s="130"/>
    </row>
    <row r="1041" spans="2:2" ht="60" customHeight="1">
      <c r="B1041" s="131"/>
    </row>
    <row r="1042" spans="2:2" ht="60" customHeight="1">
      <c r="B1042" s="127"/>
    </row>
    <row r="1043" spans="2:2" ht="60" customHeight="1">
      <c r="B1043" s="128"/>
    </row>
    <row r="1044" spans="2:2" ht="60" customHeight="1">
      <c r="B1044" s="129"/>
    </row>
    <row r="1045" spans="2:2" ht="60" customHeight="1">
      <c r="B1045" s="129"/>
    </row>
    <row r="1046" spans="2:2" ht="60" customHeight="1">
      <c r="B1046" s="130"/>
    </row>
    <row r="1047" spans="2:2" ht="60" customHeight="1">
      <c r="B1047" s="131"/>
    </row>
    <row r="1048" spans="2:2" ht="60" customHeight="1">
      <c r="B1048" s="127"/>
    </row>
    <row r="1049" spans="2:2" ht="60" customHeight="1">
      <c r="B1049" s="128"/>
    </row>
    <row r="1050" spans="2:2" ht="60" customHeight="1">
      <c r="B1050" s="129"/>
    </row>
    <row r="1051" spans="2:2" ht="60" customHeight="1">
      <c r="B1051" s="129"/>
    </row>
    <row r="1052" spans="2:2" ht="60" customHeight="1">
      <c r="B1052" s="130"/>
    </row>
    <row r="1053" spans="2:2" ht="60" customHeight="1">
      <c r="B1053" s="131"/>
    </row>
    <row r="1054" spans="2:2" ht="60" customHeight="1">
      <c r="B1054" s="127"/>
    </row>
    <row r="1055" spans="2:2" ht="60" customHeight="1">
      <c r="B1055" s="128"/>
    </row>
    <row r="1056" spans="2:2" ht="60" customHeight="1">
      <c r="B1056" s="129"/>
    </row>
    <row r="1057" spans="2:2" ht="60" customHeight="1">
      <c r="B1057" s="129"/>
    </row>
    <row r="1058" spans="2:2" ht="60" customHeight="1">
      <c r="B1058" s="130"/>
    </row>
    <row r="1059" spans="2:2" ht="60" customHeight="1">
      <c r="B1059" s="131"/>
    </row>
    <row r="1060" spans="2:2" ht="60" customHeight="1">
      <c r="B1060" s="127"/>
    </row>
    <row r="1061" spans="2:2" ht="60" customHeight="1">
      <c r="B1061" s="128"/>
    </row>
    <row r="1062" spans="2:2" ht="60" customHeight="1">
      <c r="B1062" s="129"/>
    </row>
    <row r="1063" spans="2:2" ht="60" customHeight="1">
      <c r="B1063" s="129"/>
    </row>
    <row r="1064" spans="2:2" ht="60" customHeight="1">
      <c r="B1064" s="130"/>
    </row>
    <row r="1065" spans="2:2" ht="60" customHeight="1">
      <c r="B1065" s="131"/>
    </row>
    <row r="1066" spans="2:2" ht="60" customHeight="1">
      <c r="B1066" s="127"/>
    </row>
    <row r="1067" spans="2:2" ht="60" customHeight="1">
      <c r="B1067" s="128"/>
    </row>
    <row r="1068" spans="2:2" ht="60" customHeight="1">
      <c r="B1068" s="129"/>
    </row>
    <row r="1069" spans="2:2" ht="60" customHeight="1">
      <c r="B1069" s="129"/>
    </row>
    <row r="1070" spans="2:2" ht="60" customHeight="1">
      <c r="B1070" s="130"/>
    </row>
    <row r="1071" spans="2:2" ht="60" customHeight="1">
      <c r="B1071" s="131"/>
    </row>
    <row r="1072" spans="2:2" ht="60" customHeight="1">
      <c r="B1072" s="127"/>
    </row>
    <row r="1073" spans="2:2" ht="60" customHeight="1">
      <c r="B1073" s="128"/>
    </row>
    <row r="1074" spans="2:2" ht="60" customHeight="1">
      <c r="B1074" s="129"/>
    </row>
    <row r="1075" spans="2:2" ht="60" customHeight="1">
      <c r="B1075" s="129"/>
    </row>
    <row r="1076" spans="2:2" ht="60" customHeight="1">
      <c r="B1076" s="130"/>
    </row>
    <row r="1077" spans="2:2" ht="60" customHeight="1">
      <c r="B1077" s="131"/>
    </row>
    <row r="1078" spans="2:2" ht="60" customHeight="1">
      <c r="B1078" s="127"/>
    </row>
    <row r="1079" spans="2:2" ht="60" customHeight="1">
      <c r="B1079" s="128"/>
    </row>
    <row r="1080" spans="2:2" ht="60" customHeight="1">
      <c r="B1080" s="129"/>
    </row>
    <row r="1081" spans="2:2" ht="60" customHeight="1">
      <c r="B1081" s="129"/>
    </row>
    <row r="1082" spans="2:2" ht="60" customHeight="1">
      <c r="B1082" s="130"/>
    </row>
    <row r="1083" spans="2:2" ht="60" customHeight="1">
      <c r="B1083" s="131"/>
    </row>
    <row r="1084" spans="2:2" ht="60" customHeight="1">
      <c r="B1084" s="127"/>
    </row>
    <row r="1085" spans="2:2" ht="60" customHeight="1">
      <c r="B1085" s="128"/>
    </row>
    <row r="1086" spans="2:2" ht="60" customHeight="1">
      <c r="B1086" s="129"/>
    </row>
    <row r="1087" spans="2:2" ht="60" customHeight="1">
      <c r="B1087" s="129"/>
    </row>
    <row r="1088" spans="2:2" ht="60" customHeight="1">
      <c r="B1088" s="130"/>
    </row>
    <row r="1089" spans="2:2" ht="60" customHeight="1">
      <c r="B1089" s="131"/>
    </row>
    <row r="1090" spans="2:2" ht="60" customHeight="1">
      <c r="B1090" s="127"/>
    </row>
    <row r="1091" spans="2:2" ht="60" customHeight="1">
      <c r="B1091" s="128"/>
    </row>
    <row r="1092" spans="2:2" ht="60" customHeight="1">
      <c r="B1092" s="129"/>
    </row>
    <row r="1093" spans="2:2" ht="60" customHeight="1">
      <c r="B1093" s="129"/>
    </row>
    <row r="1094" spans="2:2" ht="60" customHeight="1">
      <c r="B1094" s="130"/>
    </row>
    <row r="1095" spans="2:2" ht="60" customHeight="1">
      <c r="B1095" s="131"/>
    </row>
    <row r="1096" spans="2:2" ht="60" customHeight="1">
      <c r="B1096" s="127"/>
    </row>
    <row r="1097" spans="2:2" ht="60" customHeight="1">
      <c r="B1097" s="128"/>
    </row>
    <row r="1098" spans="2:2" ht="60" customHeight="1">
      <c r="B1098" s="129"/>
    </row>
    <row r="1099" spans="2:2" ht="60" customHeight="1">
      <c r="B1099" s="129"/>
    </row>
    <row r="1100" spans="2:2" ht="60" customHeight="1">
      <c r="B1100" s="130"/>
    </row>
    <row r="1101" spans="2:2" ht="60" customHeight="1">
      <c r="B1101" s="131"/>
    </row>
    <row r="1102" spans="2:2" ht="60" customHeight="1">
      <c r="B1102" s="127"/>
    </row>
    <row r="1103" spans="2:2" ht="60" customHeight="1">
      <c r="B1103" s="128"/>
    </row>
    <row r="1104" spans="2:2" ht="60" customHeight="1">
      <c r="B1104" s="129"/>
    </row>
    <row r="1105" spans="2:2" ht="60" customHeight="1">
      <c r="B1105" s="129"/>
    </row>
    <row r="1106" spans="2:2" ht="60" customHeight="1">
      <c r="B1106" s="130"/>
    </row>
    <row r="1107" spans="2:2" ht="60" customHeight="1">
      <c r="B1107" s="131"/>
    </row>
    <row r="1108" spans="2:2" ht="60" customHeight="1">
      <c r="B1108" s="127"/>
    </row>
    <row r="1109" spans="2:2" ht="60" customHeight="1">
      <c r="B1109" s="128"/>
    </row>
    <row r="1110" spans="2:2" ht="60" customHeight="1">
      <c r="B1110" s="129"/>
    </row>
    <row r="1111" spans="2:2" ht="60" customHeight="1">
      <c r="B1111" s="129"/>
    </row>
    <row r="1112" spans="2:2" ht="60" customHeight="1">
      <c r="B1112" s="130"/>
    </row>
    <row r="1113" spans="2:2" ht="60" customHeight="1">
      <c r="B1113" s="131"/>
    </row>
    <row r="1114" spans="2:2" ht="60" customHeight="1">
      <c r="B1114" s="127"/>
    </row>
    <row r="1115" spans="2:2" ht="60" customHeight="1">
      <c r="B1115" s="128"/>
    </row>
    <row r="1116" spans="2:2" ht="60" customHeight="1">
      <c r="B1116" s="129"/>
    </row>
    <row r="1117" spans="2:2" ht="60" customHeight="1">
      <c r="B1117" s="129"/>
    </row>
    <row r="1118" spans="2:2" ht="60" customHeight="1">
      <c r="B1118" s="130"/>
    </row>
    <row r="1119" spans="2:2" ht="60" customHeight="1">
      <c r="B1119" s="131"/>
    </row>
    <row r="1120" spans="2:2" ht="60" customHeight="1">
      <c r="B1120" s="127"/>
    </row>
    <row r="1121" spans="2:2" ht="60" customHeight="1">
      <c r="B1121" s="128"/>
    </row>
    <row r="1122" spans="2:2" ht="60" customHeight="1">
      <c r="B1122" s="129"/>
    </row>
    <row r="1123" spans="2:2" ht="60" customHeight="1">
      <c r="B1123" s="129"/>
    </row>
    <row r="1124" spans="2:2" ht="60" customHeight="1">
      <c r="B1124" s="130"/>
    </row>
    <row r="1125" spans="2:2" ht="60" customHeight="1">
      <c r="B1125" s="131"/>
    </row>
    <row r="1126" spans="2:2" ht="60" customHeight="1">
      <c r="B1126" s="127"/>
    </row>
    <row r="1127" spans="2:2" ht="60" customHeight="1">
      <c r="B1127" s="128"/>
    </row>
    <row r="1128" spans="2:2" ht="60" customHeight="1">
      <c r="B1128" s="129"/>
    </row>
    <row r="1129" spans="2:2" ht="60" customHeight="1">
      <c r="B1129" s="129"/>
    </row>
    <row r="1130" spans="2:2" ht="60" customHeight="1">
      <c r="B1130" s="130"/>
    </row>
    <row r="1131" spans="2:2" ht="60" customHeight="1">
      <c r="B1131" s="131"/>
    </row>
    <row r="1132" spans="2:2" ht="60" customHeight="1">
      <c r="B1132" s="127"/>
    </row>
    <row r="1133" spans="2:2" ht="60" customHeight="1">
      <c r="B1133" s="128"/>
    </row>
    <row r="1134" spans="2:2" ht="60" customHeight="1">
      <c r="B1134" s="129"/>
    </row>
    <row r="1135" spans="2:2" ht="60" customHeight="1">
      <c r="B1135" s="129"/>
    </row>
    <row r="1136" spans="2:2" ht="60" customHeight="1">
      <c r="B1136" s="130"/>
    </row>
    <row r="1137" spans="2:2" ht="60" customHeight="1">
      <c r="B1137" s="131"/>
    </row>
    <row r="1138" spans="2:2" ht="60" customHeight="1">
      <c r="B1138" s="127"/>
    </row>
    <row r="1139" spans="2:2" ht="60" customHeight="1">
      <c r="B1139" s="128"/>
    </row>
    <row r="1140" spans="2:2" ht="60" customHeight="1">
      <c r="B1140" s="129"/>
    </row>
    <row r="1141" spans="2:2" ht="60" customHeight="1">
      <c r="B1141" s="129"/>
    </row>
    <row r="1142" spans="2:2" ht="60" customHeight="1">
      <c r="B1142" s="130"/>
    </row>
    <row r="1143" spans="2:2" ht="60" customHeight="1">
      <c r="B1143" s="131"/>
    </row>
    <row r="1144" spans="2:2" ht="60" customHeight="1">
      <c r="B1144" s="127"/>
    </row>
    <row r="1145" spans="2:2" ht="60" customHeight="1">
      <c r="B1145" s="128"/>
    </row>
    <row r="1146" spans="2:2" ht="60" customHeight="1">
      <c r="B1146" s="129"/>
    </row>
    <row r="1147" spans="2:2" ht="60" customHeight="1">
      <c r="B1147" s="129"/>
    </row>
    <row r="1148" spans="2:2" ht="60" customHeight="1">
      <c r="B1148" s="130"/>
    </row>
    <row r="1149" spans="2:2" ht="60" customHeight="1">
      <c r="B1149" s="131"/>
    </row>
    <row r="1150" spans="2:2" ht="60" customHeight="1">
      <c r="B1150" s="127"/>
    </row>
    <row r="1151" spans="2:2" ht="60" customHeight="1">
      <c r="B1151" s="128"/>
    </row>
    <row r="1152" spans="2:2" ht="60" customHeight="1">
      <c r="B1152" s="129"/>
    </row>
    <row r="1153" spans="2:2" ht="60" customHeight="1">
      <c r="B1153" s="129"/>
    </row>
    <row r="1154" spans="2:2" ht="60" customHeight="1">
      <c r="B1154" s="130"/>
    </row>
    <row r="1155" spans="2:2" ht="60" customHeight="1">
      <c r="B1155" s="131"/>
    </row>
    <row r="1156" spans="2:2" ht="60" customHeight="1">
      <c r="B1156" s="127"/>
    </row>
    <row r="1157" spans="2:2" ht="60" customHeight="1">
      <c r="B1157" s="128"/>
    </row>
    <row r="1158" spans="2:2" ht="60" customHeight="1">
      <c r="B1158" s="129"/>
    </row>
    <row r="1159" spans="2:2" ht="60" customHeight="1">
      <c r="B1159" s="129"/>
    </row>
    <row r="1160" spans="2:2" ht="60" customHeight="1">
      <c r="B1160" s="130"/>
    </row>
    <row r="1161" spans="2:2" ht="60" customHeight="1">
      <c r="B1161" s="131"/>
    </row>
    <row r="1162" spans="2:2" ht="60" customHeight="1">
      <c r="B1162" s="127"/>
    </row>
    <row r="1163" spans="2:2" ht="60" customHeight="1">
      <c r="B1163" s="128"/>
    </row>
    <row r="1164" spans="2:2" ht="60" customHeight="1">
      <c r="B1164" s="129"/>
    </row>
    <row r="1165" spans="2:2" ht="60" customHeight="1">
      <c r="B1165" s="129"/>
    </row>
    <row r="1166" spans="2:2" ht="60" customHeight="1">
      <c r="B1166" s="130"/>
    </row>
    <row r="1167" spans="2:2" ht="60" customHeight="1">
      <c r="B1167" s="131"/>
    </row>
    <row r="1168" spans="2:2" ht="60" customHeight="1">
      <c r="B1168" s="127"/>
    </row>
    <row r="1169" spans="2:2" ht="60" customHeight="1">
      <c r="B1169" s="128"/>
    </row>
    <row r="1170" spans="2:2" ht="60" customHeight="1">
      <c r="B1170" s="129"/>
    </row>
    <row r="1171" spans="2:2" ht="60" customHeight="1">
      <c r="B1171" s="129"/>
    </row>
    <row r="1172" spans="2:2" ht="60" customHeight="1">
      <c r="B1172" s="130"/>
    </row>
    <row r="1173" spans="2:2" ht="60" customHeight="1">
      <c r="B1173" s="131"/>
    </row>
    <row r="1174" spans="2:2" ht="60" customHeight="1">
      <c r="B1174" s="127"/>
    </row>
    <row r="1175" spans="2:2" ht="60" customHeight="1">
      <c r="B1175" s="128"/>
    </row>
    <row r="1176" spans="2:2" ht="60" customHeight="1">
      <c r="B1176" s="129"/>
    </row>
    <row r="1177" spans="2:2" ht="60" customHeight="1">
      <c r="B1177" s="129"/>
    </row>
    <row r="1178" spans="2:2" ht="60" customHeight="1">
      <c r="B1178" s="130"/>
    </row>
    <row r="1179" spans="2:2" ht="60" customHeight="1">
      <c r="B1179" s="131"/>
    </row>
    <row r="1180" spans="2:2" ht="60" customHeight="1">
      <c r="B1180" s="127"/>
    </row>
    <row r="1181" spans="2:2" ht="60" customHeight="1">
      <c r="B1181" s="128"/>
    </row>
    <row r="1182" spans="2:2" ht="60" customHeight="1">
      <c r="B1182" s="129"/>
    </row>
    <row r="1183" spans="2:2" ht="60" customHeight="1">
      <c r="B1183" s="129"/>
    </row>
    <row r="1184" spans="2:2" ht="60" customHeight="1">
      <c r="B1184" s="130"/>
    </row>
    <row r="1185" spans="2:2" ht="60" customHeight="1">
      <c r="B1185" s="131"/>
    </row>
    <row r="1186" spans="2:2" ht="60" customHeight="1">
      <c r="B1186" s="127"/>
    </row>
    <row r="1187" spans="2:2" ht="60" customHeight="1">
      <c r="B1187" s="128"/>
    </row>
    <row r="1188" spans="2:2" ht="60" customHeight="1">
      <c r="B1188" s="129"/>
    </row>
    <row r="1189" spans="2:2" ht="60" customHeight="1">
      <c r="B1189" s="129"/>
    </row>
    <row r="1190" spans="2:2" ht="60" customHeight="1">
      <c r="B1190" s="130"/>
    </row>
    <row r="1191" spans="2:2" ht="60" customHeight="1">
      <c r="B1191" s="131"/>
    </row>
    <row r="1192" spans="2:2" ht="60" customHeight="1">
      <c r="B1192" s="127"/>
    </row>
    <row r="1193" spans="2:2" ht="60" customHeight="1">
      <c r="B1193" s="128"/>
    </row>
    <row r="1194" spans="2:2" ht="60" customHeight="1">
      <c r="B1194" s="129"/>
    </row>
    <row r="1195" spans="2:2" ht="60" customHeight="1">
      <c r="B1195" s="129"/>
    </row>
    <row r="1196" spans="2:2" ht="60" customHeight="1">
      <c r="B1196" s="130"/>
    </row>
    <row r="1197" spans="2:2" ht="60" customHeight="1">
      <c r="B1197" s="131"/>
    </row>
    <row r="1198" spans="2:2" ht="60" customHeight="1">
      <c r="B1198" s="127"/>
    </row>
    <row r="1199" spans="2:2" ht="60" customHeight="1">
      <c r="B1199" s="128"/>
    </row>
    <row r="1200" spans="2:2" ht="60" customHeight="1">
      <c r="B1200" s="129"/>
    </row>
    <row r="1201" spans="2:2" ht="60" customHeight="1">
      <c r="B1201" s="129"/>
    </row>
    <row r="1202" spans="2:2" ht="60" customHeight="1">
      <c r="B1202" s="130"/>
    </row>
    <row r="1203" spans="2:2" ht="60" customHeight="1">
      <c r="B1203" s="131"/>
    </row>
    <row r="1204" spans="2:2" ht="60" customHeight="1">
      <c r="B1204" s="127"/>
    </row>
    <row r="1205" spans="2:2" ht="60" customHeight="1">
      <c r="B1205" s="128"/>
    </row>
    <row r="1206" spans="2:2" ht="60" customHeight="1">
      <c r="B1206" s="129"/>
    </row>
    <row r="1207" spans="2:2" ht="60" customHeight="1">
      <c r="B1207" s="129"/>
    </row>
    <row r="1208" spans="2:2" ht="60" customHeight="1">
      <c r="B1208" s="130"/>
    </row>
    <row r="1209" spans="2:2" ht="60" customHeight="1">
      <c r="B1209" s="131"/>
    </row>
    <row r="1210" spans="2:2" ht="60" customHeight="1">
      <c r="B1210" s="127"/>
    </row>
    <row r="1211" spans="2:2" ht="60" customHeight="1">
      <c r="B1211" s="128"/>
    </row>
    <row r="1212" spans="2:2" ht="60" customHeight="1">
      <c r="B1212" s="129"/>
    </row>
    <row r="1213" spans="2:2" ht="60" customHeight="1">
      <c r="B1213" s="129"/>
    </row>
    <row r="1214" spans="2:2" ht="60" customHeight="1">
      <c r="B1214" s="130"/>
    </row>
    <row r="1215" spans="2:2" ht="60" customHeight="1">
      <c r="B1215" s="131"/>
    </row>
    <row r="1216" spans="2:2" ht="60" customHeight="1">
      <c r="B1216" s="127"/>
    </row>
    <row r="1217" spans="2:2" ht="60" customHeight="1">
      <c r="B1217" s="128"/>
    </row>
    <row r="1218" spans="2:2" ht="60" customHeight="1">
      <c r="B1218" s="129"/>
    </row>
    <row r="1219" spans="2:2" ht="60" customHeight="1">
      <c r="B1219" s="129"/>
    </row>
    <row r="1220" spans="2:2" ht="60" customHeight="1">
      <c r="B1220" s="130"/>
    </row>
    <row r="1221" spans="2:2" ht="60" customHeight="1">
      <c r="B1221" s="131"/>
    </row>
    <row r="1222" spans="2:2" ht="60" customHeight="1">
      <c r="B1222" s="127"/>
    </row>
    <row r="1223" spans="2:2" ht="60" customHeight="1">
      <c r="B1223" s="128"/>
    </row>
    <row r="1224" spans="2:2" ht="60" customHeight="1">
      <c r="B1224" s="129"/>
    </row>
    <row r="1225" spans="2:2" ht="60" customHeight="1">
      <c r="B1225" s="129"/>
    </row>
    <row r="1226" spans="2:2" ht="60" customHeight="1">
      <c r="B1226" s="130"/>
    </row>
    <row r="1227" spans="2:2" ht="60" customHeight="1">
      <c r="B1227" s="131"/>
    </row>
    <row r="1228" spans="2:2" ht="60" customHeight="1">
      <c r="B1228" s="127"/>
    </row>
    <row r="1229" spans="2:2" ht="60" customHeight="1">
      <c r="B1229" s="128"/>
    </row>
    <row r="1230" spans="2:2" ht="60" customHeight="1">
      <c r="B1230" s="129"/>
    </row>
    <row r="1231" spans="2:2" ht="60" customHeight="1">
      <c r="B1231" s="129"/>
    </row>
    <row r="1232" spans="2:2" ht="60" customHeight="1">
      <c r="B1232" s="130"/>
    </row>
    <row r="1233" spans="2:2" ht="60" customHeight="1">
      <c r="B1233" s="131"/>
    </row>
    <row r="1234" spans="2:2" ht="60" customHeight="1">
      <c r="B1234" s="127"/>
    </row>
    <row r="1235" spans="2:2" ht="60" customHeight="1">
      <c r="B1235" s="128"/>
    </row>
    <row r="1236" spans="2:2" ht="60" customHeight="1">
      <c r="B1236" s="129"/>
    </row>
    <row r="1237" spans="2:2" ht="60" customHeight="1">
      <c r="B1237" s="129"/>
    </row>
    <row r="1238" spans="2:2" ht="60" customHeight="1">
      <c r="B1238" s="130"/>
    </row>
    <row r="1239" spans="2:2" ht="60" customHeight="1">
      <c r="B1239" s="131"/>
    </row>
    <row r="1240" spans="2:2" ht="60" customHeight="1">
      <c r="B1240" s="127"/>
    </row>
    <row r="1241" spans="2:2" ht="60" customHeight="1">
      <c r="B1241" s="128"/>
    </row>
    <row r="1242" spans="2:2" ht="60" customHeight="1">
      <c r="B1242" s="129"/>
    </row>
    <row r="1243" spans="2:2" ht="60" customHeight="1">
      <c r="B1243" s="129"/>
    </row>
    <row r="1244" spans="2:2" ht="60" customHeight="1">
      <c r="B1244" s="130"/>
    </row>
    <row r="1245" spans="2:2" ht="60" customHeight="1">
      <c r="B1245" s="131"/>
    </row>
    <row r="1246" spans="2:2" ht="60" customHeight="1">
      <c r="B1246" s="127"/>
    </row>
    <row r="1247" spans="2:2" ht="60" customHeight="1">
      <c r="B1247" s="128"/>
    </row>
    <row r="1248" spans="2:2" ht="60" customHeight="1">
      <c r="B1248" s="129"/>
    </row>
    <row r="1249" spans="2:2" ht="60" customHeight="1">
      <c r="B1249" s="129"/>
    </row>
    <row r="1250" spans="2:2" ht="60" customHeight="1">
      <c r="B1250" s="130"/>
    </row>
    <row r="1251" spans="2:2" ht="60" customHeight="1">
      <c r="B1251" s="131"/>
    </row>
    <row r="1252" spans="2:2" ht="60" customHeight="1">
      <c r="B1252" s="127"/>
    </row>
    <row r="1253" spans="2:2" ht="60" customHeight="1">
      <c r="B1253" s="128"/>
    </row>
    <row r="1254" spans="2:2" ht="60" customHeight="1">
      <c r="B1254" s="129"/>
    </row>
    <row r="1255" spans="2:2" ht="60" customHeight="1">
      <c r="B1255" s="129"/>
    </row>
    <row r="1256" spans="2:2" ht="60" customHeight="1">
      <c r="B1256" s="130"/>
    </row>
    <row r="1257" spans="2:2" ht="60" customHeight="1">
      <c r="B1257" s="131"/>
    </row>
    <row r="1258" spans="2:2" ht="60" customHeight="1">
      <c r="B1258" s="127"/>
    </row>
    <row r="1259" spans="2:2" ht="60" customHeight="1">
      <c r="B1259" s="128"/>
    </row>
    <row r="1260" spans="2:2" ht="60" customHeight="1">
      <c r="B1260" s="129"/>
    </row>
    <row r="1261" spans="2:2" ht="60" customHeight="1">
      <c r="B1261" s="129"/>
    </row>
    <row r="1262" spans="2:2" ht="60" customHeight="1">
      <c r="B1262" s="130"/>
    </row>
    <row r="1263" spans="2:2" ht="60" customHeight="1">
      <c r="B1263" s="131"/>
    </row>
    <row r="1264" spans="2:2" ht="60" customHeight="1">
      <c r="B1264" s="127"/>
    </row>
    <row r="1265" spans="2:2" ht="60" customHeight="1">
      <c r="B1265" s="128"/>
    </row>
    <row r="1266" spans="2:2" ht="60" customHeight="1">
      <c r="B1266" s="129"/>
    </row>
    <row r="1267" spans="2:2" ht="60" customHeight="1">
      <c r="B1267" s="129"/>
    </row>
    <row r="1268" spans="2:2" ht="60" customHeight="1">
      <c r="B1268" s="130"/>
    </row>
    <row r="1269" spans="2:2" ht="60" customHeight="1">
      <c r="B1269" s="131"/>
    </row>
    <row r="1270" spans="2:2" ht="60" customHeight="1">
      <c r="B1270" s="127"/>
    </row>
    <row r="1271" spans="2:2" ht="60" customHeight="1">
      <c r="B1271" s="128"/>
    </row>
    <row r="1272" spans="2:2" ht="60" customHeight="1">
      <c r="B1272" s="129"/>
    </row>
    <row r="1273" spans="2:2" ht="60" customHeight="1">
      <c r="B1273" s="129"/>
    </row>
    <row r="1274" spans="2:2" ht="60" customHeight="1">
      <c r="B1274" s="130"/>
    </row>
    <row r="1275" spans="2:2" ht="60" customHeight="1">
      <c r="B1275" s="131"/>
    </row>
    <row r="1276" spans="2:2" ht="60" customHeight="1">
      <c r="B1276" s="127"/>
    </row>
    <row r="1277" spans="2:2" ht="60" customHeight="1">
      <c r="B1277" s="128"/>
    </row>
    <row r="1278" spans="2:2" ht="60" customHeight="1">
      <c r="B1278" s="129"/>
    </row>
    <row r="1279" spans="2:2" ht="60" customHeight="1">
      <c r="B1279" s="129"/>
    </row>
    <row r="1280" spans="2:2" ht="60" customHeight="1">
      <c r="B1280" s="130"/>
    </row>
    <row r="1281" spans="2:2" ht="60" customHeight="1">
      <c r="B1281" s="131"/>
    </row>
    <row r="1282" spans="2:2" ht="60" customHeight="1">
      <c r="B1282" s="127"/>
    </row>
    <row r="1283" spans="2:2" ht="60" customHeight="1">
      <c r="B1283" s="128"/>
    </row>
    <row r="1284" spans="2:2" ht="60" customHeight="1">
      <c r="B1284" s="129"/>
    </row>
    <row r="1285" spans="2:2" ht="60" customHeight="1">
      <c r="B1285" s="129"/>
    </row>
    <row r="1286" spans="2:2" ht="60" customHeight="1">
      <c r="B1286" s="130"/>
    </row>
    <row r="1287" spans="2:2" ht="60" customHeight="1">
      <c r="B1287" s="131"/>
    </row>
    <row r="1288" spans="2:2" ht="60" customHeight="1">
      <c r="B1288" s="127"/>
    </row>
    <row r="1289" spans="2:2" ht="60" customHeight="1">
      <c r="B1289" s="128"/>
    </row>
    <row r="1290" spans="2:2" ht="60" customHeight="1">
      <c r="B1290" s="129"/>
    </row>
    <row r="1291" spans="2:2" ht="60" customHeight="1">
      <c r="B1291" s="129"/>
    </row>
    <row r="1292" spans="2:2" ht="60" customHeight="1">
      <c r="B1292" s="130"/>
    </row>
    <row r="1293" spans="2:2" ht="60" customHeight="1">
      <c r="B1293" s="131"/>
    </row>
    <row r="1294" spans="2:2" ht="60" customHeight="1">
      <c r="B1294" s="127"/>
    </row>
    <row r="1295" spans="2:2" ht="60" customHeight="1">
      <c r="B1295" s="128"/>
    </row>
    <row r="1296" spans="2:2" ht="60" customHeight="1">
      <c r="B1296" s="129"/>
    </row>
    <row r="1297" spans="2:2" ht="60" customHeight="1">
      <c r="B1297" s="129"/>
    </row>
    <row r="1298" spans="2:2" ht="60" customHeight="1">
      <c r="B1298" s="130"/>
    </row>
    <row r="1299" spans="2:2" ht="60" customHeight="1">
      <c r="B1299" s="131"/>
    </row>
    <row r="1300" spans="2:2" ht="60" customHeight="1">
      <c r="B1300" s="127"/>
    </row>
    <row r="1301" spans="2:2" ht="60" customHeight="1">
      <c r="B1301" s="128"/>
    </row>
    <row r="1302" spans="2:2" ht="60" customHeight="1">
      <c r="B1302" s="129"/>
    </row>
    <row r="1303" spans="2:2" ht="60" customHeight="1">
      <c r="B1303" s="129"/>
    </row>
    <row r="1304" spans="2:2" ht="60" customHeight="1">
      <c r="B1304" s="130"/>
    </row>
    <row r="1305" spans="2:2" ht="60" customHeight="1">
      <c r="B1305" s="131"/>
    </row>
    <row r="1306" spans="2:2" ht="60" customHeight="1">
      <c r="B1306" s="127"/>
    </row>
    <row r="1307" spans="2:2" ht="60" customHeight="1">
      <c r="B1307" s="128"/>
    </row>
    <row r="1308" spans="2:2" ht="60" customHeight="1">
      <c r="B1308" s="129"/>
    </row>
    <row r="1309" spans="2:2" ht="60" customHeight="1">
      <c r="B1309" s="129"/>
    </row>
    <row r="1310" spans="2:2" ht="60" customHeight="1">
      <c r="B1310" s="130"/>
    </row>
    <row r="1311" spans="2:2" ht="60" customHeight="1">
      <c r="B1311" s="131"/>
    </row>
    <row r="1312" spans="2:2" ht="60" customHeight="1">
      <c r="B1312" s="127"/>
    </row>
    <row r="1313" spans="2:2" ht="60" customHeight="1">
      <c r="B1313" s="128"/>
    </row>
    <row r="1314" spans="2:2" ht="60" customHeight="1">
      <c r="B1314" s="129"/>
    </row>
    <row r="1315" spans="2:2" ht="60" customHeight="1">
      <c r="B1315" s="129"/>
    </row>
    <row r="1316" spans="2:2" ht="60" customHeight="1">
      <c r="B1316" s="130"/>
    </row>
    <row r="1317" spans="2:2" ht="60" customHeight="1">
      <c r="B1317" s="131"/>
    </row>
    <row r="1318" spans="2:2" ht="60" customHeight="1">
      <c r="B1318" s="127"/>
    </row>
    <row r="1319" spans="2:2" ht="60" customHeight="1">
      <c r="B1319" s="128"/>
    </row>
    <row r="1320" spans="2:2" ht="60" customHeight="1">
      <c r="B1320" s="129"/>
    </row>
    <row r="1321" spans="2:2" ht="60" customHeight="1">
      <c r="B1321" s="129"/>
    </row>
    <row r="1322" spans="2:2" ht="60" customHeight="1">
      <c r="B1322" s="130"/>
    </row>
    <row r="1323" spans="2:2" ht="60" customHeight="1">
      <c r="B1323" s="131"/>
    </row>
    <row r="1324" spans="2:2" ht="60" customHeight="1">
      <c r="B1324" s="127"/>
    </row>
    <row r="1325" spans="2:2" ht="60" customHeight="1">
      <c r="B1325" s="128"/>
    </row>
    <row r="1326" spans="2:2" ht="60" customHeight="1">
      <c r="B1326" s="129"/>
    </row>
    <row r="1327" spans="2:2" ht="60" customHeight="1">
      <c r="B1327" s="129"/>
    </row>
    <row r="1328" spans="2:2" ht="60" customHeight="1">
      <c r="B1328" s="130"/>
    </row>
    <row r="1329" spans="2:2" ht="60" customHeight="1">
      <c r="B1329" s="131"/>
    </row>
    <row r="1330" spans="2:2" ht="60" customHeight="1">
      <c r="B1330" s="127"/>
    </row>
    <row r="1331" spans="2:2" ht="60" customHeight="1">
      <c r="B1331" s="128"/>
    </row>
    <row r="1332" spans="2:2" ht="60" customHeight="1">
      <c r="B1332" s="129"/>
    </row>
    <row r="1333" spans="2:2" ht="60" customHeight="1">
      <c r="B1333" s="129"/>
    </row>
    <row r="1334" spans="2:2" ht="60" customHeight="1">
      <c r="B1334" s="130"/>
    </row>
    <row r="1335" spans="2:2" ht="60" customHeight="1">
      <c r="B1335" s="131"/>
    </row>
    <row r="1336" spans="2:2" ht="60" customHeight="1">
      <c r="B1336" s="127"/>
    </row>
    <row r="1337" spans="2:2" ht="60" customHeight="1">
      <c r="B1337" s="128"/>
    </row>
    <row r="1338" spans="2:2" ht="60" customHeight="1">
      <c r="B1338" s="129"/>
    </row>
    <row r="1339" spans="2:2" ht="60" customHeight="1">
      <c r="B1339" s="129"/>
    </row>
    <row r="1340" spans="2:2" ht="60" customHeight="1">
      <c r="B1340" s="130"/>
    </row>
    <row r="1341" spans="2:2" ht="60" customHeight="1">
      <c r="B1341" s="131"/>
    </row>
    <row r="1342" spans="2:2" ht="60" customHeight="1">
      <c r="B1342" s="127"/>
    </row>
    <row r="1343" spans="2:2" ht="60" customHeight="1">
      <c r="B1343" s="128"/>
    </row>
    <row r="1344" spans="2:2" ht="60" customHeight="1">
      <c r="B1344" s="129"/>
    </row>
    <row r="1345" spans="2:2" ht="60" customHeight="1">
      <c r="B1345" s="129"/>
    </row>
    <row r="1346" spans="2:2" ht="60" customHeight="1">
      <c r="B1346" s="130"/>
    </row>
    <row r="1347" spans="2:2" ht="60" customHeight="1">
      <c r="B1347" s="131"/>
    </row>
    <row r="1348" spans="2:2" ht="60" customHeight="1">
      <c r="B1348" s="127"/>
    </row>
    <row r="1349" spans="2:2" ht="60" customHeight="1">
      <c r="B1349" s="128"/>
    </row>
    <row r="1350" spans="2:2" ht="60" customHeight="1">
      <c r="B1350" s="129"/>
    </row>
    <row r="1351" spans="2:2" ht="60" customHeight="1">
      <c r="B1351" s="129"/>
    </row>
    <row r="1352" spans="2:2" ht="60" customHeight="1">
      <c r="B1352" s="130"/>
    </row>
    <row r="1353" spans="2:2" ht="60" customHeight="1">
      <c r="B1353" s="131"/>
    </row>
    <row r="1354" spans="2:2" ht="60" customHeight="1">
      <c r="B1354" s="127"/>
    </row>
    <row r="1355" spans="2:2" ht="60" customHeight="1">
      <c r="B1355" s="128"/>
    </row>
    <row r="1356" spans="2:2" ht="60" customHeight="1">
      <c r="B1356" s="129"/>
    </row>
    <row r="1357" spans="2:2" ht="60" customHeight="1">
      <c r="B1357" s="129"/>
    </row>
    <row r="1358" spans="2:2" ht="60" customHeight="1">
      <c r="B1358" s="130"/>
    </row>
    <row r="1359" spans="2:2" ht="60" customHeight="1">
      <c r="B1359" s="131"/>
    </row>
    <row r="1360" spans="2:2" ht="60" customHeight="1">
      <c r="B1360" s="127"/>
    </row>
    <row r="1361" spans="2:2" ht="60" customHeight="1">
      <c r="B1361" s="128"/>
    </row>
    <row r="1362" spans="2:2" ht="60" customHeight="1">
      <c r="B1362" s="129"/>
    </row>
    <row r="1363" spans="2:2" ht="60" customHeight="1">
      <c r="B1363" s="129"/>
    </row>
    <row r="1364" spans="2:2" ht="60" customHeight="1">
      <c r="B1364" s="130"/>
    </row>
    <row r="1365" spans="2:2" ht="60" customHeight="1">
      <c r="B1365" s="131"/>
    </row>
    <row r="1366" spans="2:2" ht="60" customHeight="1">
      <c r="B1366" s="127"/>
    </row>
    <row r="1367" spans="2:2" ht="60" customHeight="1">
      <c r="B1367" s="128"/>
    </row>
    <row r="1368" spans="2:2" ht="60" customHeight="1">
      <c r="B1368" s="129"/>
    </row>
    <row r="1369" spans="2:2" ht="60" customHeight="1">
      <c r="B1369" s="129"/>
    </row>
    <row r="1370" spans="2:2" ht="60" customHeight="1">
      <c r="B1370" s="130"/>
    </row>
    <row r="1371" spans="2:2" ht="60" customHeight="1">
      <c r="B1371" s="131"/>
    </row>
    <row r="1372" spans="2:2" ht="60" customHeight="1">
      <c r="B1372" s="127"/>
    </row>
    <row r="1373" spans="2:2" ht="60" customHeight="1">
      <c r="B1373" s="128"/>
    </row>
    <row r="1374" spans="2:2" ht="60" customHeight="1">
      <c r="B1374" s="129"/>
    </row>
    <row r="1375" spans="2:2" ht="60" customHeight="1">
      <c r="B1375" s="129"/>
    </row>
    <row r="1376" spans="2:2" ht="60" customHeight="1">
      <c r="B1376" s="130"/>
    </row>
    <row r="1377" spans="2:2" ht="60" customHeight="1">
      <c r="B1377" s="131"/>
    </row>
    <row r="1378" spans="2:2" ht="60" customHeight="1">
      <c r="B1378" s="127"/>
    </row>
    <row r="1379" spans="2:2" ht="60" customHeight="1">
      <c r="B1379" s="128"/>
    </row>
    <row r="1380" spans="2:2" ht="60" customHeight="1">
      <c r="B1380" s="129"/>
    </row>
    <row r="1381" spans="2:2" ht="60" customHeight="1">
      <c r="B1381" s="129"/>
    </row>
    <row r="1382" spans="2:2" ht="60" customHeight="1">
      <c r="B1382" s="130"/>
    </row>
    <row r="1383" spans="2:2" ht="60" customHeight="1">
      <c r="B1383" s="131"/>
    </row>
    <row r="1384" spans="2:2" ht="60" customHeight="1">
      <c r="B1384" s="127"/>
    </row>
    <row r="1385" spans="2:2" ht="60" customHeight="1">
      <c r="B1385" s="128"/>
    </row>
    <row r="1386" spans="2:2" ht="60" customHeight="1">
      <c r="B1386" s="129"/>
    </row>
    <row r="1387" spans="2:2" ht="60" customHeight="1">
      <c r="B1387" s="129"/>
    </row>
    <row r="1388" spans="2:2" ht="60" customHeight="1">
      <c r="B1388" s="130"/>
    </row>
    <row r="1389" spans="2:2" ht="60" customHeight="1">
      <c r="B1389" s="131"/>
    </row>
    <row r="1390" spans="2:2" ht="60" customHeight="1">
      <c r="B1390" s="127"/>
    </row>
    <row r="1391" spans="2:2" ht="60" customHeight="1">
      <c r="B1391" s="128"/>
    </row>
    <row r="1392" spans="2:2" ht="60" customHeight="1">
      <c r="B1392" s="129"/>
    </row>
    <row r="1393" spans="2:2" ht="60" customHeight="1">
      <c r="B1393" s="129"/>
    </row>
    <row r="1394" spans="2:2" ht="60" customHeight="1">
      <c r="B1394" s="130"/>
    </row>
    <row r="1395" spans="2:2" ht="60" customHeight="1">
      <c r="B1395" s="131"/>
    </row>
    <row r="1396" spans="2:2" ht="60" customHeight="1">
      <c r="B1396" s="127"/>
    </row>
    <row r="1397" spans="2:2" ht="60" customHeight="1">
      <c r="B1397" s="128"/>
    </row>
    <row r="1398" spans="2:2" ht="60" customHeight="1">
      <c r="B1398" s="129"/>
    </row>
    <row r="1399" spans="2:2" ht="60" customHeight="1">
      <c r="B1399" s="129"/>
    </row>
    <row r="1400" spans="2:2" ht="60" customHeight="1">
      <c r="B1400" s="130"/>
    </row>
    <row r="1401" spans="2:2" ht="60" customHeight="1">
      <c r="B1401" s="131"/>
    </row>
    <row r="1402" spans="2:2" ht="60" customHeight="1">
      <c r="B1402" s="127"/>
    </row>
    <row r="1403" spans="2:2" ht="60" customHeight="1">
      <c r="B1403" s="128"/>
    </row>
    <row r="1404" spans="2:2" ht="60" customHeight="1">
      <c r="B1404" s="129"/>
    </row>
    <row r="1405" spans="2:2" ht="60" customHeight="1">
      <c r="B1405" s="129"/>
    </row>
    <row r="1406" spans="2:2" ht="60" customHeight="1">
      <c r="B1406" s="130"/>
    </row>
    <row r="1407" spans="2:2" ht="60" customHeight="1">
      <c r="B1407" s="131"/>
    </row>
    <row r="1408" spans="2:2" ht="60" customHeight="1">
      <c r="B1408" s="127"/>
    </row>
    <row r="1409" spans="2:2" ht="60" customHeight="1">
      <c r="B1409" s="128"/>
    </row>
    <row r="1410" spans="2:2" ht="60" customHeight="1">
      <c r="B1410" s="129"/>
    </row>
    <row r="1411" spans="2:2" ht="60" customHeight="1">
      <c r="B1411" s="129"/>
    </row>
    <row r="1412" spans="2:2" ht="60" customHeight="1">
      <c r="B1412" s="130"/>
    </row>
    <row r="1413" spans="2:2" ht="60" customHeight="1">
      <c r="B1413" s="131"/>
    </row>
    <row r="1414" spans="2:2" ht="60" customHeight="1">
      <c r="B1414" s="127"/>
    </row>
    <row r="1415" spans="2:2" ht="60" customHeight="1">
      <c r="B1415" s="128"/>
    </row>
    <row r="1416" spans="2:2" ht="60" customHeight="1">
      <c r="B1416" s="129"/>
    </row>
    <row r="1417" spans="2:2" ht="60" customHeight="1">
      <c r="B1417" s="129"/>
    </row>
    <row r="1418" spans="2:2" ht="60" customHeight="1">
      <c r="B1418" s="130"/>
    </row>
    <row r="1419" spans="2:2" ht="60" customHeight="1">
      <c r="B1419" s="131"/>
    </row>
    <row r="1420" spans="2:2" ht="60" customHeight="1">
      <c r="B1420" s="127"/>
    </row>
    <row r="1421" spans="2:2" ht="60" customHeight="1">
      <c r="B1421" s="128"/>
    </row>
    <row r="1422" spans="2:2" ht="60" customHeight="1">
      <c r="B1422" s="129"/>
    </row>
    <row r="1423" spans="2:2" ht="60" customHeight="1">
      <c r="B1423" s="129"/>
    </row>
    <row r="1424" spans="2:2" ht="60" customHeight="1">
      <c r="B1424" s="130"/>
    </row>
    <row r="1425" spans="2:2" ht="60" customHeight="1">
      <c r="B1425" s="131"/>
    </row>
    <row r="1426" spans="2:2" ht="60" customHeight="1">
      <c r="B1426" s="127"/>
    </row>
    <row r="1427" spans="2:2" ht="60" customHeight="1">
      <c r="B1427" s="128"/>
    </row>
    <row r="1428" spans="2:2" ht="60" customHeight="1">
      <c r="B1428" s="129"/>
    </row>
    <row r="1429" spans="2:2" ht="60" customHeight="1">
      <c r="B1429" s="129"/>
    </row>
    <row r="1430" spans="2:2" ht="60" customHeight="1">
      <c r="B1430" s="130"/>
    </row>
    <row r="1431" spans="2:2" ht="60" customHeight="1">
      <c r="B1431" s="131"/>
    </row>
    <row r="1432" spans="2:2" ht="60" customHeight="1">
      <c r="B1432" s="127"/>
    </row>
    <row r="1433" spans="2:2" ht="60" customHeight="1">
      <c r="B1433" s="128"/>
    </row>
    <row r="1434" spans="2:2" ht="60" customHeight="1">
      <c r="B1434" s="129"/>
    </row>
    <row r="1435" spans="2:2" ht="60" customHeight="1">
      <c r="B1435" s="129"/>
    </row>
    <row r="1436" spans="2:2" ht="60" customHeight="1">
      <c r="B1436" s="130"/>
    </row>
    <row r="1437" spans="2:2" ht="60" customHeight="1">
      <c r="B1437" s="131"/>
    </row>
    <row r="1438" spans="2:2" ht="60" customHeight="1">
      <c r="B1438" s="127"/>
    </row>
    <row r="1439" spans="2:2" ht="60" customHeight="1">
      <c r="B1439" s="128"/>
    </row>
    <row r="1440" spans="2:2" ht="60" customHeight="1">
      <c r="B1440" s="129"/>
    </row>
    <row r="1441" spans="2:2" ht="60" customHeight="1">
      <c r="B1441" s="129"/>
    </row>
    <row r="1442" spans="2:2" ht="60" customHeight="1">
      <c r="B1442" s="130"/>
    </row>
    <row r="1443" spans="2:2" ht="60" customHeight="1">
      <c r="B1443" s="131"/>
    </row>
    <row r="1444" spans="2:2" ht="60" customHeight="1">
      <c r="B1444" s="127"/>
    </row>
    <row r="1445" spans="2:2" ht="60" customHeight="1">
      <c r="B1445" s="128"/>
    </row>
    <row r="1446" spans="2:2" ht="60" customHeight="1">
      <c r="B1446" s="129"/>
    </row>
    <row r="1447" spans="2:2" ht="60" customHeight="1">
      <c r="B1447" s="129"/>
    </row>
    <row r="1448" spans="2:2" ht="60" customHeight="1">
      <c r="B1448" s="130"/>
    </row>
    <row r="1449" spans="2:2" ht="60" customHeight="1">
      <c r="B1449" s="131"/>
    </row>
    <row r="1450" spans="2:2" ht="60" customHeight="1">
      <c r="B1450" s="127"/>
    </row>
    <row r="1451" spans="2:2" ht="60" customHeight="1">
      <c r="B1451" s="128"/>
    </row>
    <row r="1452" spans="2:2" ht="60" customHeight="1">
      <c r="B1452" s="129"/>
    </row>
    <row r="1453" spans="2:2" ht="60" customHeight="1">
      <c r="B1453" s="129"/>
    </row>
    <row r="1454" spans="2:2" ht="60" customHeight="1">
      <c r="B1454" s="130"/>
    </row>
    <row r="1455" spans="2:2" ht="60" customHeight="1">
      <c r="B1455" s="131"/>
    </row>
    <row r="1456" spans="2:2" ht="60" customHeight="1">
      <c r="B1456" s="127"/>
    </row>
    <row r="1457" spans="2:2" ht="60" customHeight="1">
      <c r="B1457" s="128"/>
    </row>
    <row r="1458" spans="2:2" ht="60" customHeight="1">
      <c r="B1458" s="129"/>
    </row>
    <row r="1459" spans="2:2" ht="60" customHeight="1">
      <c r="B1459" s="129"/>
    </row>
    <row r="1460" spans="2:2" ht="60" customHeight="1">
      <c r="B1460" s="130"/>
    </row>
    <row r="1461" spans="2:2" ht="60" customHeight="1">
      <c r="B1461" s="131"/>
    </row>
    <row r="1462" spans="2:2" ht="60" customHeight="1">
      <c r="B1462" s="127"/>
    </row>
    <row r="1463" spans="2:2" ht="60" customHeight="1">
      <c r="B1463" s="128"/>
    </row>
    <row r="1464" spans="2:2" ht="60" customHeight="1">
      <c r="B1464" s="129"/>
    </row>
    <row r="1465" spans="2:2" ht="60" customHeight="1">
      <c r="B1465" s="129"/>
    </row>
    <row r="1466" spans="2:2" ht="60" customHeight="1">
      <c r="B1466" s="130"/>
    </row>
    <row r="1467" spans="2:2" ht="60" customHeight="1">
      <c r="B1467" s="131"/>
    </row>
    <row r="1468" spans="2:2" ht="60" customHeight="1">
      <c r="B1468" s="127"/>
    </row>
    <row r="1469" spans="2:2" ht="60" customHeight="1">
      <c r="B1469" s="128"/>
    </row>
    <row r="1470" spans="2:2" ht="60" customHeight="1">
      <c r="B1470" s="129"/>
    </row>
    <row r="1471" spans="2:2" ht="60" customHeight="1">
      <c r="B1471" s="129"/>
    </row>
    <row r="1472" spans="2:2" ht="60" customHeight="1">
      <c r="B1472" s="130"/>
    </row>
    <row r="1473" spans="2:2" ht="60" customHeight="1">
      <c r="B1473" s="131"/>
    </row>
    <row r="1474" spans="2:2" ht="60" customHeight="1">
      <c r="B1474" s="127"/>
    </row>
    <row r="1475" spans="2:2" ht="60" customHeight="1">
      <c r="B1475" s="128"/>
    </row>
    <row r="1476" spans="2:2" ht="60" customHeight="1">
      <c r="B1476" s="129"/>
    </row>
    <row r="1477" spans="2:2" ht="60" customHeight="1">
      <c r="B1477" s="129"/>
    </row>
    <row r="1478" spans="2:2" ht="60" customHeight="1">
      <c r="B1478" s="130"/>
    </row>
    <row r="1479" spans="2:2" ht="60" customHeight="1">
      <c r="B1479" s="131"/>
    </row>
    <row r="1480" spans="2:2" ht="60" customHeight="1">
      <c r="B1480" s="127"/>
    </row>
    <row r="1481" spans="2:2" ht="60" customHeight="1">
      <c r="B1481" s="128"/>
    </row>
    <row r="1482" spans="2:2" ht="60" customHeight="1">
      <c r="B1482" s="129"/>
    </row>
    <row r="1483" spans="2:2" ht="60" customHeight="1">
      <c r="B1483" s="129"/>
    </row>
    <row r="1484" spans="2:2" ht="60" customHeight="1">
      <c r="B1484" s="130"/>
    </row>
    <row r="1485" spans="2:2" ht="60" customHeight="1">
      <c r="B1485" s="131"/>
    </row>
    <row r="1486" spans="2:2" ht="60" customHeight="1">
      <c r="B1486" s="127"/>
    </row>
    <row r="1487" spans="2:2" ht="60" customHeight="1">
      <c r="B1487" s="128"/>
    </row>
    <row r="1488" spans="2:2" ht="60" customHeight="1">
      <c r="B1488" s="129"/>
    </row>
    <row r="1489" spans="2:2" ht="60" customHeight="1">
      <c r="B1489" s="129"/>
    </row>
    <row r="1490" spans="2:2" ht="60" customHeight="1">
      <c r="B1490" s="130"/>
    </row>
    <row r="1491" spans="2:2" ht="60" customHeight="1">
      <c r="B1491" s="131"/>
    </row>
    <row r="1492" spans="2:2" ht="60" customHeight="1">
      <c r="B1492" s="127"/>
    </row>
    <row r="1493" spans="2:2" ht="60" customHeight="1">
      <c r="B1493" s="128"/>
    </row>
    <row r="1494" spans="2:2" ht="60" customHeight="1">
      <c r="B1494" s="129"/>
    </row>
    <row r="1495" spans="2:2" ht="60" customHeight="1">
      <c r="B1495" s="129"/>
    </row>
    <row r="1496" spans="2:2" ht="60" customHeight="1">
      <c r="B1496" s="130"/>
    </row>
    <row r="1497" spans="2:2" ht="60" customHeight="1">
      <c r="B1497" s="131"/>
    </row>
    <row r="1498" spans="2:2" ht="60" customHeight="1">
      <c r="B1498" s="127"/>
    </row>
    <row r="1499" spans="2:2" ht="60" customHeight="1">
      <c r="B1499" s="128"/>
    </row>
    <row r="1500" spans="2:2" ht="60" customHeight="1">
      <c r="B1500" s="129"/>
    </row>
    <row r="1501" spans="2:2" ht="60" customHeight="1">
      <c r="B1501" s="129"/>
    </row>
    <row r="1502" spans="2:2" ht="60" customHeight="1">
      <c r="B1502" s="130"/>
    </row>
    <row r="1503" spans="2:2" ht="60" customHeight="1">
      <c r="B1503" s="131"/>
    </row>
    <row r="1504" spans="2:2" ht="60" customHeight="1">
      <c r="B1504" s="127"/>
    </row>
    <row r="1505" spans="2:2" ht="60" customHeight="1">
      <c r="B1505" s="128"/>
    </row>
    <row r="1506" spans="2:2" ht="60" customHeight="1">
      <c r="B1506" s="129"/>
    </row>
    <row r="1507" spans="2:2" ht="60" customHeight="1">
      <c r="B1507" s="129"/>
    </row>
    <row r="1508" spans="2:2" ht="60" customHeight="1">
      <c r="B1508" s="130"/>
    </row>
    <row r="1509" spans="2:2" ht="60" customHeight="1">
      <c r="B1509" s="131"/>
    </row>
    <row r="1510" spans="2:2" ht="60" customHeight="1">
      <c r="B1510" s="127"/>
    </row>
    <row r="1511" spans="2:2" ht="60" customHeight="1">
      <c r="B1511" s="128"/>
    </row>
    <row r="1512" spans="2:2" ht="60" customHeight="1">
      <c r="B1512" s="129"/>
    </row>
    <row r="1513" spans="2:2" ht="60" customHeight="1">
      <c r="B1513" s="129"/>
    </row>
    <row r="1514" spans="2:2" ht="60" customHeight="1">
      <c r="B1514" s="130"/>
    </row>
    <row r="1515" spans="2:2" ht="60" customHeight="1">
      <c r="B1515" s="131"/>
    </row>
    <row r="1516" spans="2:2" ht="60" customHeight="1">
      <c r="B1516" s="127"/>
    </row>
    <row r="1517" spans="2:2" ht="60" customHeight="1">
      <c r="B1517" s="128"/>
    </row>
    <row r="1518" spans="2:2" ht="60" customHeight="1">
      <c r="B1518" s="129"/>
    </row>
    <row r="1519" spans="2:2" ht="60" customHeight="1">
      <c r="B1519" s="129"/>
    </row>
    <row r="1520" spans="2:2" ht="60" customHeight="1">
      <c r="B1520" s="130"/>
    </row>
    <row r="1521" spans="2:2" ht="60" customHeight="1">
      <c r="B1521" s="131"/>
    </row>
    <row r="1522" spans="2:2" ht="60" customHeight="1">
      <c r="B1522" s="127"/>
    </row>
    <row r="1523" spans="2:2" ht="60" customHeight="1">
      <c r="B1523" s="128"/>
    </row>
    <row r="1524" spans="2:2" ht="60" customHeight="1">
      <c r="B1524" s="129"/>
    </row>
    <row r="1525" spans="2:2" ht="60" customHeight="1">
      <c r="B1525" s="129"/>
    </row>
    <row r="1526" spans="2:2" ht="60" customHeight="1">
      <c r="B1526" s="130"/>
    </row>
    <row r="1527" spans="2:2" ht="60" customHeight="1">
      <c r="B1527" s="131"/>
    </row>
    <row r="1528" spans="2:2" ht="60" customHeight="1">
      <c r="B1528" s="127"/>
    </row>
    <row r="1529" spans="2:2" ht="60" customHeight="1">
      <c r="B1529" s="128"/>
    </row>
    <row r="1530" spans="2:2" ht="60" customHeight="1">
      <c r="B1530" s="129"/>
    </row>
    <row r="1531" spans="2:2" ht="60" customHeight="1">
      <c r="B1531" s="129"/>
    </row>
    <row r="1532" spans="2:2" ht="60" customHeight="1">
      <c r="B1532" s="130"/>
    </row>
    <row r="1533" spans="2:2" ht="60" customHeight="1">
      <c r="B1533" s="131"/>
    </row>
    <row r="1534" spans="2:2" ht="60" customHeight="1">
      <c r="B1534" s="127"/>
    </row>
    <row r="1535" spans="2:2" ht="60" customHeight="1">
      <c r="B1535" s="128"/>
    </row>
    <row r="1536" spans="2:2" ht="60" customHeight="1">
      <c r="B1536" s="129"/>
    </row>
    <row r="1537" spans="2:2" ht="60" customHeight="1">
      <c r="B1537" s="129"/>
    </row>
    <row r="1538" spans="2:2" ht="60" customHeight="1">
      <c r="B1538" s="130"/>
    </row>
    <row r="1539" spans="2:2" ht="60" customHeight="1">
      <c r="B1539" s="131"/>
    </row>
    <row r="1540" spans="2:2" ht="60" customHeight="1">
      <c r="B1540" s="127"/>
    </row>
    <row r="1541" spans="2:2" ht="60" customHeight="1">
      <c r="B1541" s="128"/>
    </row>
    <row r="1542" spans="2:2" ht="60" customHeight="1">
      <c r="B1542" s="129"/>
    </row>
    <row r="1543" spans="2:2" ht="60" customHeight="1">
      <c r="B1543" s="129"/>
    </row>
    <row r="1544" spans="2:2" ht="60" customHeight="1">
      <c r="B1544" s="130"/>
    </row>
    <row r="1545" spans="2:2" ht="60" customHeight="1">
      <c r="B1545" s="131"/>
    </row>
    <row r="1546" spans="2:2" ht="60" customHeight="1">
      <c r="B1546" s="127"/>
    </row>
    <row r="1547" spans="2:2" ht="60" customHeight="1">
      <c r="B1547" s="128"/>
    </row>
    <row r="1548" spans="2:2" ht="60" customHeight="1">
      <c r="B1548" s="129"/>
    </row>
    <row r="1549" spans="2:2" ht="60" customHeight="1">
      <c r="B1549" s="129"/>
    </row>
    <row r="1550" spans="2:2" ht="60" customHeight="1">
      <c r="B1550" s="130"/>
    </row>
    <row r="1551" spans="2:2" ht="60" customHeight="1">
      <c r="B1551" s="131"/>
    </row>
    <row r="1552" spans="2:2" ht="60" customHeight="1">
      <c r="B1552" s="127"/>
    </row>
    <row r="1553" spans="2:2" ht="60" customHeight="1">
      <c r="B1553" s="128"/>
    </row>
    <row r="1554" spans="2:2" ht="60" customHeight="1">
      <c r="B1554" s="129"/>
    </row>
    <row r="1555" spans="2:2" ht="60" customHeight="1">
      <c r="B1555" s="129"/>
    </row>
    <row r="1556" spans="2:2" ht="60" customHeight="1">
      <c r="B1556" s="130"/>
    </row>
    <row r="1557" spans="2:2" ht="60" customHeight="1">
      <c r="B1557" s="131"/>
    </row>
    <row r="1558" spans="2:2" ht="60" customHeight="1">
      <c r="B1558" s="127"/>
    </row>
    <row r="1559" spans="2:2" ht="60" customHeight="1">
      <c r="B1559" s="128"/>
    </row>
    <row r="1560" spans="2:2" ht="60" customHeight="1">
      <c r="B1560" s="129"/>
    </row>
    <row r="1561" spans="2:2" ht="60" customHeight="1">
      <c r="B1561" s="129"/>
    </row>
    <row r="1562" spans="2:2" ht="60" customHeight="1">
      <c r="B1562" s="130"/>
    </row>
    <row r="1563" spans="2:2" ht="60" customHeight="1">
      <c r="B1563" s="131"/>
    </row>
    <row r="1564" spans="2:2" ht="60" customHeight="1">
      <c r="B1564" s="127"/>
    </row>
    <row r="1565" spans="2:2" ht="60" customHeight="1">
      <c r="B1565" s="128"/>
    </row>
    <row r="1566" spans="2:2" ht="60" customHeight="1">
      <c r="B1566" s="129"/>
    </row>
    <row r="1567" spans="2:2" ht="60" customHeight="1">
      <c r="B1567" s="129"/>
    </row>
    <row r="1568" spans="2:2" ht="60" customHeight="1">
      <c r="B1568" s="130"/>
    </row>
    <row r="1569" spans="2:2" ht="60" customHeight="1">
      <c r="B1569" s="131"/>
    </row>
    <row r="1570" spans="2:2" ht="60" customHeight="1">
      <c r="B1570" s="127"/>
    </row>
    <row r="1571" spans="2:2" ht="60" customHeight="1">
      <c r="B1571" s="128"/>
    </row>
    <row r="1572" spans="2:2" ht="60" customHeight="1">
      <c r="B1572" s="129"/>
    </row>
    <row r="1573" spans="2:2" ht="60" customHeight="1">
      <c r="B1573" s="129"/>
    </row>
    <row r="1574" spans="2:2" ht="60" customHeight="1">
      <c r="B1574" s="130"/>
    </row>
    <row r="1575" spans="2:2" ht="60" customHeight="1">
      <c r="B1575" s="131"/>
    </row>
    <row r="1576" spans="2:2" ht="60" customHeight="1">
      <c r="B1576" s="127"/>
    </row>
    <row r="1577" spans="2:2" ht="60" customHeight="1">
      <c r="B1577" s="128"/>
    </row>
    <row r="1578" spans="2:2" ht="60" customHeight="1">
      <c r="B1578" s="129"/>
    </row>
    <row r="1579" spans="2:2" ht="60" customHeight="1">
      <c r="B1579" s="129"/>
    </row>
    <row r="1580" spans="2:2" ht="60" customHeight="1">
      <c r="B1580" s="130"/>
    </row>
    <row r="1581" spans="2:2" ht="60" customHeight="1">
      <c r="B1581" s="131"/>
    </row>
    <row r="1582" spans="2:2" ht="60" customHeight="1">
      <c r="B1582" s="127"/>
    </row>
    <row r="1583" spans="2:2" ht="60" customHeight="1">
      <c r="B1583" s="128"/>
    </row>
    <row r="1584" spans="2:2" ht="60" customHeight="1">
      <c r="B1584" s="129"/>
    </row>
    <row r="1585" spans="2:2" ht="60" customHeight="1">
      <c r="B1585" s="129"/>
    </row>
    <row r="1586" spans="2:2" ht="60" customHeight="1">
      <c r="B1586" s="130"/>
    </row>
    <row r="1587" spans="2:2" ht="60" customHeight="1">
      <c r="B1587" s="131"/>
    </row>
    <row r="1588" spans="2:2" ht="60" customHeight="1">
      <c r="B1588" s="127"/>
    </row>
    <row r="1589" spans="2:2" ht="60" customHeight="1">
      <c r="B1589" s="128"/>
    </row>
    <row r="1590" spans="2:2" ht="60" customHeight="1">
      <c r="B1590" s="129"/>
    </row>
    <row r="1591" spans="2:2" ht="60" customHeight="1">
      <c r="B1591" s="129"/>
    </row>
    <row r="1592" spans="2:2" ht="60" customHeight="1">
      <c r="B1592" s="130"/>
    </row>
    <row r="1593" spans="2:2" ht="60" customHeight="1">
      <c r="B1593" s="131"/>
    </row>
    <row r="1594" spans="2:2" ht="60" customHeight="1">
      <c r="B1594" s="127"/>
    </row>
    <row r="1595" spans="2:2" ht="60" customHeight="1">
      <c r="B1595" s="128"/>
    </row>
    <row r="1596" spans="2:2" ht="60" customHeight="1">
      <c r="B1596" s="129"/>
    </row>
    <row r="1597" spans="2:2" ht="60" customHeight="1">
      <c r="B1597" s="129"/>
    </row>
    <row r="1598" spans="2:2" ht="60" customHeight="1">
      <c r="B1598" s="130"/>
    </row>
    <row r="1599" spans="2:2" ht="60" customHeight="1">
      <c r="B1599" s="131"/>
    </row>
    <row r="1600" spans="2:2" ht="60" customHeight="1">
      <c r="B1600" s="127"/>
    </row>
    <row r="1601" spans="2:2" ht="60" customHeight="1">
      <c r="B1601" s="128"/>
    </row>
    <row r="1602" spans="2:2" ht="60" customHeight="1">
      <c r="B1602" s="129"/>
    </row>
    <row r="1603" spans="2:2" ht="60" customHeight="1">
      <c r="B1603" s="129"/>
    </row>
    <row r="1604" spans="2:2" ht="60" customHeight="1">
      <c r="B1604" s="130"/>
    </row>
    <row r="1605" spans="2:2" ht="60" customHeight="1">
      <c r="B1605" s="131"/>
    </row>
    <row r="1606" spans="2:2" ht="60" customHeight="1">
      <c r="B1606" s="127"/>
    </row>
    <row r="1607" spans="2:2" ht="60" customHeight="1">
      <c r="B1607" s="128"/>
    </row>
    <row r="1608" spans="2:2" ht="60" customHeight="1">
      <c r="B1608" s="129"/>
    </row>
    <row r="1609" spans="2:2" ht="60" customHeight="1">
      <c r="B1609" s="129"/>
    </row>
    <row r="1610" spans="2:2" ht="60" customHeight="1">
      <c r="B1610" s="130"/>
    </row>
    <row r="1611" spans="2:2" ht="60" customHeight="1">
      <c r="B1611" s="131"/>
    </row>
    <row r="1612" spans="2:2" ht="60" customHeight="1">
      <c r="B1612" s="127"/>
    </row>
    <row r="1613" spans="2:2" ht="60" customHeight="1">
      <c r="B1613" s="128"/>
    </row>
    <row r="1614" spans="2:2" ht="60" customHeight="1">
      <c r="B1614" s="129"/>
    </row>
    <row r="1615" spans="2:2" ht="60" customHeight="1">
      <c r="B1615" s="129"/>
    </row>
    <row r="1616" spans="2:2" ht="60" customHeight="1">
      <c r="B1616" s="130"/>
    </row>
    <row r="1617" spans="2:2" ht="60" customHeight="1">
      <c r="B1617" s="131"/>
    </row>
    <row r="1618" spans="2:2" ht="60" customHeight="1">
      <c r="B1618" s="127"/>
    </row>
    <row r="1619" spans="2:2" ht="60" customHeight="1">
      <c r="B1619" s="128"/>
    </row>
    <row r="1620" spans="2:2" ht="60" customHeight="1">
      <c r="B1620" s="129"/>
    </row>
    <row r="1621" spans="2:2" ht="60" customHeight="1">
      <c r="B1621" s="129"/>
    </row>
    <row r="1622" spans="2:2" ht="60" customHeight="1">
      <c r="B1622" s="130"/>
    </row>
    <row r="1623" spans="2:2" ht="60" customHeight="1">
      <c r="B1623" s="131"/>
    </row>
    <row r="1624" spans="2:2" ht="60" customHeight="1">
      <c r="B1624" s="127"/>
    </row>
    <row r="1625" spans="2:2" ht="60" customHeight="1">
      <c r="B1625" s="128"/>
    </row>
    <row r="1626" spans="2:2" ht="60" customHeight="1">
      <c r="B1626" s="129"/>
    </row>
    <row r="1627" spans="2:2" ht="60" customHeight="1">
      <c r="B1627" s="129"/>
    </row>
    <row r="1628" spans="2:2" ht="60" customHeight="1">
      <c r="B1628" s="130"/>
    </row>
    <row r="1629" spans="2:2" ht="60" customHeight="1">
      <c r="B1629" s="131"/>
    </row>
    <row r="1630" spans="2:2" ht="60" customHeight="1">
      <c r="B1630" s="127"/>
    </row>
    <row r="1631" spans="2:2" ht="60" customHeight="1">
      <c r="B1631" s="128"/>
    </row>
    <row r="1632" spans="2:2" ht="60" customHeight="1">
      <c r="B1632" s="129"/>
    </row>
    <row r="1633" spans="2:2" ht="60" customHeight="1">
      <c r="B1633" s="129"/>
    </row>
    <row r="1634" spans="2:2" ht="60" customHeight="1">
      <c r="B1634" s="130"/>
    </row>
    <row r="1635" spans="2:2" ht="60" customHeight="1">
      <c r="B1635" s="131"/>
    </row>
    <row r="1636" spans="2:2" ht="60" customHeight="1">
      <c r="B1636" s="127"/>
    </row>
    <row r="1637" spans="2:2" ht="60" customHeight="1">
      <c r="B1637" s="128"/>
    </row>
    <row r="1638" spans="2:2" ht="60" customHeight="1">
      <c r="B1638" s="129"/>
    </row>
    <row r="1639" spans="2:2" ht="60" customHeight="1">
      <c r="B1639" s="129"/>
    </row>
    <row r="1640" spans="2:2" ht="60" customHeight="1">
      <c r="B1640" s="130"/>
    </row>
    <row r="1641" spans="2:2" ht="60" customHeight="1">
      <c r="B1641" s="131"/>
    </row>
    <row r="1642" spans="2:2" ht="60" customHeight="1">
      <c r="B1642" s="127"/>
    </row>
    <row r="1643" spans="2:2" ht="60" customHeight="1">
      <c r="B1643" s="128"/>
    </row>
    <row r="1644" spans="2:2" ht="60" customHeight="1">
      <c r="B1644" s="129"/>
    </row>
    <row r="1645" spans="2:2" ht="60" customHeight="1">
      <c r="B1645" s="129"/>
    </row>
    <row r="1646" spans="2:2" ht="60" customHeight="1">
      <c r="B1646" s="130"/>
    </row>
    <row r="1647" spans="2:2" ht="60" customHeight="1">
      <c r="B1647" s="131"/>
    </row>
    <row r="1648" spans="2:2" ht="60" customHeight="1">
      <c r="B1648" s="127"/>
    </row>
    <row r="1649" spans="2:2" ht="60" customHeight="1">
      <c r="B1649" s="128"/>
    </row>
    <row r="1650" spans="2:2" ht="60" customHeight="1">
      <c r="B1650" s="129"/>
    </row>
    <row r="1651" spans="2:2" ht="60" customHeight="1">
      <c r="B1651" s="129"/>
    </row>
    <row r="1652" spans="2:2" ht="60" customHeight="1">
      <c r="B1652" s="130"/>
    </row>
    <row r="1653" spans="2:2" ht="60" customHeight="1">
      <c r="B1653" s="131"/>
    </row>
    <row r="1654" spans="2:2" ht="60" customHeight="1">
      <c r="B1654" s="127"/>
    </row>
    <row r="1655" spans="2:2" ht="60" customHeight="1">
      <c r="B1655" s="128"/>
    </row>
    <row r="1656" spans="2:2" ht="60" customHeight="1">
      <c r="B1656" s="129"/>
    </row>
    <row r="1657" spans="2:2" ht="60" customHeight="1">
      <c r="B1657" s="129"/>
    </row>
    <row r="1658" spans="2:2" ht="60" customHeight="1">
      <c r="B1658" s="130"/>
    </row>
    <row r="1659" spans="2:2" ht="60" customHeight="1">
      <c r="B1659" s="131"/>
    </row>
    <row r="1660" spans="2:2" ht="60" customHeight="1">
      <c r="B1660" s="127"/>
    </row>
    <row r="1661" spans="2:2" ht="60" customHeight="1">
      <c r="B1661" s="128"/>
    </row>
    <row r="1662" spans="2:2" ht="60" customHeight="1">
      <c r="B1662" s="129"/>
    </row>
    <row r="1663" spans="2:2" ht="60" customHeight="1">
      <c r="B1663" s="129"/>
    </row>
    <row r="1664" spans="2:2" ht="60" customHeight="1">
      <c r="B1664" s="130"/>
    </row>
    <row r="1665" spans="2:2" ht="60" customHeight="1">
      <c r="B1665" s="131"/>
    </row>
    <row r="1666" spans="2:2" ht="60" customHeight="1">
      <c r="B1666" s="127"/>
    </row>
    <row r="1667" spans="2:2" ht="60" customHeight="1">
      <c r="B1667" s="128"/>
    </row>
    <row r="1668" spans="2:2" ht="60" customHeight="1">
      <c r="B1668" s="129"/>
    </row>
    <row r="1669" spans="2:2" ht="60" customHeight="1">
      <c r="B1669" s="129"/>
    </row>
    <row r="1670" spans="2:2" ht="60" customHeight="1">
      <c r="B1670" s="130"/>
    </row>
    <row r="1671" spans="2:2" ht="60" customHeight="1">
      <c r="B1671" s="131"/>
    </row>
    <row r="1672" spans="2:2" ht="60" customHeight="1">
      <c r="B1672" s="127"/>
    </row>
    <row r="1673" spans="2:2" ht="60" customHeight="1">
      <c r="B1673" s="128"/>
    </row>
    <row r="1674" spans="2:2" ht="60" customHeight="1">
      <c r="B1674" s="129"/>
    </row>
    <row r="1675" spans="2:2" ht="60" customHeight="1">
      <c r="B1675" s="129"/>
    </row>
    <row r="1676" spans="2:2" ht="60" customHeight="1">
      <c r="B1676" s="130"/>
    </row>
    <row r="1677" spans="2:2" ht="60" customHeight="1">
      <c r="B1677" s="131"/>
    </row>
    <row r="1678" spans="2:2" ht="60" customHeight="1">
      <c r="B1678" s="127"/>
    </row>
    <row r="1679" spans="2:2" ht="60" customHeight="1">
      <c r="B1679" s="128"/>
    </row>
    <row r="1680" spans="2:2" ht="60" customHeight="1">
      <c r="B1680" s="129"/>
    </row>
    <row r="1681" spans="2:2" ht="60" customHeight="1">
      <c r="B1681" s="129"/>
    </row>
    <row r="1682" spans="2:2" ht="60" customHeight="1">
      <c r="B1682" s="130"/>
    </row>
    <row r="1683" spans="2:2" ht="60" customHeight="1">
      <c r="B1683" s="131"/>
    </row>
    <row r="1684" spans="2:2" ht="60" customHeight="1">
      <c r="B1684" s="127"/>
    </row>
    <row r="1685" spans="2:2" ht="60" customHeight="1">
      <c r="B1685" s="128"/>
    </row>
    <row r="1686" spans="2:2" ht="60" customHeight="1">
      <c r="B1686" s="129"/>
    </row>
    <row r="1687" spans="2:2" ht="60" customHeight="1">
      <c r="B1687" s="129"/>
    </row>
    <row r="1688" spans="2:2" ht="60" customHeight="1">
      <c r="B1688" s="130"/>
    </row>
    <row r="1689" spans="2:2" ht="60" customHeight="1">
      <c r="B1689" s="131"/>
    </row>
    <row r="1690" spans="2:2" ht="60" customHeight="1">
      <c r="B1690" s="127"/>
    </row>
    <row r="1691" spans="2:2" ht="60" customHeight="1">
      <c r="B1691" s="128"/>
    </row>
    <row r="1692" spans="2:2" ht="60" customHeight="1">
      <c r="B1692" s="129"/>
    </row>
    <row r="1693" spans="2:2" ht="60" customHeight="1">
      <c r="B1693" s="129"/>
    </row>
    <row r="1694" spans="2:2" ht="60" customHeight="1">
      <c r="B1694" s="130"/>
    </row>
    <row r="1695" spans="2:2" ht="60" customHeight="1">
      <c r="B1695" s="131"/>
    </row>
    <row r="1696" spans="2:2" ht="60" customHeight="1">
      <c r="B1696" s="127"/>
    </row>
    <row r="1697" spans="2:2" ht="60" customHeight="1">
      <c r="B1697" s="128"/>
    </row>
    <row r="1698" spans="2:2" ht="60" customHeight="1">
      <c r="B1698" s="129"/>
    </row>
    <row r="1699" spans="2:2" ht="60" customHeight="1">
      <c r="B1699" s="129"/>
    </row>
    <row r="1700" spans="2:2" ht="60" customHeight="1">
      <c r="B1700" s="130"/>
    </row>
    <row r="1701" spans="2:2" ht="60" customHeight="1">
      <c r="B1701" s="131"/>
    </row>
    <row r="1702" spans="2:2" ht="60" customHeight="1">
      <c r="B1702" s="127"/>
    </row>
    <row r="1703" spans="2:2" ht="60" customHeight="1">
      <c r="B1703" s="128"/>
    </row>
    <row r="1704" spans="2:2" ht="60" customHeight="1">
      <c r="B1704" s="129"/>
    </row>
    <row r="1705" spans="2:2" ht="60" customHeight="1">
      <c r="B1705" s="129"/>
    </row>
    <row r="1706" spans="2:2" ht="60" customHeight="1">
      <c r="B1706" s="130"/>
    </row>
    <row r="1707" spans="2:2" ht="60" customHeight="1">
      <c r="B1707" s="131"/>
    </row>
    <row r="1708" spans="2:2" ht="60" customHeight="1">
      <c r="B1708" s="127"/>
    </row>
    <row r="1709" spans="2:2" ht="60" customHeight="1">
      <c r="B1709" s="128"/>
    </row>
    <row r="1710" spans="2:2" ht="60" customHeight="1">
      <c r="B1710" s="129"/>
    </row>
    <row r="1711" spans="2:2" ht="60" customHeight="1">
      <c r="B1711" s="129"/>
    </row>
    <row r="1712" spans="2:2" ht="60" customHeight="1">
      <c r="B1712" s="130"/>
    </row>
    <row r="1713" spans="2:2" ht="60" customHeight="1">
      <c r="B1713" s="131"/>
    </row>
    <row r="1714" spans="2:2" ht="60" customHeight="1">
      <c r="B1714" s="127"/>
    </row>
    <row r="1715" spans="2:2" ht="60" customHeight="1">
      <c r="B1715" s="128"/>
    </row>
    <row r="1716" spans="2:2" ht="60" customHeight="1">
      <c r="B1716" s="129"/>
    </row>
    <row r="1717" spans="2:2" ht="60" customHeight="1">
      <c r="B1717" s="129"/>
    </row>
    <row r="1718" spans="2:2" ht="60" customHeight="1">
      <c r="B1718" s="130"/>
    </row>
    <row r="1719" spans="2:2" ht="60" customHeight="1">
      <c r="B1719" s="131"/>
    </row>
    <row r="1720" spans="2:2" ht="60" customHeight="1">
      <c r="B1720" s="127"/>
    </row>
    <row r="1721" spans="2:2" ht="60" customHeight="1">
      <c r="B1721" s="128"/>
    </row>
    <row r="1722" spans="2:2" ht="60" customHeight="1">
      <c r="B1722" s="129"/>
    </row>
    <row r="1723" spans="2:2" ht="60" customHeight="1">
      <c r="B1723" s="129"/>
    </row>
    <row r="1724" spans="2:2" ht="60" customHeight="1">
      <c r="B1724" s="130"/>
    </row>
    <row r="1725" spans="2:2" ht="60" customHeight="1">
      <c r="B1725" s="131"/>
    </row>
    <row r="1726" spans="2:2" ht="60" customHeight="1">
      <c r="B1726" s="127"/>
    </row>
    <row r="1727" spans="2:2" ht="60" customHeight="1">
      <c r="B1727" s="128"/>
    </row>
    <row r="1728" spans="2:2" ht="60" customHeight="1">
      <c r="B1728" s="129"/>
    </row>
    <row r="1729" spans="2:2" ht="60" customHeight="1">
      <c r="B1729" s="129"/>
    </row>
    <row r="1730" spans="2:2" ht="60" customHeight="1">
      <c r="B1730" s="130"/>
    </row>
    <row r="1731" spans="2:2" ht="60" customHeight="1">
      <c r="B1731" s="131"/>
    </row>
    <row r="1732" spans="2:2" ht="60" customHeight="1">
      <c r="B1732" s="127"/>
    </row>
    <row r="1733" spans="2:2" ht="60" customHeight="1">
      <c r="B1733" s="128"/>
    </row>
    <row r="1734" spans="2:2" ht="60" customHeight="1">
      <c r="B1734" s="129"/>
    </row>
    <row r="1735" spans="2:2" ht="60" customHeight="1">
      <c r="B1735" s="129"/>
    </row>
    <row r="1736" spans="2:2" ht="60" customHeight="1">
      <c r="B1736" s="130"/>
    </row>
    <row r="1737" spans="2:2" ht="60" customHeight="1">
      <c r="B1737" s="131"/>
    </row>
    <row r="1738" spans="2:2" ht="60" customHeight="1">
      <c r="B1738" s="127"/>
    </row>
    <row r="1739" spans="2:2" ht="60" customHeight="1">
      <c r="B1739" s="128"/>
    </row>
    <row r="1740" spans="2:2" ht="60" customHeight="1">
      <c r="B1740" s="129"/>
    </row>
    <row r="1741" spans="2:2" ht="60" customHeight="1">
      <c r="B1741" s="129"/>
    </row>
    <row r="1742" spans="2:2" ht="60" customHeight="1">
      <c r="B1742" s="130"/>
    </row>
    <row r="1743" spans="2:2" ht="60" customHeight="1">
      <c r="B1743" s="131"/>
    </row>
    <row r="1744" spans="2:2" ht="60" customHeight="1">
      <c r="B1744" s="127"/>
    </row>
    <row r="1745" spans="2:2" ht="60" customHeight="1">
      <c r="B1745" s="128"/>
    </row>
    <row r="1746" spans="2:2" ht="60" customHeight="1">
      <c r="B1746" s="129"/>
    </row>
    <row r="1747" spans="2:2" ht="60" customHeight="1">
      <c r="B1747" s="129"/>
    </row>
    <row r="1748" spans="2:2" ht="60" customHeight="1">
      <c r="B1748" s="130"/>
    </row>
    <row r="1749" spans="2:2" ht="60" customHeight="1">
      <c r="B1749" s="131"/>
    </row>
    <row r="1750" spans="2:2" ht="60" customHeight="1">
      <c r="B1750" s="127"/>
    </row>
    <row r="1751" spans="2:2" ht="60" customHeight="1">
      <c r="B1751" s="128"/>
    </row>
    <row r="1752" spans="2:2" ht="60" customHeight="1">
      <c r="B1752" s="129"/>
    </row>
    <row r="1753" spans="2:2" ht="60" customHeight="1">
      <c r="B1753" s="129"/>
    </row>
    <row r="1754" spans="2:2" ht="60" customHeight="1">
      <c r="B1754" s="130"/>
    </row>
    <row r="1755" spans="2:2" ht="60" customHeight="1">
      <c r="B1755" s="131"/>
    </row>
    <row r="1756" spans="2:2" ht="60" customHeight="1">
      <c r="B1756" s="127"/>
    </row>
    <row r="1757" spans="2:2" ht="60" customHeight="1">
      <c r="B1757" s="128"/>
    </row>
    <row r="1758" spans="2:2" ht="60" customHeight="1">
      <c r="B1758" s="129"/>
    </row>
    <row r="1759" spans="2:2" ht="60" customHeight="1">
      <c r="B1759" s="129"/>
    </row>
    <row r="1760" spans="2:2" ht="60" customHeight="1">
      <c r="B1760" s="130"/>
    </row>
    <row r="1761" spans="2:2" ht="60" customHeight="1">
      <c r="B1761" s="131"/>
    </row>
    <row r="1762" spans="2:2" ht="60" customHeight="1">
      <c r="B1762" s="127"/>
    </row>
    <row r="1763" spans="2:2" ht="60" customHeight="1">
      <c r="B1763" s="128"/>
    </row>
    <row r="1764" spans="2:2" ht="60" customHeight="1">
      <c r="B1764" s="129"/>
    </row>
    <row r="1765" spans="2:2" ht="60" customHeight="1">
      <c r="B1765" s="129"/>
    </row>
    <row r="1766" spans="2:2" ht="60" customHeight="1">
      <c r="B1766" s="130"/>
    </row>
    <row r="1767" spans="2:2" ht="60" customHeight="1">
      <c r="B1767" s="131"/>
    </row>
    <row r="1768" spans="2:2" ht="60" customHeight="1">
      <c r="B1768" s="127"/>
    </row>
    <row r="1769" spans="2:2" ht="60" customHeight="1">
      <c r="B1769" s="128"/>
    </row>
    <row r="1770" spans="2:2" ht="60" customHeight="1">
      <c r="B1770" s="129"/>
    </row>
    <row r="1771" spans="2:2" ht="60" customHeight="1">
      <c r="B1771" s="129"/>
    </row>
    <row r="1772" spans="2:2" ht="60" customHeight="1">
      <c r="B1772" s="130"/>
    </row>
    <row r="1773" spans="2:2" ht="60" customHeight="1">
      <c r="B1773" s="131"/>
    </row>
    <row r="1774" spans="2:2" ht="60" customHeight="1">
      <c r="B1774" s="127"/>
    </row>
    <row r="1775" spans="2:2" ht="60" customHeight="1">
      <c r="B1775" s="128"/>
    </row>
    <row r="1776" spans="2:2" ht="60" customHeight="1">
      <c r="B1776" s="129"/>
    </row>
    <row r="1777" spans="2:2" ht="60" customHeight="1">
      <c r="B1777" s="129"/>
    </row>
    <row r="1778" spans="2:2" ht="60" customHeight="1">
      <c r="B1778" s="130"/>
    </row>
    <row r="1779" spans="2:2" ht="60" customHeight="1">
      <c r="B1779" s="131"/>
    </row>
    <row r="1780" spans="2:2" ht="60" customHeight="1">
      <c r="B1780" s="127"/>
    </row>
    <row r="1781" spans="2:2" ht="60" customHeight="1">
      <c r="B1781" s="128"/>
    </row>
    <row r="1782" spans="2:2" ht="60" customHeight="1">
      <c r="B1782" s="129"/>
    </row>
    <row r="1783" spans="2:2" ht="60" customHeight="1">
      <c r="B1783" s="129"/>
    </row>
    <row r="1784" spans="2:2" ht="60" customHeight="1">
      <c r="B1784" s="130"/>
    </row>
    <row r="1785" spans="2:2" ht="60" customHeight="1">
      <c r="B1785" s="131"/>
    </row>
    <row r="1786" spans="2:2" ht="60" customHeight="1">
      <c r="B1786" s="127"/>
    </row>
    <row r="1787" spans="2:2" ht="60" customHeight="1">
      <c r="B1787" s="128"/>
    </row>
  </sheetData>
  <hyperlinks>
    <hyperlink ref="C3" r:id="rId1" xr:uid="{D8CA501F-50EA-4C33-BFC4-6892C9624F79}"/>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36E60-677E-467E-9C59-7853ADE8E695}">
  <dimension ref="A1"/>
  <sheetViews>
    <sheetView workbookViewId="0">
      <selection sqref="A1:XFD1048576"/>
    </sheetView>
  </sheetViews>
  <sheetFormatPr defaultColWidth="9.140625" defaultRowHeight="14.25"/>
  <cols>
    <col min="1" max="1" width="3" style="1" customWidth="1"/>
    <col min="2" max="16384" width="9.140625" style="1"/>
  </cols>
  <sheetData>
    <row r="1" spans="1:1" ht="15">
      <c r="A1" s="2" t="s">
        <v>2826</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C31F-8910-447E-89B3-28B6120F3B0A}">
  <dimension ref="B2:Z8"/>
  <sheetViews>
    <sheetView workbookViewId="0">
      <selection activeCell="J4" sqref="J4:J5"/>
    </sheetView>
  </sheetViews>
  <sheetFormatPr defaultColWidth="9.140625" defaultRowHeight="14.25"/>
  <cols>
    <col min="1" max="1" width="3.140625" style="1" customWidth="1"/>
    <col min="2" max="16384" width="9.140625" style="1"/>
  </cols>
  <sheetData>
    <row r="2" spans="2:26" ht="15">
      <c r="B2" s="3" t="s">
        <v>9</v>
      </c>
      <c r="C2" s="4"/>
      <c r="D2" s="4"/>
      <c r="E2" s="4"/>
      <c r="F2" s="4"/>
      <c r="G2" s="3" t="s">
        <v>9</v>
      </c>
      <c r="H2" s="5"/>
      <c r="I2" s="5"/>
      <c r="J2" s="5"/>
      <c r="K2" s="5"/>
      <c r="L2" s="5"/>
      <c r="M2" s="5"/>
      <c r="N2" s="5"/>
      <c r="O2" s="5"/>
      <c r="P2" s="5"/>
      <c r="Q2" s="5"/>
      <c r="R2" s="5"/>
      <c r="S2" s="5"/>
      <c r="T2" s="5"/>
      <c r="U2" s="5"/>
      <c r="V2" s="5"/>
      <c r="W2" s="5"/>
      <c r="X2" s="5"/>
      <c r="Y2" s="5"/>
      <c r="Z2" s="6"/>
    </row>
    <row r="3" spans="2:26" ht="15">
      <c r="B3" s="7" t="s">
        <v>10</v>
      </c>
      <c r="C3" s="8"/>
      <c r="D3" s="8"/>
      <c r="E3" s="8"/>
      <c r="F3" s="9"/>
      <c r="G3" s="10" t="s">
        <v>11</v>
      </c>
      <c r="H3" s="10"/>
      <c r="I3" s="10"/>
      <c r="J3" s="10"/>
      <c r="K3" s="10"/>
      <c r="L3" s="10"/>
      <c r="M3" s="10"/>
      <c r="N3" s="10"/>
      <c r="O3" s="10"/>
      <c r="P3" s="10"/>
      <c r="Q3" s="10"/>
      <c r="R3" s="10"/>
      <c r="S3" s="10"/>
      <c r="T3" s="10"/>
      <c r="U3" s="10"/>
      <c r="V3" s="10"/>
      <c r="W3" s="10"/>
      <c r="X3" s="10"/>
      <c r="Y3" s="10"/>
      <c r="Z3" s="11"/>
    </row>
    <row r="4" spans="2:26" ht="15">
      <c r="B4" s="12" t="s">
        <v>10</v>
      </c>
      <c r="C4" s="13"/>
      <c r="D4" s="13"/>
      <c r="E4" s="13"/>
      <c r="F4" s="14"/>
      <c r="G4" s="15" t="s">
        <v>12</v>
      </c>
      <c r="H4" s="15"/>
      <c r="I4" s="15"/>
      <c r="J4" s="15"/>
      <c r="K4" s="15"/>
      <c r="L4" s="15"/>
      <c r="M4" s="15"/>
      <c r="N4" s="15"/>
      <c r="O4" s="15"/>
      <c r="P4" s="15"/>
      <c r="Q4" s="15"/>
      <c r="R4" s="15"/>
      <c r="S4" s="15"/>
      <c r="T4" s="15"/>
      <c r="U4" s="15"/>
      <c r="V4" s="15"/>
      <c r="W4" s="15"/>
      <c r="X4" s="15"/>
      <c r="Y4" s="15"/>
      <c r="Z4" s="16"/>
    </row>
    <row r="5" spans="2:26" ht="15">
      <c r="B5" s="12" t="s">
        <v>10</v>
      </c>
      <c r="C5" s="13"/>
      <c r="D5" s="13"/>
      <c r="E5" s="13"/>
      <c r="F5" s="14"/>
      <c r="G5" s="17" t="s">
        <v>11</v>
      </c>
      <c r="H5" s="17"/>
      <c r="I5" s="17"/>
      <c r="J5" s="17"/>
      <c r="K5" s="17"/>
      <c r="L5" s="17"/>
      <c r="M5" s="17"/>
      <c r="N5" s="17"/>
      <c r="O5" s="17"/>
      <c r="P5" s="17"/>
      <c r="Q5" s="17"/>
      <c r="R5" s="17"/>
      <c r="S5" s="17"/>
      <c r="T5" s="17"/>
      <c r="U5" s="17"/>
      <c r="V5" s="17"/>
      <c r="W5" s="17"/>
      <c r="X5" s="17"/>
      <c r="Y5" s="17"/>
      <c r="Z5" s="18"/>
    </row>
    <row r="6" spans="2:26" ht="15">
      <c r="B6" s="12" t="s">
        <v>10</v>
      </c>
      <c r="C6" s="13"/>
      <c r="D6" s="13"/>
      <c r="E6" s="13"/>
      <c r="F6" s="14"/>
      <c r="G6" s="15" t="s">
        <v>12</v>
      </c>
      <c r="H6" s="15"/>
      <c r="I6" s="15"/>
      <c r="J6" s="15"/>
      <c r="K6" s="15"/>
      <c r="L6" s="15"/>
      <c r="M6" s="15"/>
      <c r="N6" s="15"/>
      <c r="O6" s="15"/>
      <c r="P6" s="15"/>
      <c r="Q6" s="15"/>
      <c r="R6" s="15"/>
      <c r="S6" s="15"/>
      <c r="T6" s="15"/>
      <c r="U6" s="15"/>
      <c r="V6" s="15"/>
      <c r="W6" s="15"/>
      <c r="X6" s="15"/>
      <c r="Y6" s="15"/>
      <c r="Z6" s="16"/>
    </row>
    <row r="7" spans="2:26" ht="15">
      <c r="B7" s="12" t="s">
        <v>10</v>
      </c>
      <c r="C7" s="13"/>
      <c r="D7" s="13"/>
      <c r="E7" s="13"/>
      <c r="F7" s="14"/>
      <c r="G7" s="17" t="s">
        <v>11</v>
      </c>
      <c r="H7" s="17"/>
      <c r="I7" s="17"/>
      <c r="J7" s="17"/>
      <c r="K7" s="17"/>
      <c r="L7" s="17"/>
      <c r="M7" s="17"/>
      <c r="N7" s="17"/>
      <c r="O7" s="17"/>
      <c r="P7" s="17"/>
      <c r="Q7" s="17"/>
      <c r="R7" s="17"/>
      <c r="S7" s="17"/>
      <c r="T7" s="17"/>
      <c r="U7" s="17"/>
      <c r="V7" s="17"/>
      <c r="W7" s="17"/>
      <c r="X7" s="17"/>
      <c r="Y7" s="17"/>
      <c r="Z7" s="18"/>
    </row>
    <row r="8" spans="2:26" ht="15">
      <c r="B8" s="19" t="s">
        <v>10</v>
      </c>
      <c r="C8" s="20"/>
      <c r="D8" s="20"/>
      <c r="E8" s="20"/>
      <c r="F8" s="21"/>
      <c r="G8" s="22" t="s">
        <v>12</v>
      </c>
      <c r="H8" s="22"/>
      <c r="I8" s="22"/>
      <c r="J8" s="22"/>
      <c r="K8" s="22"/>
      <c r="L8" s="22"/>
      <c r="M8" s="22"/>
      <c r="N8" s="22"/>
      <c r="O8" s="22"/>
      <c r="P8" s="22"/>
      <c r="Q8" s="22"/>
      <c r="R8" s="22"/>
      <c r="S8" s="22"/>
      <c r="T8" s="22"/>
      <c r="U8" s="22"/>
      <c r="V8" s="22"/>
      <c r="W8" s="22"/>
      <c r="X8" s="22"/>
      <c r="Y8" s="22"/>
      <c r="Z8"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Main</vt:lpstr>
      <vt:lpstr>Model</vt:lpstr>
      <vt:lpstr>Notes | Quant Analysis</vt:lpstr>
      <vt:lpstr>Product Lines</vt:lpstr>
      <vt:lpstr>M&amp;A</vt:lpstr>
      <vt:lpstr>Closed Product Lines</vt:lpstr>
      <vt:lpstr>Management</vt:lpstr>
      <vt:lpstr>Table 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Jacob H</cp:lastModifiedBy>
  <dcterms:created xsi:type="dcterms:W3CDTF">2015-06-05T18:17:20Z</dcterms:created>
  <dcterms:modified xsi:type="dcterms:W3CDTF">2026-01-13T10:22:30Z</dcterms:modified>
</cp:coreProperties>
</file>