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theme/themeOverride3.xml" ContentType="application/vnd.openxmlformats-officedocument.themeOverrid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theme/themeOverride4.xml" ContentType="application/vnd.openxmlformats-officedocument.themeOverride+xml"/>
  <Override PartName="/xl/charts/chart7.xml" ContentType="application/vnd.openxmlformats-officedocument.drawingml.chart+xml"/>
  <Override PartName="/xl/charts/chart8.xml" ContentType="application/vnd.openxmlformats-officedocument.drawingml.chart+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mc:AlternateContent xmlns:mc="http://schemas.openxmlformats.org/markup-compatibility/2006">
    <mc:Choice Requires="x15">
      <x15ac:absPath xmlns:x15ac="http://schemas.microsoft.com/office/spreadsheetml/2010/11/ac" url="C:\Users\User\OneDrive\Desktop\Equity Research\Models\Communication Services\"/>
    </mc:Choice>
  </mc:AlternateContent>
  <xr:revisionPtr revIDLastSave="0" documentId="13_ncr:1_{CC054366-E3D7-4D81-A9A7-8DE95392ED04}" xr6:coauthVersionLast="47" xr6:coauthVersionMax="47" xr10:uidLastSave="{00000000-0000-0000-0000-000000000000}"/>
  <bookViews>
    <workbookView xWindow="28680" yWindow="-120" windowWidth="29040" windowHeight="15720" xr2:uid="{00000000-000D-0000-FFFF-FFFF00000000}"/>
  </bookViews>
  <sheets>
    <sheet name="Main" sheetId="1" r:id="rId1"/>
    <sheet name="Model" sheetId="2" r:id="rId2"/>
    <sheet name="Notes | Quant Analysis" sheetId="3" r:id="rId3"/>
    <sheet name="Product Lines" sheetId="5" r:id="rId4"/>
    <sheet name="Management" sheetId="6" r:id="rId5"/>
    <sheet name="Table Formatting" sheetId="4" r:id="rId6"/>
  </sheets>
  <externalReferences>
    <externalReference r:id="rId7"/>
    <externalReference r:id="rId8"/>
  </externalReferenc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K50" i="2" l="1"/>
  <c r="CJ50" i="2"/>
  <c r="CI50" i="2"/>
  <c r="CH50" i="2"/>
  <c r="CG50" i="2"/>
  <c r="CF50" i="2"/>
  <c r="CE50" i="2"/>
  <c r="CD50" i="2"/>
  <c r="CD49" i="2"/>
  <c r="CE49" i="2" s="1"/>
  <c r="CF49" i="2" s="1"/>
  <c r="CG49" i="2" s="1"/>
  <c r="CH49" i="2" s="1"/>
  <c r="CI49" i="2" s="1"/>
  <c r="CJ49" i="2" s="1"/>
  <c r="CK49" i="2" s="1"/>
  <c r="CC49" i="2"/>
  <c r="CB49" i="2"/>
  <c r="AK14" i="2"/>
  <c r="AJ14" i="2"/>
  <c r="AI14" i="2"/>
  <c r="AH14" i="2"/>
  <c r="AG14" i="2"/>
  <c r="AF14" i="2"/>
  <c r="AE14" i="2"/>
  <c r="AD14" i="2"/>
  <c r="AC14" i="2"/>
  <c r="AB14" i="2"/>
  <c r="AA14" i="2"/>
  <c r="Z14" i="2"/>
  <c r="Y14" i="2"/>
  <c r="X14" i="2"/>
  <c r="W14" i="2"/>
  <c r="V14" i="2"/>
  <c r="U14" i="2"/>
  <c r="T14" i="2"/>
  <c r="S14" i="2"/>
  <c r="R14" i="2"/>
  <c r="Q14" i="2"/>
  <c r="P14" i="2"/>
  <c r="O14" i="2"/>
  <c r="N14" i="2"/>
  <c r="M14" i="2"/>
  <c r="L14" i="2"/>
  <c r="K14" i="2"/>
  <c r="J14" i="2"/>
  <c r="I14" i="2"/>
  <c r="H14" i="2"/>
  <c r="G14" i="2"/>
  <c r="AL14" i="2"/>
  <c r="BV14" i="2"/>
  <c r="BU14" i="2"/>
  <c r="BT14" i="2"/>
  <c r="BS14" i="2"/>
  <c r="BR14" i="2"/>
  <c r="BQ14" i="2"/>
  <c r="BP14" i="2"/>
  <c r="BW14" i="2"/>
  <c r="BE86" i="2"/>
  <c r="C6" i="1" l="1"/>
  <c r="BE13" i="2"/>
  <c r="BE11" i="2"/>
  <c r="BE10" i="2"/>
  <c r="BE6" i="2"/>
  <c r="BE8" i="2" s="1"/>
  <c r="BE94" i="2"/>
  <c r="BE93" i="2"/>
  <c r="BE85" i="2"/>
  <c r="BE84" i="2"/>
  <c r="BE80" i="2"/>
  <c r="BE82" i="2" s="1"/>
  <c r="BE69" i="2"/>
  <c r="BE43" i="2"/>
  <c r="BE29" i="2"/>
  <c r="BE28" i="2"/>
  <c r="BE27" i="2"/>
  <c r="BE26" i="2"/>
  <c r="BE24" i="2"/>
  <c r="BE35" i="2" s="1"/>
  <c r="D94" i="2"/>
  <c r="BE95" i="2" l="1"/>
  <c r="BE18" i="2"/>
  <c r="BE17" i="2"/>
  <c r="BE37" i="2"/>
  <c r="BE54" i="2" s="1"/>
  <c r="BE16" i="2"/>
  <c r="BE53" i="2"/>
  <c r="BE39" i="2"/>
  <c r="BE44" i="2" s="1"/>
  <c r="BE32" i="2"/>
  <c r="BE33" i="2"/>
  <c r="BE34" i="2"/>
  <c r="BD94" i="2"/>
  <c r="BD93" i="2"/>
  <c r="BD85" i="2"/>
  <c r="BD84" i="2"/>
  <c r="BD80" i="2"/>
  <c r="BD82" i="2" s="1"/>
  <c r="BD69" i="2"/>
  <c r="BD43" i="2"/>
  <c r="BD29" i="2"/>
  <c r="BD28" i="2"/>
  <c r="BD27" i="2"/>
  <c r="BD26" i="2"/>
  <c r="BD24" i="2"/>
  <c r="BD33" i="2" s="1"/>
  <c r="BD13" i="2"/>
  <c r="BD11" i="2"/>
  <c r="BD10" i="2"/>
  <c r="BD6" i="2"/>
  <c r="CK64" i="2"/>
  <c r="BE52" i="2" l="1"/>
  <c r="BD95" i="2"/>
  <c r="BD34" i="2"/>
  <c r="BD8" i="2"/>
  <c r="BD17" i="2" s="1"/>
  <c r="BD35" i="2"/>
  <c r="BD32" i="2"/>
  <c r="BE46" i="2" l="1"/>
  <c r="BE55" i="2"/>
  <c r="BD18" i="2"/>
  <c r="BD37" i="2"/>
  <c r="BD16" i="2"/>
  <c r="CK66" i="2"/>
  <c r="CK71" i="2"/>
  <c r="CK69" i="2"/>
  <c r="BE48" i="2" l="1"/>
  <c r="BE56" i="2"/>
  <c r="BD86" i="2"/>
  <c r="BD54" i="2"/>
  <c r="BD53" i="2"/>
  <c r="BD39" i="2"/>
  <c r="BE50" i="2" l="1"/>
  <c r="BE90" i="2"/>
  <c r="BE88" i="2"/>
  <c r="BE57" i="2"/>
  <c r="BE87" i="2"/>
  <c r="BD52" i="2"/>
  <c r="BD44" i="2"/>
  <c r="P216" i="3"/>
  <c r="P217" i="3"/>
  <c r="P218" i="3"/>
  <c r="P219" i="3"/>
  <c r="P220" i="3"/>
  <c r="P221" i="3"/>
  <c r="P222" i="3"/>
  <c r="P223" i="3"/>
  <c r="P224" i="3"/>
  <c r="P225" i="3"/>
  <c r="P226" i="3"/>
  <c r="P227" i="3"/>
  <c r="P228" i="3"/>
  <c r="P229" i="3"/>
  <c r="BD55" i="2" l="1"/>
  <c r="BD46" i="2"/>
  <c r="G1448" i="3"/>
  <c r="G1447" i="3"/>
  <c r="G1446" i="3"/>
  <c r="G1445" i="3"/>
  <c r="G1444" i="3"/>
  <c r="G1443" i="3"/>
  <c r="G1442" i="3"/>
  <c r="G1441" i="3"/>
  <c r="G1440" i="3"/>
  <c r="G1439" i="3"/>
  <c r="G1438" i="3"/>
  <c r="G1437" i="3"/>
  <c r="G1436" i="3"/>
  <c r="G1435" i="3"/>
  <c r="G1434" i="3"/>
  <c r="G1433" i="3"/>
  <c r="G1432" i="3"/>
  <c r="G1431" i="3"/>
  <c r="G1430" i="3"/>
  <c r="G1429" i="3"/>
  <c r="G1428" i="3"/>
  <c r="G1427" i="3"/>
  <c r="G1426" i="3"/>
  <c r="G1425" i="3"/>
  <c r="G1424" i="3"/>
  <c r="G1423" i="3"/>
  <c r="G1422" i="3"/>
  <c r="G1421" i="3"/>
  <c r="G1420" i="3"/>
  <c r="G1419" i="3"/>
  <c r="G1418" i="3"/>
  <c r="G1417" i="3"/>
  <c r="G1416" i="3"/>
  <c r="G1415" i="3"/>
  <c r="G1414" i="3"/>
  <c r="G1413" i="3"/>
  <c r="G1412" i="3"/>
  <c r="G1411" i="3"/>
  <c r="G1410" i="3"/>
  <c r="G1409" i="3"/>
  <c r="G1408" i="3"/>
  <c r="G1407" i="3"/>
  <c r="G1406" i="3"/>
  <c r="G1405" i="3"/>
  <c r="G1404" i="3"/>
  <c r="G1403" i="3"/>
  <c r="G1402" i="3"/>
  <c r="G1401" i="3"/>
  <c r="G1400" i="3"/>
  <c r="G1399" i="3"/>
  <c r="G1398" i="3"/>
  <c r="G1397" i="3"/>
  <c r="G1396" i="3"/>
  <c r="G1395" i="3"/>
  <c r="G1394" i="3"/>
  <c r="G1393" i="3"/>
  <c r="G1392" i="3"/>
  <c r="G1391" i="3"/>
  <c r="G1390" i="3"/>
  <c r="G1389" i="3"/>
  <c r="G1388" i="3"/>
  <c r="G1387" i="3"/>
  <c r="G1386" i="3"/>
  <c r="G1385" i="3"/>
  <c r="G1384" i="3"/>
  <c r="G1383" i="3"/>
  <c r="G1382" i="3"/>
  <c r="G1381" i="3"/>
  <c r="G1380" i="3"/>
  <c r="G1379" i="3"/>
  <c r="G1378" i="3"/>
  <c r="G1377" i="3"/>
  <c r="G1376" i="3"/>
  <c r="G1375" i="3"/>
  <c r="G1374" i="3"/>
  <c r="G1373" i="3"/>
  <c r="G1372" i="3"/>
  <c r="G1371" i="3"/>
  <c r="G1370" i="3"/>
  <c r="G1369" i="3"/>
  <c r="G1368" i="3"/>
  <c r="G1367" i="3"/>
  <c r="G1366" i="3"/>
  <c r="G1365" i="3"/>
  <c r="G1364" i="3"/>
  <c r="G1363" i="3"/>
  <c r="G1362" i="3"/>
  <c r="G1361" i="3"/>
  <c r="G1360" i="3"/>
  <c r="G1359" i="3"/>
  <c r="G1358" i="3"/>
  <c r="G1357" i="3"/>
  <c r="G1356" i="3"/>
  <c r="G1355" i="3"/>
  <c r="G1354" i="3"/>
  <c r="G1353" i="3"/>
  <c r="G1352" i="3"/>
  <c r="G1351" i="3"/>
  <c r="G1350" i="3"/>
  <c r="G1349" i="3"/>
  <c r="G1348" i="3"/>
  <c r="G1347" i="3"/>
  <c r="G1346" i="3"/>
  <c r="G1345" i="3"/>
  <c r="G1344" i="3"/>
  <c r="G1343" i="3"/>
  <c r="G1342" i="3"/>
  <c r="G1341" i="3"/>
  <c r="G1340" i="3"/>
  <c r="G1339" i="3"/>
  <c r="G1338" i="3"/>
  <c r="G1337" i="3"/>
  <c r="G1336" i="3"/>
  <c r="G1335" i="3"/>
  <c r="G1334" i="3"/>
  <c r="G1333" i="3"/>
  <c r="G1332" i="3"/>
  <c r="G1331" i="3"/>
  <c r="G1330" i="3"/>
  <c r="G1329" i="3"/>
  <c r="G1328" i="3"/>
  <c r="G1327" i="3"/>
  <c r="G1326" i="3"/>
  <c r="G1325" i="3"/>
  <c r="G1324" i="3"/>
  <c r="G1323" i="3"/>
  <c r="G1322" i="3"/>
  <c r="G1321" i="3"/>
  <c r="G1320" i="3"/>
  <c r="G1319" i="3"/>
  <c r="G1318" i="3"/>
  <c r="G1317" i="3"/>
  <c r="G1316" i="3"/>
  <c r="G1315" i="3"/>
  <c r="G1314" i="3"/>
  <c r="G1313" i="3"/>
  <c r="G1312" i="3"/>
  <c r="G1311" i="3"/>
  <c r="G1310" i="3"/>
  <c r="G1309" i="3"/>
  <c r="G1308" i="3"/>
  <c r="G1307" i="3"/>
  <c r="G1306" i="3"/>
  <c r="G1305" i="3"/>
  <c r="G1304" i="3"/>
  <c r="G1303" i="3"/>
  <c r="G1302" i="3"/>
  <c r="G1301" i="3"/>
  <c r="G1300" i="3"/>
  <c r="G1299" i="3"/>
  <c r="G1298" i="3"/>
  <c r="G1297" i="3"/>
  <c r="G1296" i="3"/>
  <c r="G1295" i="3"/>
  <c r="G1294" i="3"/>
  <c r="G1293" i="3"/>
  <c r="G1292" i="3"/>
  <c r="G1291" i="3"/>
  <c r="G1290" i="3"/>
  <c r="G1289" i="3"/>
  <c r="G1288" i="3"/>
  <c r="G1287" i="3"/>
  <c r="G1286" i="3"/>
  <c r="G1285" i="3"/>
  <c r="G1284" i="3"/>
  <c r="G1283" i="3"/>
  <c r="G1282" i="3"/>
  <c r="G1281" i="3"/>
  <c r="G1280" i="3"/>
  <c r="G1279" i="3"/>
  <c r="G1278" i="3"/>
  <c r="G1277" i="3"/>
  <c r="G1276" i="3"/>
  <c r="G1275" i="3"/>
  <c r="G1274" i="3"/>
  <c r="G1273" i="3"/>
  <c r="G1272" i="3"/>
  <c r="G1271" i="3"/>
  <c r="G1270" i="3"/>
  <c r="G1269" i="3"/>
  <c r="G1268" i="3"/>
  <c r="G1267" i="3"/>
  <c r="G1266" i="3"/>
  <c r="G1265" i="3"/>
  <c r="G1264" i="3"/>
  <c r="G1263" i="3"/>
  <c r="G1262" i="3"/>
  <c r="G1261" i="3"/>
  <c r="G1260" i="3"/>
  <c r="G1259" i="3"/>
  <c r="G1258" i="3"/>
  <c r="G1257" i="3"/>
  <c r="G1256" i="3"/>
  <c r="G1255" i="3"/>
  <c r="G1254" i="3"/>
  <c r="G1253" i="3"/>
  <c r="G1252" i="3"/>
  <c r="G1251" i="3"/>
  <c r="G1250" i="3"/>
  <c r="G1249" i="3"/>
  <c r="G1248" i="3"/>
  <c r="G1247" i="3"/>
  <c r="G1246" i="3"/>
  <c r="G1245" i="3"/>
  <c r="G1244" i="3"/>
  <c r="G1243" i="3"/>
  <c r="G1242" i="3"/>
  <c r="G1241" i="3"/>
  <c r="G1240" i="3"/>
  <c r="G1239" i="3"/>
  <c r="G1238" i="3"/>
  <c r="G1237" i="3"/>
  <c r="G1236" i="3"/>
  <c r="G1235" i="3"/>
  <c r="G1234" i="3"/>
  <c r="G1233" i="3"/>
  <c r="G1232" i="3"/>
  <c r="G1231" i="3"/>
  <c r="G1230" i="3"/>
  <c r="G1229" i="3"/>
  <c r="G1228" i="3"/>
  <c r="G1227" i="3"/>
  <c r="G1226" i="3"/>
  <c r="G1225" i="3"/>
  <c r="G1224" i="3"/>
  <c r="G1223" i="3"/>
  <c r="G1222" i="3"/>
  <c r="G1221" i="3"/>
  <c r="G1220" i="3"/>
  <c r="G1219" i="3"/>
  <c r="G1218" i="3"/>
  <c r="G1217" i="3"/>
  <c r="G1216" i="3"/>
  <c r="G1215" i="3"/>
  <c r="G1214" i="3"/>
  <c r="G1213" i="3"/>
  <c r="G1212" i="3"/>
  <c r="G1211" i="3"/>
  <c r="G1210" i="3"/>
  <c r="G1209" i="3"/>
  <c r="G1208" i="3"/>
  <c r="G1207" i="3"/>
  <c r="G1206" i="3"/>
  <c r="G1205" i="3"/>
  <c r="G1204" i="3"/>
  <c r="G1203" i="3"/>
  <c r="G1202" i="3"/>
  <c r="G1201" i="3"/>
  <c r="G1200" i="3"/>
  <c r="G1199" i="3"/>
  <c r="G1198" i="3"/>
  <c r="G1197" i="3"/>
  <c r="G1196" i="3"/>
  <c r="G1195" i="3"/>
  <c r="G1194" i="3"/>
  <c r="G1193" i="3"/>
  <c r="G1192" i="3"/>
  <c r="G1191" i="3"/>
  <c r="G1190" i="3"/>
  <c r="G1189" i="3"/>
  <c r="G1188" i="3"/>
  <c r="G1187" i="3"/>
  <c r="G1186" i="3"/>
  <c r="G1185" i="3"/>
  <c r="G1184" i="3"/>
  <c r="G1183" i="3"/>
  <c r="G1182" i="3"/>
  <c r="G1181" i="3"/>
  <c r="G1180" i="3"/>
  <c r="G1179" i="3"/>
  <c r="G1178" i="3"/>
  <c r="G1177" i="3"/>
  <c r="G1176" i="3"/>
  <c r="G1175" i="3"/>
  <c r="G1174" i="3"/>
  <c r="G1173" i="3"/>
  <c r="G1172" i="3"/>
  <c r="G1171" i="3"/>
  <c r="G1170" i="3"/>
  <c r="G1169" i="3"/>
  <c r="G1168" i="3"/>
  <c r="G1167" i="3"/>
  <c r="G1166" i="3"/>
  <c r="G1165" i="3"/>
  <c r="G1164" i="3"/>
  <c r="G1163" i="3"/>
  <c r="G1162" i="3"/>
  <c r="G1161" i="3"/>
  <c r="G1160" i="3"/>
  <c r="G1159" i="3"/>
  <c r="G1158" i="3"/>
  <c r="G1157" i="3"/>
  <c r="G1156" i="3"/>
  <c r="G1155" i="3"/>
  <c r="G1154" i="3"/>
  <c r="G1153" i="3"/>
  <c r="G1152" i="3"/>
  <c r="G1151" i="3"/>
  <c r="G1150" i="3"/>
  <c r="G1149" i="3"/>
  <c r="G1148" i="3"/>
  <c r="G1147" i="3"/>
  <c r="G1146" i="3"/>
  <c r="G1145" i="3"/>
  <c r="G1144" i="3"/>
  <c r="G1143" i="3"/>
  <c r="G1142" i="3"/>
  <c r="G1141" i="3"/>
  <c r="G1140" i="3"/>
  <c r="G1139" i="3"/>
  <c r="G1138" i="3"/>
  <c r="G1137" i="3"/>
  <c r="G1136" i="3"/>
  <c r="G1135" i="3"/>
  <c r="G1134" i="3"/>
  <c r="G1133" i="3"/>
  <c r="G1132" i="3"/>
  <c r="G1131" i="3"/>
  <c r="G1130" i="3"/>
  <c r="G1129" i="3"/>
  <c r="G1128" i="3"/>
  <c r="G1127" i="3"/>
  <c r="G1126" i="3"/>
  <c r="G1125" i="3"/>
  <c r="G1124" i="3"/>
  <c r="G1123" i="3"/>
  <c r="G1122" i="3"/>
  <c r="G1121" i="3"/>
  <c r="G1120" i="3"/>
  <c r="G1119" i="3"/>
  <c r="G1118" i="3"/>
  <c r="G1117" i="3"/>
  <c r="G1116" i="3"/>
  <c r="G1115" i="3"/>
  <c r="G1114" i="3"/>
  <c r="G1113" i="3"/>
  <c r="G1112" i="3"/>
  <c r="G1111" i="3"/>
  <c r="G1110" i="3"/>
  <c r="G1109" i="3"/>
  <c r="G1108" i="3"/>
  <c r="G1107" i="3"/>
  <c r="G1106" i="3"/>
  <c r="G1105" i="3"/>
  <c r="G1104" i="3"/>
  <c r="G1103" i="3"/>
  <c r="G1102" i="3"/>
  <c r="G1101" i="3"/>
  <c r="G1100" i="3"/>
  <c r="G1099" i="3"/>
  <c r="G1098" i="3"/>
  <c r="G1097" i="3"/>
  <c r="G1096" i="3"/>
  <c r="G1095" i="3"/>
  <c r="G1094" i="3"/>
  <c r="G1093" i="3"/>
  <c r="G1092" i="3"/>
  <c r="G1091" i="3"/>
  <c r="G1090" i="3"/>
  <c r="G1089" i="3"/>
  <c r="G1088" i="3"/>
  <c r="G1087" i="3"/>
  <c r="G1086" i="3"/>
  <c r="G1085" i="3"/>
  <c r="G1084" i="3"/>
  <c r="G1083" i="3"/>
  <c r="G1082" i="3"/>
  <c r="G1081" i="3"/>
  <c r="G1080" i="3"/>
  <c r="G1079" i="3"/>
  <c r="G1078" i="3"/>
  <c r="G1077" i="3"/>
  <c r="G1076" i="3"/>
  <c r="G1075" i="3"/>
  <c r="G1074" i="3"/>
  <c r="G1073" i="3"/>
  <c r="G1072" i="3"/>
  <c r="G1071" i="3"/>
  <c r="G1070" i="3"/>
  <c r="G1069" i="3"/>
  <c r="G1068" i="3"/>
  <c r="G1067" i="3"/>
  <c r="G1066" i="3"/>
  <c r="G1065" i="3"/>
  <c r="G1064" i="3"/>
  <c r="G1063" i="3"/>
  <c r="G1062" i="3"/>
  <c r="G1061" i="3"/>
  <c r="G1060" i="3"/>
  <c r="G1059" i="3"/>
  <c r="G1058" i="3"/>
  <c r="G1057" i="3"/>
  <c r="G1056" i="3"/>
  <c r="G1055" i="3"/>
  <c r="G1054" i="3"/>
  <c r="G1053" i="3"/>
  <c r="G1052" i="3"/>
  <c r="G1051" i="3"/>
  <c r="G1050" i="3"/>
  <c r="G1049" i="3"/>
  <c r="G1048" i="3"/>
  <c r="G1047" i="3"/>
  <c r="G1046" i="3"/>
  <c r="G1045" i="3"/>
  <c r="G1044" i="3"/>
  <c r="G1043" i="3"/>
  <c r="G1042" i="3"/>
  <c r="G1041" i="3"/>
  <c r="G1040" i="3"/>
  <c r="G1039" i="3"/>
  <c r="G1038" i="3"/>
  <c r="G1037" i="3"/>
  <c r="G1036" i="3"/>
  <c r="G1035" i="3"/>
  <c r="G1034" i="3"/>
  <c r="G1033" i="3"/>
  <c r="G1032" i="3"/>
  <c r="G1031" i="3"/>
  <c r="G1030" i="3"/>
  <c r="G1029" i="3"/>
  <c r="G1028" i="3"/>
  <c r="G1027" i="3"/>
  <c r="G1026" i="3"/>
  <c r="G1025" i="3"/>
  <c r="G1024" i="3"/>
  <c r="G1023" i="3"/>
  <c r="G1022" i="3"/>
  <c r="G1021" i="3"/>
  <c r="G1020" i="3"/>
  <c r="G1019" i="3"/>
  <c r="G1018" i="3"/>
  <c r="G1017" i="3"/>
  <c r="G1016" i="3"/>
  <c r="G1015" i="3"/>
  <c r="G1014" i="3"/>
  <c r="G1013" i="3"/>
  <c r="G1012" i="3"/>
  <c r="G1011" i="3"/>
  <c r="G1010" i="3"/>
  <c r="G1009" i="3"/>
  <c r="G1008" i="3"/>
  <c r="G1007" i="3"/>
  <c r="G1006" i="3"/>
  <c r="G1005" i="3"/>
  <c r="G1004" i="3"/>
  <c r="G1003" i="3"/>
  <c r="G1002" i="3"/>
  <c r="G1001" i="3"/>
  <c r="G1000" i="3"/>
  <c r="G999" i="3"/>
  <c r="G998" i="3"/>
  <c r="G997" i="3"/>
  <c r="G996" i="3"/>
  <c r="G995" i="3"/>
  <c r="G994" i="3"/>
  <c r="G993" i="3"/>
  <c r="G992" i="3"/>
  <c r="G991" i="3"/>
  <c r="G990" i="3"/>
  <c r="G989" i="3"/>
  <c r="G988" i="3"/>
  <c r="G987" i="3"/>
  <c r="G986" i="3"/>
  <c r="G985" i="3"/>
  <c r="G984" i="3"/>
  <c r="G983" i="3"/>
  <c r="G982" i="3"/>
  <c r="G981" i="3"/>
  <c r="G980" i="3"/>
  <c r="G979" i="3"/>
  <c r="G978" i="3"/>
  <c r="G977" i="3"/>
  <c r="G976" i="3"/>
  <c r="G975" i="3"/>
  <c r="G974" i="3"/>
  <c r="G973" i="3"/>
  <c r="G972" i="3"/>
  <c r="G971" i="3"/>
  <c r="G970" i="3"/>
  <c r="G969" i="3"/>
  <c r="G968" i="3"/>
  <c r="G967" i="3"/>
  <c r="G966" i="3"/>
  <c r="G965" i="3"/>
  <c r="G964" i="3"/>
  <c r="G963" i="3"/>
  <c r="G962" i="3"/>
  <c r="G961" i="3"/>
  <c r="G960" i="3"/>
  <c r="G959" i="3"/>
  <c r="G958" i="3"/>
  <c r="G957" i="3"/>
  <c r="G956" i="3"/>
  <c r="G955" i="3"/>
  <c r="G954" i="3"/>
  <c r="G953" i="3"/>
  <c r="G952" i="3"/>
  <c r="G951" i="3"/>
  <c r="G950" i="3"/>
  <c r="G949" i="3"/>
  <c r="G948" i="3"/>
  <c r="G947" i="3"/>
  <c r="G946" i="3"/>
  <c r="G945" i="3"/>
  <c r="G944" i="3"/>
  <c r="G943" i="3"/>
  <c r="G942" i="3"/>
  <c r="G941" i="3"/>
  <c r="G940" i="3"/>
  <c r="G939" i="3"/>
  <c r="G938" i="3"/>
  <c r="G937" i="3"/>
  <c r="G936" i="3"/>
  <c r="G935" i="3"/>
  <c r="G934" i="3"/>
  <c r="G933" i="3"/>
  <c r="G932" i="3"/>
  <c r="G931" i="3"/>
  <c r="G930" i="3"/>
  <c r="G929" i="3"/>
  <c r="G928" i="3"/>
  <c r="G927" i="3"/>
  <c r="G926" i="3"/>
  <c r="G925" i="3"/>
  <c r="G924" i="3"/>
  <c r="G923" i="3"/>
  <c r="G922" i="3"/>
  <c r="G921" i="3"/>
  <c r="G920" i="3"/>
  <c r="G919" i="3"/>
  <c r="G918" i="3"/>
  <c r="G917" i="3"/>
  <c r="G916" i="3"/>
  <c r="G915" i="3"/>
  <c r="G914" i="3"/>
  <c r="G913" i="3"/>
  <c r="G912" i="3"/>
  <c r="G911" i="3"/>
  <c r="G910" i="3"/>
  <c r="G909" i="3"/>
  <c r="G908" i="3"/>
  <c r="G907" i="3"/>
  <c r="G906" i="3"/>
  <c r="G905" i="3"/>
  <c r="G904" i="3"/>
  <c r="G903" i="3"/>
  <c r="G902" i="3"/>
  <c r="G901" i="3"/>
  <c r="G900" i="3"/>
  <c r="G899" i="3"/>
  <c r="G898" i="3"/>
  <c r="G897" i="3"/>
  <c r="G896" i="3"/>
  <c r="G895" i="3"/>
  <c r="G894" i="3"/>
  <c r="G893" i="3"/>
  <c r="G892" i="3"/>
  <c r="G891" i="3"/>
  <c r="G890" i="3"/>
  <c r="G889" i="3"/>
  <c r="G888" i="3"/>
  <c r="G887" i="3"/>
  <c r="G886" i="3"/>
  <c r="G885" i="3"/>
  <c r="G884" i="3"/>
  <c r="G883" i="3"/>
  <c r="G882" i="3"/>
  <c r="G881" i="3"/>
  <c r="G880" i="3"/>
  <c r="G879" i="3"/>
  <c r="G878" i="3"/>
  <c r="G877" i="3"/>
  <c r="G876" i="3"/>
  <c r="G875" i="3"/>
  <c r="G874" i="3"/>
  <c r="G873" i="3"/>
  <c r="G872" i="3"/>
  <c r="G871" i="3"/>
  <c r="G870" i="3"/>
  <c r="G869" i="3"/>
  <c r="G868" i="3"/>
  <c r="G867" i="3"/>
  <c r="G866" i="3"/>
  <c r="G865" i="3"/>
  <c r="G864" i="3"/>
  <c r="G863" i="3"/>
  <c r="G862" i="3"/>
  <c r="G861" i="3"/>
  <c r="G860" i="3"/>
  <c r="G859" i="3"/>
  <c r="G858" i="3"/>
  <c r="G857" i="3"/>
  <c r="G856" i="3"/>
  <c r="G855" i="3"/>
  <c r="G854" i="3"/>
  <c r="G853" i="3"/>
  <c r="G852" i="3"/>
  <c r="G851" i="3"/>
  <c r="G850" i="3"/>
  <c r="G849" i="3"/>
  <c r="G848" i="3"/>
  <c r="G847" i="3"/>
  <c r="G846" i="3"/>
  <c r="G845" i="3"/>
  <c r="G844" i="3"/>
  <c r="G843" i="3"/>
  <c r="G842" i="3"/>
  <c r="G841" i="3"/>
  <c r="G840" i="3"/>
  <c r="G839" i="3"/>
  <c r="G838" i="3"/>
  <c r="G837" i="3"/>
  <c r="G836" i="3"/>
  <c r="G835" i="3"/>
  <c r="G834" i="3"/>
  <c r="G833" i="3"/>
  <c r="G832" i="3"/>
  <c r="G831" i="3"/>
  <c r="G830" i="3"/>
  <c r="G829" i="3"/>
  <c r="G828" i="3"/>
  <c r="G827" i="3"/>
  <c r="G826" i="3"/>
  <c r="G825" i="3"/>
  <c r="G824" i="3"/>
  <c r="G823" i="3"/>
  <c r="G822" i="3"/>
  <c r="G821" i="3"/>
  <c r="G820" i="3"/>
  <c r="G819" i="3"/>
  <c r="G818" i="3"/>
  <c r="G817" i="3"/>
  <c r="G816" i="3"/>
  <c r="G815" i="3"/>
  <c r="G814" i="3"/>
  <c r="G813" i="3"/>
  <c r="G812" i="3"/>
  <c r="G811" i="3"/>
  <c r="G810" i="3"/>
  <c r="G809" i="3"/>
  <c r="G808" i="3"/>
  <c r="G807" i="3"/>
  <c r="G806" i="3"/>
  <c r="G805" i="3"/>
  <c r="G804" i="3"/>
  <c r="G803" i="3"/>
  <c r="G802" i="3"/>
  <c r="G801" i="3"/>
  <c r="G800" i="3"/>
  <c r="G799" i="3"/>
  <c r="G798" i="3"/>
  <c r="G797" i="3"/>
  <c r="G796" i="3"/>
  <c r="G795" i="3"/>
  <c r="G794" i="3"/>
  <c r="G793" i="3"/>
  <c r="G792" i="3"/>
  <c r="G791" i="3"/>
  <c r="G790" i="3"/>
  <c r="G789" i="3"/>
  <c r="G788" i="3"/>
  <c r="G787" i="3"/>
  <c r="G786" i="3"/>
  <c r="G785" i="3"/>
  <c r="G784" i="3"/>
  <c r="G783" i="3"/>
  <c r="G782" i="3"/>
  <c r="G781" i="3"/>
  <c r="G780" i="3"/>
  <c r="G779" i="3"/>
  <c r="G778" i="3"/>
  <c r="G777" i="3"/>
  <c r="G776" i="3"/>
  <c r="G775" i="3"/>
  <c r="G774" i="3"/>
  <c r="G773" i="3"/>
  <c r="G772" i="3"/>
  <c r="G771" i="3"/>
  <c r="G770" i="3"/>
  <c r="G769" i="3"/>
  <c r="G768" i="3"/>
  <c r="G767" i="3"/>
  <c r="G766" i="3"/>
  <c r="G765" i="3"/>
  <c r="G764" i="3"/>
  <c r="G763" i="3"/>
  <c r="G762" i="3"/>
  <c r="G761" i="3"/>
  <c r="G760" i="3"/>
  <c r="G759" i="3"/>
  <c r="G758" i="3"/>
  <c r="G757" i="3"/>
  <c r="G756" i="3"/>
  <c r="G755" i="3"/>
  <c r="G754" i="3"/>
  <c r="G753" i="3"/>
  <c r="G752" i="3"/>
  <c r="G751" i="3"/>
  <c r="G750" i="3"/>
  <c r="G749" i="3"/>
  <c r="G748" i="3"/>
  <c r="G747" i="3"/>
  <c r="G746" i="3"/>
  <c r="G745" i="3"/>
  <c r="G744" i="3"/>
  <c r="G743" i="3"/>
  <c r="G742" i="3"/>
  <c r="G741" i="3"/>
  <c r="G740" i="3"/>
  <c r="G739" i="3"/>
  <c r="G738" i="3"/>
  <c r="G737" i="3"/>
  <c r="G736" i="3"/>
  <c r="G735" i="3"/>
  <c r="G734" i="3"/>
  <c r="G733" i="3"/>
  <c r="G732" i="3"/>
  <c r="G731" i="3"/>
  <c r="G730" i="3"/>
  <c r="G729" i="3"/>
  <c r="G728" i="3"/>
  <c r="G727" i="3"/>
  <c r="G726" i="3"/>
  <c r="G725" i="3"/>
  <c r="G724" i="3"/>
  <c r="G723" i="3"/>
  <c r="G722" i="3"/>
  <c r="G721" i="3"/>
  <c r="G720" i="3"/>
  <c r="G719" i="3"/>
  <c r="G718" i="3"/>
  <c r="G717" i="3"/>
  <c r="G716" i="3"/>
  <c r="G715" i="3"/>
  <c r="G714" i="3"/>
  <c r="G713" i="3"/>
  <c r="G712" i="3"/>
  <c r="G711" i="3"/>
  <c r="G710" i="3"/>
  <c r="G709" i="3"/>
  <c r="G708" i="3"/>
  <c r="G707" i="3"/>
  <c r="G706" i="3"/>
  <c r="G705" i="3"/>
  <c r="G704" i="3"/>
  <c r="G703" i="3"/>
  <c r="G702" i="3"/>
  <c r="G701" i="3"/>
  <c r="G700" i="3"/>
  <c r="G699" i="3"/>
  <c r="G698" i="3"/>
  <c r="G697" i="3"/>
  <c r="G696" i="3"/>
  <c r="G695" i="3"/>
  <c r="G694" i="3"/>
  <c r="G693" i="3"/>
  <c r="G692" i="3"/>
  <c r="G691" i="3"/>
  <c r="G690" i="3"/>
  <c r="G689" i="3"/>
  <c r="G688" i="3"/>
  <c r="G687" i="3"/>
  <c r="G686" i="3"/>
  <c r="G685" i="3"/>
  <c r="G684" i="3"/>
  <c r="G683" i="3"/>
  <c r="G682" i="3"/>
  <c r="G681" i="3"/>
  <c r="G680" i="3"/>
  <c r="G679" i="3"/>
  <c r="G678" i="3"/>
  <c r="G677" i="3"/>
  <c r="G676" i="3"/>
  <c r="G675" i="3"/>
  <c r="G674" i="3"/>
  <c r="G673" i="3"/>
  <c r="G672" i="3"/>
  <c r="G671" i="3"/>
  <c r="G670" i="3"/>
  <c r="G669" i="3"/>
  <c r="G668" i="3"/>
  <c r="G667" i="3"/>
  <c r="G666" i="3"/>
  <c r="G665" i="3"/>
  <c r="G664" i="3"/>
  <c r="G663" i="3"/>
  <c r="G662" i="3"/>
  <c r="G661" i="3"/>
  <c r="G660" i="3"/>
  <c r="G659" i="3"/>
  <c r="G658" i="3"/>
  <c r="G657" i="3"/>
  <c r="G656" i="3"/>
  <c r="G655" i="3"/>
  <c r="G654" i="3"/>
  <c r="G653" i="3"/>
  <c r="G652" i="3"/>
  <c r="G651" i="3"/>
  <c r="G650" i="3"/>
  <c r="G649" i="3"/>
  <c r="G648" i="3"/>
  <c r="G647" i="3"/>
  <c r="G646" i="3"/>
  <c r="G645" i="3"/>
  <c r="G644" i="3"/>
  <c r="G643" i="3"/>
  <c r="G642" i="3"/>
  <c r="G641" i="3"/>
  <c r="G640" i="3"/>
  <c r="G639" i="3"/>
  <c r="G638" i="3"/>
  <c r="G637" i="3"/>
  <c r="G636" i="3"/>
  <c r="G635" i="3"/>
  <c r="G634" i="3"/>
  <c r="G633" i="3"/>
  <c r="G632" i="3"/>
  <c r="G631" i="3"/>
  <c r="G630" i="3"/>
  <c r="G629" i="3"/>
  <c r="G628" i="3"/>
  <c r="G627" i="3"/>
  <c r="G626" i="3"/>
  <c r="G625" i="3"/>
  <c r="G624" i="3"/>
  <c r="G623" i="3"/>
  <c r="G622" i="3"/>
  <c r="G621" i="3"/>
  <c r="G620" i="3"/>
  <c r="G619" i="3"/>
  <c r="G618" i="3"/>
  <c r="G617" i="3"/>
  <c r="G616" i="3"/>
  <c r="G615" i="3"/>
  <c r="G614" i="3"/>
  <c r="G613" i="3"/>
  <c r="G612" i="3"/>
  <c r="G611" i="3"/>
  <c r="G610" i="3"/>
  <c r="G609" i="3"/>
  <c r="G608" i="3"/>
  <c r="G607" i="3"/>
  <c r="G606" i="3"/>
  <c r="G605" i="3"/>
  <c r="G604" i="3"/>
  <c r="G603" i="3"/>
  <c r="G602" i="3"/>
  <c r="G601" i="3"/>
  <c r="G600" i="3"/>
  <c r="G599" i="3"/>
  <c r="G598" i="3"/>
  <c r="G597" i="3"/>
  <c r="G596" i="3"/>
  <c r="G595" i="3"/>
  <c r="G594" i="3"/>
  <c r="G593" i="3"/>
  <c r="G592" i="3"/>
  <c r="G591" i="3"/>
  <c r="G590" i="3"/>
  <c r="G589" i="3"/>
  <c r="G588" i="3"/>
  <c r="G587" i="3"/>
  <c r="G586" i="3"/>
  <c r="G585" i="3"/>
  <c r="G584" i="3"/>
  <c r="G583" i="3"/>
  <c r="G582" i="3"/>
  <c r="G581" i="3"/>
  <c r="G580" i="3"/>
  <c r="G579" i="3"/>
  <c r="G578" i="3"/>
  <c r="G577" i="3"/>
  <c r="G576" i="3"/>
  <c r="G575" i="3"/>
  <c r="G574" i="3"/>
  <c r="G573" i="3"/>
  <c r="G572" i="3"/>
  <c r="G571" i="3"/>
  <c r="G570" i="3"/>
  <c r="G569" i="3"/>
  <c r="G568" i="3"/>
  <c r="G567" i="3"/>
  <c r="G566" i="3"/>
  <c r="G565" i="3"/>
  <c r="G564" i="3"/>
  <c r="G563" i="3"/>
  <c r="G562" i="3"/>
  <c r="G561" i="3"/>
  <c r="G560" i="3"/>
  <c r="G559" i="3"/>
  <c r="G558" i="3"/>
  <c r="G557" i="3"/>
  <c r="G556" i="3"/>
  <c r="G555" i="3"/>
  <c r="G554" i="3"/>
  <c r="G553" i="3"/>
  <c r="G552" i="3"/>
  <c r="G551" i="3"/>
  <c r="G550" i="3"/>
  <c r="G549" i="3"/>
  <c r="G548" i="3"/>
  <c r="G547" i="3"/>
  <c r="G546" i="3"/>
  <c r="G545" i="3"/>
  <c r="G544" i="3"/>
  <c r="G543" i="3"/>
  <c r="G542" i="3"/>
  <c r="G541" i="3"/>
  <c r="G540" i="3"/>
  <c r="G539" i="3"/>
  <c r="G538" i="3"/>
  <c r="G537" i="3"/>
  <c r="G536" i="3"/>
  <c r="G535" i="3"/>
  <c r="G534" i="3"/>
  <c r="G533" i="3"/>
  <c r="G532" i="3"/>
  <c r="G531" i="3"/>
  <c r="G530" i="3"/>
  <c r="G529" i="3"/>
  <c r="G528" i="3"/>
  <c r="G527" i="3"/>
  <c r="G526" i="3"/>
  <c r="G525" i="3"/>
  <c r="G524" i="3"/>
  <c r="G523" i="3"/>
  <c r="G522" i="3"/>
  <c r="G521" i="3"/>
  <c r="G520" i="3"/>
  <c r="G519" i="3"/>
  <c r="G518" i="3"/>
  <c r="G517" i="3"/>
  <c r="G516" i="3"/>
  <c r="G515" i="3"/>
  <c r="G514" i="3"/>
  <c r="G513" i="3"/>
  <c r="G512" i="3"/>
  <c r="G511" i="3"/>
  <c r="G510" i="3"/>
  <c r="G509" i="3"/>
  <c r="G508" i="3"/>
  <c r="G507" i="3"/>
  <c r="G506" i="3"/>
  <c r="G505" i="3"/>
  <c r="G504" i="3"/>
  <c r="G503" i="3"/>
  <c r="G502" i="3"/>
  <c r="G501" i="3"/>
  <c r="G500" i="3"/>
  <c r="G499" i="3"/>
  <c r="G498" i="3"/>
  <c r="G497" i="3"/>
  <c r="G496" i="3"/>
  <c r="G495" i="3"/>
  <c r="G494" i="3"/>
  <c r="G493" i="3"/>
  <c r="G492" i="3"/>
  <c r="G491" i="3"/>
  <c r="G490" i="3"/>
  <c r="G489" i="3"/>
  <c r="G488" i="3"/>
  <c r="G487" i="3"/>
  <c r="G486" i="3"/>
  <c r="G485" i="3"/>
  <c r="G484" i="3"/>
  <c r="G483" i="3"/>
  <c r="G482" i="3"/>
  <c r="G481" i="3"/>
  <c r="G480" i="3"/>
  <c r="G479" i="3"/>
  <c r="G478" i="3"/>
  <c r="G477" i="3"/>
  <c r="G476" i="3"/>
  <c r="G475" i="3"/>
  <c r="G474" i="3"/>
  <c r="G473" i="3"/>
  <c r="G472" i="3"/>
  <c r="G471" i="3"/>
  <c r="G470" i="3"/>
  <c r="G469" i="3"/>
  <c r="G468" i="3"/>
  <c r="G467" i="3"/>
  <c r="G466" i="3"/>
  <c r="G465" i="3"/>
  <c r="G464" i="3"/>
  <c r="G463" i="3"/>
  <c r="G462" i="3"/>
  <c r="G461" i="3"/>
  <c r="G460" i="3"/>
  <c r="G459" i="3"/>
  <c r="G458" i="3"/>
  <c r="G457" i="3"/>
  <c r="G456" i="3"/>
  <c r="G455" i="3"/>
  <c r="G454" i="3"/>
  <c r="G453" i="3"/>
  <c r="G452" i="3"/>
  <c r="G451" i="3"/>
  <c r="G450" i="3"/>
  <c r="G449" i="3"/>
  <c r="G448" i="3"/>
  <c r="G447" i="3"/>
  <c r="G446" i="3"/>
  <c r="G445" i="3"/>
  <c r="G444" i="3"/>
  <c r="G443" i="3"/>
  <c r="G442" i="3"/>
  <c r="G441" i="3"/>
  <c r="G440" i="3"/>
  <c r="G439" i="3"/>
  <c r="G438" i="3"/>
  <c r="G437" i="3"/>
  <c r="G436" i="3"/>
  <c r="G435" i="3"/>
  <c r="G434" i="3"/>
  <c r="G433" i="3"/>
  <c r="G432" i="3"/>
  <c r="G431" i="3"/>
  <c r="G430" i="3"/>
  <c r="G429" i="3"/>
  <c r="G428" i="3"/>
  <c r="G427" i="3"/>
  <c r="G426" i="3"/>
  <c r="G425" i="3"/>
  <c r="G424" i="3"/>
  <c r="G423" i="3"/>
  <c r="G422" i="3"/>
  <c r="G421" i="3"/>
  <c r="G420" i="3"/>
  <c r="G419" i="3"/>
  <c r="G418" i="3"/>
  <c r="G417" i="3"/>
  <c r="G416" i="3"/>
  <c r="G415" i="3"/>
  <c r="G414" i="3"/>
  <c r="G413" i="3"/>
  <c r="G412" i="3"/>
  <c r="G411" i="3"/>
  <c r="G410" i="3"/>
  <c r="G409" i="3"/>
  <c r="G408" i="3"/>
  <c r="G407" i="3"/>
  <c r="G406" i="3"/>
  <c r="G405" i="3"/>
  <c r="G404" i="3"/>
  <c r="G403" i="3"/>
  <c r="G402" i="3"/>
  <c r="G401" i="3"/>
  <c r="G400" i="3"/>
  <c r="G399" i="3"/>
  <c r="G398" i="3"/>
  <c r="G397" i="3"/>
  <c r="G396" i="3"/>
  <c r="G395" i="3"/>
  <c r="G394" i="3"/>
  <c r="G393" i="3"/>
  <c r="G392" i="3"/>
  <c r="G391" i="3"/>
  <c r="G390" i="3"/>
  <c r="G389" i="3"/>
  <c r="G388" i="3"/>
  <c r="G387" i="3"/>
  <c r="G386" i="3"/>
  <c r="G385" i="3"/>
  <c r="G384" i="3"/>
  <c r="G383" i="3"/>
  <c r="G382" i="3"/>
  <c r="G381" i="3"/>
  <c r="G380" i="3"/>
  <c r="G379" i="3"/>
  <c r="G378" i="3"/>
  <c r="G377" i="3"/>
  <c r="G376" i="3"/>
  <c r="G375" i="3"/>
  <c r="G374" i="3"/>
  <c r="G373" i="3"/>
  <c r="G372" i="3"/>
  <c r="G371" i="3"/>
  <c r="G370" i="3"/>
  <c r="G369" i="3"/>
  <c r="G368" i="3"/>
  <c r="G367" i="3"/>
  <c r="G366" i="3"/>
  <c r="G365" i="3"/>
  <c r="G364" i="3"/>
  <c r="G363" i="3"/>
  <c r="G362" i="3"/>
  <c r="G361" i="3"/>
  <c r="G360" i="3"/>
  <c r="G359" i="3"/>
  <c r="G358" i="3"/>
  <c r="G357" i="3"/>
  <c r="G356" i="3"/>
  <c r="G355" i="3"/>
  <c r="G354" i="3"/>
  <c r="G353" i="3"/>
  <c r="G352" i="3"/>
  <c r="G351" i="3"/>
  <c r="G350" i="3"/>
  <c r="G349" i="3"/>
  <c r="G348" i="3"/>
  <c r="G347" i="3"/>
  <c r="G346" i="3"/>
  <c r="G345" i="3"/>
  <c r="G344" i="3"/>
  <c r="G343" i="3"/>
  <c r="G342" i="3"/>
  <c r="G341" i="3"/>
  <c r="G340" i="3"/>
  <c r="G339" i="3"/>
  <c r="G338" i="3"/>
  <c r="G337" i="3"/>
  <c r="G336" i="3"/>
  <c r="G335" i="3"/>
  <c r="G334" i="3"/>
  <c r="G333" i="3"/>
  <c r="G332" i="3"/>
  <c r="G331" i="3"/>
  <c r="G330" i="3"/>
  <c r="G329" i="3"/>
  <c r="G328" i="3"/>
  <c r="G327" i="3"/>
  <c r="G326" i="3"/>
  <c r="G325" i="3"/>
  <c r="G324" i="3"/>
  <c r="G323" i="3"/>
  <c r="G322" i="3"/>
  <c r="G321" i="3"/>
  <c r="G320" i="3"/>
  <c r="G319" i="3"/>
  <c r="G318" i="3"/>
  <c r="G317" i="3"/>
  <c r="G316" i="3"/>
  <c r="G315" i="3"/>
  <c r="G314" i="3"/>
  <c r="G313" i="3"/>
  <c r="G312" i="3"/>
  <c r="G311" i="3"/>
  <c r="G310" i="3"/>
  <c r="G309" i="3"/>
  <c r="G308" i="3"/>
  <c r="G307" i="3"/>
  <c r="G306" i="3"/>
  <c r="G305" i="3"/>
  <c r="G304" i="3"/>
  <c r="G303" i="3"/>
  <c r="G302" i="3"/>
  <c r="G301" i="3"/>
  <c r="G300" i="3"/>
  <c r="G299" i="3"/>
  <c r="G298" i="3"/>
  <c r="G297" i="3"/>
  <c r="G296" i="3"/>
  <c r="G295" i="3"/>
  <c r="G294" i="3"/>
  <c r="G293" i="3"/>
  <c r="G292" i="3"/>
  <c r="G291" i="3"/>
  <c r="G290" i="3"/>
  <c r="G289" i="3"/>
  <c r="G288" i="3"/>
  <c r="G287" i="3"/>
  <c r="G286" i="3"/>
  <c r="G285" i="3"/>
  <c r="G284" i="3"/>
  <c r="G283" i="3"/>
  <c r="G282" i="3"/>
  <c r="G281" i="3"/>
  <c r="G280" i="3"/>
  <c r="G279" i="3"/>
  <c r="G278" i="3"/>
  <c r="G277" i="3"/>
  <c r="G276" i="3"/>
  <c r="G275" i="3"/>
  <c r="G274" i="3"/>
  <c r="G273" i="3"/>
  <c r="G272" i="3"/>
  <c r="G271" i="3"/>
  <c r="G270" i="3"/>
  <c r="G269" i="3"/>
  <c r="G268" i="3"/>
  <c r="G267" i="3"/>
  <c r="G266" i="3"/>
  <c r="G265" i="3"/>
  <c r="G264" i="3"/>
  <c r="G263" i="3"/>
  <c r="G262" i="3"/>
  <c r="G261" i="3"/>
  <c r="G260" i="3"/>
  <c r="G259" i="3"/>
  <c r="G258" i="3"/>
  <c r="G257" i="3"/>
  <c r="G256" i="3"/>
  <c r="G255" i="3"/>
  <c r="G254" i="3"/>
  <c r="G253" i="3"/>
  <c r="G252" i="3"/>
  <c r="G251" i="3"/>
  <c r="G250" i="3"/>
  <c r="G249" i="3"/>
  <c r="G248" i="3"/>
  <c r="G247" i="3"/>
  <c r="G246" i="3"/>
  <c r="G245" i="3"/>
  <c r="G244" i="3"/>
  <c r="G243" i="3"/>
  <c r="G242" i="3"/>
  <c r="G241" i="3"/>
  <c r="G240" i="3"/>
  <c r="G239" i="3"/>
  <c r="G238" i="3"/>
  <c r="G237" i="3"/>
  <c r="G236" i="3"/>
  <c r="G235" i="3"/>
  <c r="G234" i="3"/>
  <c r="G233" i="3"/>
  <c r="G232" i="3"/>
  <c r="G231" i="3"/>
  <c r="G230" i="3"/>
  <c r="G229" i="3"/>
  <c r="G228" i="3"/>
  <c r="G227" i="3"/>
  <c r="G226" i="3"/>
  <c r="G225" i="3"/>
  <c r="G224" i="3"/>
  <c r="G223" i="3"/>
  <c r="G222" i="3"/>
  <c r="G221" i="3"/>
  <c r="G220" i="3"/>
  <c r="G219" i="3"/>
  <c r="G218" i="3"/>
  <c r="G217" i="3"/>
  <c r="G216" i="3"/>
  <c r="G215" i="3"/>
  <c r="G214" i="3"/>
  <c r="G213" i="3"/>
  <c r="G212" i="3"/>
  <c r="G211" i="3"/>
  <c r="G210" i="3"/>
  <c r="G209" i="3"/>
  <c r="G208" i="3"/>
  <c r="G207" i="3"/>
  <c r="G206" i="3"/>
  <c r="G205" i="3"/>
  <c r="G203" i="3"/>
  <c r="G198" i="3"/>
  <c r="G197" i="3"/>
  <c r="G196" i="3"/>
  <c r="G195" i="3"/>
  <c r="G194" i="3"/>
  <c r="K206" i="3" s="1"/>
  <c r="G193" i="3"/>
  <c r="G192" i="3"/>
  <c r="G191" i="3"/>
  <c r="G190" i="3"/>
  <c r="AH43" i="2"/>
  <c r="AG43" i="2"/>
  <c r="AF43" i="2"/>
  <c r="AE43" i="2"/>
  <c r="AD43" i="2"/>
  <c r="AC43" i="2"/>
  <c r="AB43" i="2"/>
  <c r="AA43" i="2"/>
  <c r="Z43" i="2"/>
  <c r="Y43" i="2"/>
  <c r="X43" i="2"/>
  <c r="W43" i="2"/>
  <c r="V43" i="2"/>
  <c r="U43" i="2"/>
  <c r="T43" i="2"/>
  <c r="BS43" i="2" s="1"/>
  <c r="BS54" i="2" s="1"/>
  <c r="S43" i="2"/>
  <c r="R43" i="2"/>
  <c r="Q43" i="2"/>
  <c r="P43" i="2"/>
  <c r="O43" i="2"/>
  <c r="N43" i="2"/>
  <c r="M43" i="2"/>
  <c r="L43" i="2"/>
  <c r="BQ43" i="2" s="1"/>
  <c r="BQ54" i="2" s="1"/>
  <c r="K43" i="2"/>
  <c r="J43" i="2"/>
  <c r="I43" i="2"/>
  <c r="H43" i="2"/>
  <c r="G43" i="2"/>
  <c r="F43" i="2"/>
  <c r="E43" i="2"/>
  <c r="D43" i="2"/>
  <c r="BO43" i="2" s="1"/>
  <c r="BO54" i="2" s="1"/>
  <c r="C43" i="2"/>
  <c r="BV43" i="2"/>
  <c r="BU93" i="2"/>
  <c r="BV92" i="2"/>
  <c r="BU92" i="2"/>
  <c r="BT92" i="2"/>
  <c r="BS92" i="2"/>
  <c r="BR92" i="2"/>
  <c r="BQ92" i="2"/>
  <c r="BP92" i="2"/>
  <c r="BO92" i="2"/>
  <c r="BV91" i="2"/>
  <c r="BU91" i="2"/>
  <c r="BT91" i="2"/>
  <c r="BS91" i="2"/>
  <c r="BR91" i="2"/>
  <c r="BQ91" i="2"/>
  <c r="BP91" i="2"/>
  <c r="BO91" i="2"/>
  <c r="BS53" i="2"/>
  <c r="BR53" i="2"/>
  <c r="BZ94" i="2"/>
  <c r="BZ93" i="2"/>
  <c r="BZ95" i="2" s="1"/>
  <c r="CA92" i="2"/>
  <c r="BZ92" i="2"/>
  <c r="BY92" i="2"/>
  <c r="BX92" i="2"/>
  <c r="BW92" i="2"/>
  <c r="BW93" i="2" s="1"/>
  <c r="CA91" i="2"/>
  <c r="CA93" i="2" s="1"/>
  <c r="BZ91" i="2"/>
  <c r="BY91" i="2"/>
  <c r="BY93" i="2" s="1"/>
  <c r="BY95" i="2" s="1"/>
  <c r="BX91" i="2"/>
  <c r="BX93" i="2" s="1"/>
  <c r="BX95" i="2" s="1"/>
  <c r="BW91" i="2"/>
  <c r="CA77" i="2"/>
  <c r="BZ77" i="2"/>
  <c r="BY77" i="2"/>
  <c r="BX77" i="2"/>
  <c r="BW77" i="2"/>
  <c r="CA75" i="2"/>
  <c r="BZ75" i="2"/>
  <c r="BY75" i="2"/>
  <c r="BX75" i="2"/>
  <c r="BW75" i="2"/>
  <c r="CA72" i="2"/>
  <c r="BZ72" i="2"/>
  <c r="BY72" i="2"/>
  <c r="BX72" i="2"/>
  <c r="BW72" i="2"/>
  <c r="AS95" i="2"/>
  <c r="BB94" i="2"/>
  <c r="BA94" i="2"/>
  <c r="AZ94" i="2"/>
  <c r="AY94" i="2"/>
  <c r="AX94" i="2"/>
  <c r="AW94" i="2"/>
  <c r="AV94" i="2"/>
  <c r="AU94" i="2"/>
  <c r="AT94" i="2"/>
  <c r="AS94" i="2"/>
  <c r="AR94" i="2"/>
  <c r="AQ94" i="2"/>
  <c r="AP94" i="2"/>
  <c r="AO94" i="2"/>
  <c r="AN94" i="2"/>
  <c r="AM94" i="2"/>
  <c r="AL94" i="2"/>
  <c r="AK94" i="2"/>
  <c r="AJ94" i="2"/>
  <c r="AI94" i="2"/>
  <c r="AH94" i="2"/>
  <c r="AG94" i="2"/>
  <c r="AF94" i="2"/>
  <c r="AE94" i="2"/>
  <c r="AD94" i="2"/>
  <c r="AC94" i="2"/>
  <c r="AB94" i="2"/>
  <c r="AA94" i="2"/>
  <c r="Z94" i="2"/>
  <c r="Y94" i="2"/>
  <c r="X94" i="2"/>
  <c r="W94" i="2"/>
  <c r="V94" i="2"/>
  <c r="U94" i="2"/>
  <c r="T94" i="2"/>
  <c r="S94" i="2"/>
  <c r="R94" i="2"/>
  <c r="Q94" i="2"/>
  <c r="P94" i="2"/>
  <c r="O94" i="2"/>
  <c r="N94" i="2"/>
  <c r="M94" i="2"/>
  <c r="L94" i="2"/>
  <c r="K94" i="2"/>
  <c r="BQ94" i="2" s="1"/>
  <c r="J94" i="2"/>
  <c r="I94" i="2"/>
  <c r="H94" i="2"/>
  <c r="G94" i="2"/>
  <c r="F94" i="2"/>
  <c r="E94" i="2"/>
  <c r="C94" i="2"/>
  <c r="BC94" i="2"/>
  <c r="BB93" i="2"/>
  <c r="BB95" i="2" s="1"/>
  <c r="BA93" i="2"/>
  <c r="BA95" i="2" s="1"/>
  <c r="AZ93" i="2"/>
  <c r="AY93" i="2"/>
  <c r="AX93" i="2"/>
  <c r="AW93" i="2"/>
  <c r="AV93" i="2"/>
  <c r="AU93" i="2"/>
  <c r="AU95" i="2" s="1"/>
  <c r="AT93" i="2"/>
  <c r="AT95" i="2" s="1"/>
  <c r="AS93" i="2"/>
  <c r="AR93" i="2"/>
  <c r="AQ93" i="2"/>
  <c r="AP93" i="2"/>
  <c r="AO93" i="2"/>
  <c r="AN93" i="2"/>
  <c r="AM93" i="2"/>
  <c r="AM95" i="2" s="1"/>
  <c r="AL93" i="2"/>
  <c r="AL95" i="2" s="1"/>
  <c r="AK93" i="2"/>
  <c r="AK95" i="2" s="1"/>
  <c r="AJ93" i="2"/>
  <c r="AI93" i="2"/>
  <c r="AH93" i="2"/>
  <c r="AG93" i="2"/>
  <c r="AF93" i="2"/>
  <c r="AE93" i="2"/>
  <c r="BV93" i="2" s="1"/>
  <c r="AD93" i="2"/>
  <c r="AC93" i="2"/>
  <c r="AB93" i="2"/>
  <c r="AA93" i="2"/>
  <c r="Z93" i="2"/>
  <c r="Y93" i="2"/>
  <c r="X93" i="2"/>
  <c r="W93" i="2"/>
  <c r="V93" i="2"/>
  <c r="U93" i="2"/>
  <c r="T93" i="2"/>
  <c r="BS93" i="2" s="1"/>
  <c r="S93" i="2"/>
  <c r="R93" i="2"/>
  <c r="Q93" i="2"/>
  <c r="P93" i="2"/>
  <c r="O93" i="2"/>
  <c r="O95" i="2" s="1"/>
  <c r="N93" i="2"/>
  <c r="N95" i="2" s="1"/>
  <c r="M93" i="2"/>
  <c r="L93" i="2"/>
  <c r="BQ93" i="2" s="1"/>
  <c r="K93" i="2"/>
  <c r="J93" i="2"/>
  <c r="I93" i="2"/>
  <c r="H93" i="2"/>
  <c r="G93" i="2"/>
  <c r="BP93" i="2" s="1"/>
  <c r="F93" i="2"/>
  <c r="E93" i="2"/>
  <c r="D93" i="2"/>
  <c r="C93" i="2"/>
  <c r="BC93" i="2"/>
  <c r="BZ84" i="2"/>
  <c r="AV86" i="2"/>
  <c r="BB85" i="2"/>
  <c r="BA85" i="2"/>
  <c r="AZ85" i="2"/>
  <c r="AY85" i="2"/>
  <c r="AX85" i="2"/>
  <c r="AW85" i="2"/>
  <c r="AV85" i="2"/>
  <c r="AU85" i="2"/>
  <c r="AT85" i="2"/>
  <c r="AS85" i="2"/>
  <c r="AR85" i="2"/>
  <c r="AQ85" i="2"/>
  <c r="AP85" i="2"/>
  <c r="AO85" i="2"/>
  <c r="AN85" i="2"/>
  <c r="AM85" i="2"/>
  <c r="AL85" i="2"/>
  <c r="BB84" i="2"/>
  <c r="BA84" i="2"/>
  <c r="AZ84" i="2"/>
  <c r="AY84" i="2"/>
  <c r="AX84" i="2"/>
  <c r="AW84" i="2"/>
  <c r="AV84" i="2"/>
  <c r="AU84" i="2"/>
  <c r="AT84" i="2"/>
  <c r="AS84" i="2"/>
  <c r="AR84" i="2"/>
  <c r="AQ84" i="2"/>
  <c r="AP84" i="2"/>
  <c r="AO84" i="2"/>
  <c r="AN84" i="2"/>
  <c r="AM84" i="2"/>
  <c r="AL84" i="2"/>
  <c r="BC85" i="2"/>
  <c r="BC84" i="2"/>
  <c r="BW79" i="2"/>
  <c r="BW66" i="2"/>
  <c r="BX79" i="2"/>
  <c r="BX66" i="2"/>
  <c r="BY79" i="2"/>
  <c r="CA66" i="2"/>
  <c r="BZ66" i="2"/>
  <c r="BY66" i="2"/>
  <c r="BB80" i="2"/>
  <c r="BB82" i="2" s="1"/>
  <c r="BA80" i="2"/>
  <c r="BA82" i="2" s="1"/>
  <c r="AZ80" i="2"/>
  <c r="AZ82" i="2" s="1"/>
  <c r="AY80" i="2"/>
  <c r="AY82" i="2" s="1"/>
  <c r="AX80" i="2"/>
  <c r="AX82" i="2" s="1"/>
  <c r="AW80" i="2"/>
  <c r="AW82" i="2" s="1"/>
  <c r="AV80" i="2"/>
  <c r="AV82" i="2" s="1"/>
  <c r="AU80" i="2"/>
  <c r="AU82" i="2" s="1"/>
  <c r="AT80" i="2"/>
  <c r="BY80" i="2" s="1"/>
  <c r="AS80" i="2"/>
  <c r="AS82" i="2" s="1"/>
  <c r="AR80" i="2"/>
  <c r="AR82" i="2" s="1"/>
  <c r="AQ80" i="2"/>
  <c r="AQ82" i="2" s="1"/>
  <c r="AP80" i="2"/>
  <c r="AP82" i="2" s="1"/>
  <c r="AO80" i="2"/>
  <c r="AO82" i="2" s="1"/>
  <c r="AN80" i="2"/>
  <c r="AN82" i="2" s="1"/>
  <c r="AM80" i="2"/>
  <c r="AM82" i="2" s="1"/>
  <c r="AL80" i="2"/>
  <c r="BW80" i="2" s="1"/>
  <c r="BB69" i="2"/>
  <c r="BA69" i="2"/>
  <c r="AZ69" i="2"/>
  <c r="AY69" i="2"/>
  <c r="BZ79" i="2"/>
  <c r="CA79" i="2"/>
  <c r="BC80" i="2"/>
  <c r="BC82" i="2" s="1"/>
  <c r="BU49" i="2"/>
  <c r="BT49" i="2"/>
  <c r="BS49" i="2"/>
  <c r="BR49" i="2"/>
  <c r="BQ49" i="2"/>
  <c r="BP49" i="2"/>
  <c r="BO49" i="2"/>
  <c r="BO94" i="2" s="1"/>
  <c r="BV49" i="2"/>
  <c r="BZ49" i="2"/>
  <c r="BY49" i="2"/>
  <c r="BY94" i="2" s="1"/>
  <c r="BX49" i="2"/>
  <c r="BX94" i="2" s="1"/>
  <c r="BW49" i="2"/>
  <c r="BW94" i="2" s="1"/>
  <c r="CA49" i="2"/>
  <c r="CA94" i="2" s="1"/>
  <c r="BC69" i="2"/>
  <c r="AX69" i="2"/>
  <c r="AW69" i="2"/>
  <c r="AV69" i="2"/>
  <c r="AU69" i="2"/>
  <c r="AT69" i="2"/>
  <c r="AS69" i="2"/>
  <c r="AR69" i="2"/>
  <c r="AQ69" i="2"/>
  <c r="AP69" i="2"/>
  <c r="AO69" i="2"/>
  <c r="AN69" i="2"/>
  <c r="AM69" i="2"/>
  <c r="AL69" i="2"/>
  <c r="CA81" i="2"/>
  <c r="BZ81" i="2"/>
  <c r="BY81" i="2"/>
  <c r="BX81" i="2"/>
  <c r="BW81" i="2"/>
  <c r="CA78" i="2"/>
  <c r="BZ78" i="2"/>
  <c r="BY78" i="2"/>
  <c r="BX78" i="2"/>
  <c r="BW78" i="2"/>
  <c r="CA76" i="2"/>
  <c r="BZ76" i="2"/>
  <c r="BY76" i="2"/>
  <c r="BX76" i="2"/>
  <c r="BW76" i="2"/>
  <c r="CA74" i="2"/>
  <c r="BZ74" i="2"/>
  <c r="BY74" i="2"/>
  <c r="BY84" i="2" s="1"/>
  <c r="BX74" i="2"/>
  <c r="BW74" i="2"/>
  <c r="CA73" i="2"/>
  <c r="BZ73" i="2"/>
  <c r="BY73" i="2"/>
  <c r="BX73" i="2"/>
  <c r="BW73" i="2"/>
  <c r="CA71" i="2"/>
  <c r="BZ71" i="2"/>
  <c r="BY71" i="2"/>
  <c r="BX71" i="2"/>
  <c r="BW71" i="2"/>
  <c r="CA69" i="2"/>
  <c r="BZ69" i="2"/>
  <c r="BY69" i="2"/>
  <c r="BX69" i="2"/>
  <c r="BW69" i="2"/>
  <c r="CA68" i="2"/>
  <c r="BZ68" i="2"/>
  <c r="BY68" i="2"/>
  <c r="BX68" i="2"/>
  <c r="BW68" i="2"/>
  <c r="CA67" i="2"/>
  <c r="BZ67" i="2"/>
  <c r="BY67" i="2"/>
  <c r="BX67" i="2"/>
  <c r="BW67" i="2"/>
  <c r="CA65" i="2"/>
  <c r="BZ65" i="2"/>
  <c r="BY65" i="2"/>
  <c r="BX65" i="2"/>
  <c r="BW65" i="2"/>
  <c r="CA64" i="2"/>
  <c r="BZ64" i="2"/>
  <c r="BY64" i="2"/>
  <c r="BX64" i="2"/>
  <c r="BW64" i="2"/>
  <c r="CA63" i="2"/>
  <c r="BZ63" i="2"/>
  <c r="BY63" i="2"/>
  <c r="BX63" i="2"/>
  <c r="BW63" i="2"/>
  <c r="CA62" i="2"/>
  <c r="BZ62" i="2"/>
  <c r="BY62" i="2"/>
  <c r="BX62" i="2"/>
  <c r="BW62" i="2"/>
  <c r="CA61" i="2"/>
  <c r="BZ61" i="2"/>
  <c r="BY61" i="2"/>
  <c r="BX61" i="2"/>
  <c r="BW61" i="2"/>
  <c r="CA60" i="2"/>
  <c r="BZ60" i="2"/>
  <c r="BY60" i="2"/>
  <c r="BX60" i="2"/>
  <c r="BW60" i="2"/>
  <c r="BW59" i="2"/>
  <c r="BX59" i="2"/>
  <c r="BX84" i="2" s="1"/>
  <c r="BY59" i="2"/>
  <c r="BY85" i="2" s="1"/>
  <c r="BZ59" i="2"/>
  <c r="BZ85" i="2" s="1"/>
  <c r="CA59" i="2"/>
  <c r="BV47" i="2"/>
  <c r="BU47" i="2"/>
  <c r="BT47" i="2"/>
  <c r="BS47" i="2"/>
  <c r="BR47" i="2"/>
  <c r="BQ47" i="2"/>
  <c r="BP47" i="2"/>
  <c r="BO47" i="2"/>
  <c r="BV45" i="2"/>
  <c r="BU45" i="2"/>
  <c r="BT45" i="2"/>
  <c r="BS45" i="2"/>
  <c r="BR45" i="2"/>
  <c r="BQ45" i="2"/>
  <c r="BP45" i="2"/>
  <c r="BO45" i="2"/>
  <c r="BR43" i="2"/>
  <c r="BR54" i="2" s="1"/>
  <c r="BP43" i="2"/>
  <c r="BP54" i="2" s="1"/>
  <c r="BV42" i="2"/>
  <c r="BU42" i="2"/>
  <c r="BT42" i="2"/>
  <c r="BS42" i="2"/>
  <c r="BR42" i="2"/>
  <c r="BQ42" i="2"/>
  <c r="BP42" i="2"/>
  <c r="BO42" i="2"/>
  <c r="BV41" i="2"/>
  <c r="BU41" i="2"/>
  <c r="BT41" i="2"/>
  <c r="BS41" i="2"/>
  <c r="BR41" i="2"/>
  <c r="BQ41" i="2"/>
  <c r="BP41" i="2"/>
  <c r="BO41" i="2"/>
  <c r="BV40" i="2"/>
  <c r="BV53" i="2" s="1"/>
  <c r="BU40" i="2"/>
  <c r="BU53" i="2" s="1"/>
  <c r="BT40" i="2"/>
  <c r="BT53" i="2" s="1"/>
  <c r="BS40" i="2"/>
  <c r="BR40" i="2"/>
  <c r="BQ40" i="2"/>
  <c r="BQ53" i="2" s="1"/>
  <c r="BP40" i="2"/>
  <c r="BP53" i="2" s="1"/>
  <c r="BO40" i="2"/>
  <c r="BO53" i="2" s="1"/>
  <c r="BV38" i="2"/>
  <c r="BU38" i="2"/>
  <c r="BT38" i="2"/>
  <c r="BS38" i="2"/>
  <c r="BR38" i="2"/>
  <c r="BQ38" i="2"/>
  <c r="BP38" i="2"/>
  <c r="BO38" i="2"/>
  <c r="BV37" i="2"/>
  <c r="BU37" i="2"/>
  <c r="BT37" i="2"/>
  <c r="BS37" i="2"/>
  <c r="BR37" i="2"/>
  <c r="BQ37" i="2"/>
  <c r="BP37" i="2"/>
  <c r="BO37" i="2"/>
  <c r="AL47" i="2"/>
  <c r="BW47" i="2" s="1"/>
  <c r="AL45" i="2"/>
  <c r="BW45" i="2" s="1"/>
  <c r="AL42" i="2"/>
  <c r="BW42" i="2" s="1"/>
  <c r="AL41" i="2"/>
  <c r="AL40" i="2"/>
  <c r="BW40" i="2" s="1"/>
  <c r="AL38" i="2"/>
  <c r="BW38" i="2" s="1"/>
  <c r="AP47" i="2"/>
  <c r="BX47" i="2" s="1"/>
  <c r="AP45" i="2"/>
  <c r="BX45" i="2" s="1"/>
  <c r="AP42" i="2"/>
  <c r="BX42" i="2" s="1"/>
  <c r="AP41" i="2"/>
  <c r="AP40" i="2"/>
  <c r="BX40" i="2" s="1"/>
  <c r="AP38" i="2"/>
  <c r="BX38" i="2" s="1"/>
  <c r="AT47" i="2"/>
  <c r="BY47" i="2" s="1"/>
  <c r="AT45" i="2"/>
  <c r="BY45" i="2" s="1"/>
  <c r="AT42" i="2"/>
  <c r="BY42" i="2" s="1"/>
  <c r="AT41" i="2"/>
  <c r="BY41" i="2" s="1"/>
  <c r="AT40" i="2"/>
  <c r="BY40" i="2" s="1"/>
  <c r="AT38" i="2"/>
  <c r="BY38" i="2" s="1"/>
  <c r="AX41" i="2"/>
  <c r="BZ41" i="2" s="1"/>
  <c r="AX47" i="2"/>
  <c r="BZ47" i="2" s="1"/>
  <c r="AX45" i="2"/>
  <c r="BZ45" i="2" s="1"/>
  <c r="AX42" i="2"/>
  <c r="AX40" i="2"/>
  <c r="BZ40" i="2" s="1"/>
  <c r="AX38" i="2"/>
  <c r="BZ38" i="2" s="1"/>
  <c r="BB47" i="2"/>
  <c r="CA47" i="2" s="1"/>
  <c r="BB45" i="2"/>
  <c r="CA45" i="2" s="1"/>
  <c r="CB45" i="2" s="1"/>
  <c r="CC45" i="2" s="1"/>
  <c r="CD45" i="2" s="1"/>
  <c r="CE45" i="2" s="1"/>
  <c r="CF45" i="2" s="1"/>
  <c r="CG45" i="2" s="1"/>
  <c r="CH45" i="2" s="1"/>
  <c r="CI45" i="2" s="1"/>
  <c r="CJ45" i="2" s="1"/>
  <c r="CK45" i="2" s="1"/>
  <c r="BB42" i="2"/>
  <c r="CA42" i="2" s="1"/>
  <c r="BB41" i="2"/>
  <c r="CA41" i="2" s="1"/>
  <c r="BB40" i="2"/>
  <c r="CA40" i="2" s="1"/>
  <c r="BB38" i="2"/>
  <c r="CA38" i="2" s="1"/>
  <c r="BA43" i="2"/>
  <c r="AZ43" i="2"/>
  <c r="AY43" i="2"/>
  <c r="AW43" i="2"/>
  <c r="AV43" i="2"/>
  <c r="AU43" i="2"/>
  <c r="AS43" i="2"/>
  <c r="AR43" i="2"/>
  <c r="AQ43" i="2"/>
  <c r="AO43" i="2"/>
  <c r="AN43" i="2"/>
  <c r="AM43" i="2"/>
  <c r="AK43" i="2"/>
  <c r="AJ43" i="2"/>
  <c r="AI43" i="2"/>
  <c r="BC43" i="2"/>
  <c r="BA29" i="2"/>
  <c r="AZ29" i="2"/>
  <c r="AY29" i="2"/>
  <c r="AW29" i="2"/>
  <c r="AV29" i="2"/>
  <c r="AU29" i="2"/>
  <c r="AS29" i="2"/>
  <c r="AR29" i="2"/>
  <c r="AQ29" i="2"/>
  <c r="AO29" i="2"/>
  <c r="AN29" i="2"/>
  <c r="AM29" i="2"/>
  <c r="BA28" i="2"/>
  <c r="AZ28" i="2"/>
  <c r="AY28" i="2"/>
  <c r="AW28" i="2"/>
  <c r="AV28" i="2"/>
  <c r="AU28" i="2"/>
  <c r="AS28" i="2"/>
  <c r="AR28" i="2"/>
  <c r="AQ28" i="2"/>
  <c r="AO28" i="2"/>
  <c r="AN28" i="2"/>
  <c r="AM28" i="2"/>
  <c r="BA27" i="2"/>
  <c r="AZ27" i="2"/>
  <c r="AY27" i="2"/>
  <c r="AW27" i="2"/>
  <c r="AV27" i="2"/>
  <c r="AU27" i="2"/>
  <c r="AS27" i="2"/>
  <c r="AR27" i="2"/>
  <c r="AQ27" i="2"/>
  <c r="AO27" i="2"/>
  <c r="AN27" i="2"/>
  <c r="AM27" i="2"/>
  <c r="BA26" i="2"/>
  <c r="AZ26" i="2"/>
  <c r="AY26" i="2"/>
  <c r="AW26" i="2"/>
  <c r="AV26" i="2"/>
  <c r="AU26" i="2"/>
  <c r="AS26" i="2"/>
  <c r="AR26" i="2"/>
  <c r="AQ26" i="2"/>
  <c r="AO26" i="2"/>
  <c r="AN26" i="2"/>
  <c r="AM26" i="2"/>
  <c r="BC29" i="2"/>
  <c r="BC28" i="2"/>
  <c r="BC27" i="2"/>
  <c r="BC26" i="2"/>
  <c r="AL7" i="2"/>
  <c r="AL5" i="2"/>
  <c r="BA13" i="2"/>
  <c r="AZ13" i="2"/>
  <c r="AY13" i="2"/>
  <c r="AW13" i="2"/>
  <c r="AV13" i="2"/>
  <c r="AU13" i="2"/>
  <c r="AS13" i="2"/>
  <c r="AR13" i="2"/>
  <c r="AQ13" i="2"/>
  <c r="BA11" i="2"/>
  <c r="AZ11" i="2"/>
  <c r="AY11" i="2"/>
  <c r="AW11" i="2"/>
  <c r="AV11" i="2"/>
  <c r="AU11" i="2"/>
  <c r="AS11" i="2"/>
  <c r="AR11" i="2"/>
  <c r="AQ11" i="2"/>
  <c r="AO11" i="2"/>
  <c r="AN11" i="2"/>
  <c r="AM11" i="2"/>
  <c r="BA10" i="2"/>
  <c r="AZ10" i="2"/>
  <c r="AY10" i="2"/>
  <c r="AW10" i="2"/>
  <c r="AV10" i="2"/>
  <c r="AU10" i="2"/>
  <c r="AS10" i="2"/>
  <c r="AR10" i="2"/>
  <c r="AQ10" i="2"/>
  <c r="AO10" i="2"/>
  <c r="AN10" i="2"/>
  <c r="AM10" i="2"/>
  <c r="BC13" i="2"/>
  <c r="BC11" i="2"/>
  <c r="BC10" i="2"/>
  <c r="AL23" i="2"/>
  <c r="BW23" i="2" s="1"/>
  <c r="AL22" i="2"/>
  <c r="AL21" i="2"/>
  <c r="BW21" i="2" s="1"/>
  <c r="AL20" i="2"/>
  <c r="BW20" i="2" s="1"/>
  <c r="AL4" i="2"/>
  <c r="BW4" i="2" s="1"/>
  <c r="AP23" i="2"/>
  <c r="AP22" i="2"/>
  <c r="BX22" i="2" s="1"/>
  <c r="AP21" i="2"/>
  <c r="AP20" i="2"/>
  <c r="BX20" i="2" s="1"/>
  <c r="AP7" i="2"/>
  <c r="BX7" i="2" s="1"/>
  <c r="AP5" i="2"/>
  <c r="BX5" i="2" s="1"/>
  <c r="AP4" i="2"/>
  <c r="BX4" i="2" s="1"/>
  <c r="AT23" i="2"/>
  <c r="AT22" i="2"/>
  <c r="AT21" i="2"/>
  <c r="BY21" i="2" s="1"/>
  <c r="AT20" i="2"/>
  <c r="AT7" i="2"/>
  <c r="BY7" i="2" s="1"/>
  <c r="BY13" i="2" s="1"/>
  <c r="AT5" i="2"/>
  <c r="BY5" i="2" s="1"/>
  <c r="AT4" i="2"/>
  <c r="BY4" i="2" s="1"/>
  <c r="AX23" i="2"/>
  <c r="AX22" i="2"/>
  <c r="AX21" i="2"/>
  <c r="AX20" i="2"/>
  <c r="BZ20" i="2" s="1"/>
  <c r="AX7" i="2"/>
  <c r="AX5" i="2"/>
  <c r="BZ5" i="2" s="1"/>
  <c r="AX4" i="2"/>
  <c r="BB23" i="2"/>
  <c r="CA23" i="2" s="1"/>
  <c r="BB22" i="2"/>
  <c r="CA22" i="2" s="1"/>
  <c r="BB21" i="2"/>
  <c r="CA21" i="2" s="1"/>
  <c r="BB20" i="2"/>
  <c r="BB7" i="2"/>
  <c r="CA7" i="2" s="1"/>
  <c r="CB7" i="2" s="1"/>
  <c r="CC7" i="2" s="1"/>
  <c r="CD7" i="2" s="1"/>
  <c r="CE7" i="2" s="1"/>
  <c r="CF7" i="2" s="1"/>
  <c r="CG7" i="2" s="1"/>
  <c r="CH7" i="2" s="1"/>
  <c r="CI7" i="2" s="1"/>
  <c r="CJ7" i="2" s="1"/>
  <c r="CK7" i="2" s="1"/>
  <c r="BB5" i="2"/>
  <c r="CA5" i="2" s="1"/>
  <c r="CB5" i="2" s="1"/>
  <c r="CC5" i="2" s="1"/>
  <c r="CD5" i="2" s="1"/>
  <c r="CE5" i="2" s="1"/>
  <c r="CF5" i="2" s="1"/>
  <c r="CG5" i="2" s="1"/>
  <c r="CH5" i="2" s="1"/>
  <c r="CI5" i="2" s="1"/>
  <c r="CJ5" i="2" s="1"/>
  <c r="CK5" i="2" s="1"/>
  <c r="BB4" i="2"/>
  <c r="CA4" i="2" s="1"/>
  <c r="CB4" i="2" s="1"/>
  <c r="CC4" i="2" s="1"/>
  <c r="CD4" i="2" s="1"/>
  <c r="BA24" i="2"/>
  <c r="AZ24" i="2"/>
  <c r="AY24" i="2"/>
  <c r="AY33" i="2" s="1"/>
  <c r="AW24" i="2"/>
  <c r="AW34" i="2" s="1"/>
  <c r="AV24" i="2"/>
  <c r="AV32" i="2" s="1"/>
  <c r="AU24" i="2"/>
  <c r="AU35" i="2" s="1"/>
  <c r="AS24" i="2"/>
  <c r="AS32" i="2" s="1"/>
  <c r="AR24" i="2"/>
  <c r="AR34" i="2" s="1"/>
  <c r="AQ24" i="2"/>
  <c r="AO24" i="2"/>
  <c r="AO35" i="2" s="1"/>
  <c r="AN24" i="2"/>
  <c r="AN32" i="2" s="1"/>
  <c r="AM24" i="2"/>
  <c r="AM32" i="2" s="1"/>
  <c r="AK24" i="2"/>
  <c r="AK32" i="2" s="1"/>
  <c r="AJ24" i="2"/>
  <c r="AJ34" i="2" s="1"/>
  <c r="AI24" i="2"/>
  <c r="AI33" i="2" s="1"/>
  <c r="BC24" i="2"/>
  <c r="BC35" i="2" s="1"/>
  <c r="BA6" i="2"/>
  <c r="AZ6" i="2"/>
  <c r="AY6" i="2"/>
  <c r="AY8" i="2" s="1"/>
  <c r="AY16" i="2" s="1"/>
  <c r="AW6" i="2"/>
  <c r="AV6" i="2"/>
  <c r="AV8" i="2" s="1"/>
  <c r="AV37" i="2" s="1"/>
  <c r="AV39" i="2" s="1"/>
  <c r="AU6" i="2"/>
  <c r="AU8" i="2" s="1"/>
  <c r="AU17" i="2" s="1"/>
  <c r="AS6" i="2"/>
  <c r="AS8" i="2" s="1"/>
  <c r="AS18" i="2" s="1"/>
  <c r="AR6" i="2"/>
  <c r="AR8" i="2" s="1"/>
  <c r="AQ6" i="2"/>
  <c r="AQ8" i="2" s="1"/>
  <c r="AQ18" i="2" s="1"/>
  <c r="AO6" i="2"/>
  <c r="AO8" i="2" s="1"/>
  <c r="AN6" i="2"/>
  <c r="AM6" i="2"/>
  <c r="AM8" i="2" s="1"/>
  <c r="AM37" i="2" s="1"/>
  <c r="AM86" i="2" s="1"/>
  <c r="AK6" i="2"/>
  <c r="AK8" i="2" s="1"/>
  <c r="AK37" i="2" s="1"/>
  <c r="AJ6" i="2"/>
  <c r="AJ8" i="2" s="1"/>
  <c r="AJ18" i="2" s="1"/>
  <c r="AI6" i="2"/>
  <c r="AI8" i="2" s="1"/>
  <c r="AI17" i="2" s="1"/>
  <c r="BC6" i="2"/>
  <c r="BC8" i="2" s="1"/>
  <c r="BC14" i="2" s="1"/>
  <c r="CA95" i="2" l="1"/>
  <c r="BW95" i="2"/>
  <c r="BX85" i="2"/>
  <c r="CA85" i="2"/>
  <c r="E95" i="2"/>
  <c r="M95" i="2"/>
  <c r="U95" i="2"/>
  <c r="AC95" i="2"/>
  <c r="BC95" i="2"/>
  <c r="BW84" i="2"/>
  <c r="AZ8" i="2"/>
  <c r="BD14" i="2" s="1"/>
  <c r="BD12" i="2"/>
  <c r="AZ34" i="2"/>
  <c r="BD30" i="2"/>
  <c r="BV54" i="2"/>
  <c r="CB6" i="2"/>
  <c r="BA8" i="2"/>
  <c r="BE14" i="2" s="1"/>
  <c r="BE12" i="2"/>
  <c r="BA35" i="2"/>
  <c r="BE30" i="2"/>
  <c r="CE63" i="2"/>
  <c r="BR93" i="2"/>
  <c r="CF63" i="2"/>
  <c r="BD48" i="2"/>
  <c r="BD56" i="2"/>
  <c r="CC6" i="2"/>
  <c r="CD6" i="2"/>
  <c r="CE4" i="2"/>
  <c r="K208" i="3"/>
  <c r="K205" i="3"/>
  <c r="K209" i="3"/>
  <c r="K210" i="3" s="1"/>
  <c r="K207" i="3"/>
  <c r="BU43" i="2"/>
  <c r="BU54" i="2" s="1"/>
  <c r="BT43" i="2"/>
  <c r="BT54" i="2" s="1"/>
  <c r="AN95" i="2"/>
  <c r="AV95" i="2"/>
  <c r="I95" i="2"/>
  <c r="AO95" i="2"/>
  <c r="AW95" i="2"/>
  <c r="J95" i="2"/>
  <c r="AP95" i="2"/>
  <c r="AX95" i="2"/>
  <c r="AI95" i="2"/>
  <c r="AQ95" i="2"/>
  <c r="AY95" i="2"/>
  <c r="L95" i="2"/>
  <c r="AJ95" i="2"/>
  <c r="AR95" i="2"/>
  <c r="AZ95" i="2"/>
  <c r="C95" i="2"/>
  <c r="D95" i="2"/>
  <c r="F95" i="2"/>
  <c r="G95" i="2"/>
  <c r="H95" i="2"/>
  <c r="BP94" i="2"/>
  <c r="K95" i="2"/>
  <c r="BQ95" i="2" s="1"/>
  <c r="P95" i="2"/>
  <c r="BR94" i="2"/>
  <c r="Q95" i="2"/>
  <c r="R95" i="2"/>
  <c r="S95" i="2"/>
  <c r="T95" i="2"/>
  <c r="BS94" i="2"/>
  <c r="BU94" i="2"/>
  <c r="AD95" i="2"/>
  <c r="AE95" i="2"/>
  <c r="AF95" i="2"/>
  <c r="V95" i="2"/>
  <c r="W95" i="2"/>
  <c r="BT94" i="2"/>
  <c r="X95" i="2"/>
  <c r="Y95" i="2"/>
  <c r="Z95" i="2"/>
  <c r="AA95" i="2"/>
  <c r="AB95" i="2"/>
  <c r="BV94" i="2"/>
  <c r="AG95" i="2"/>
  <c r="AH95" i="2"/>
  <c r="BO93" i="2"/>
  <c r="BT93" i="2"/>
  <c r="CA84" i="2"/>
  <c r="BW85" i="2"/>
  <c r="BZ80" i="2"/>
  <c r="AZ14" i="2"/>
  <c r="AT29" i="2"/>
  <c r="CA80" i="2"/>
  <c r="BX80" i="2"/>
  <c r="AT82" i="2"/>
  <c r="BY82" i="2" s="1"/>
  <c r="AL82" i="2"/>
  <c r="BW82" i="2" s="1"/>
  <c r="AK18" i="2"/>
  <c r="AU33" i="2"/>
  <c r="AO14" i="2"/>
  <c r="AV18" i="2"/>
  <c r="AN34" i="2"/>
  <c r="BZ82" i="2"/>
  <c r="AX13" i="2"/>
  <c r="AV17" i="2"/>
  <c r="AP43" i="2"/>
  <c r="BX43" i="2" s="1"/>
  <c r="AP11" i="2"/>
  <c r="AT27" i="2"/>
  <c r="BC32" i="2"/>
  <c r="AJ35" i="2"/>
  <c r="AP29" i="2"/>
  <c r="BC34" i="2"/>
  <c r="BC12" i="2"/>
  <c r="BZ7" i="2"/>
  <c r="BZ13" i="2" s="1"/>
  <c r="BX82" i="2"/>
  <c r="AR32" i="2"/>
  <c r="AN30" i="2"/>
  <c r="AK17" i="2"/>
  <c r="AU32" i="2"/>
  <c r="CA11" i="2"/>
  <c r="BC18" i="2"/>
  <c r="BC16" i="2"/>
  <c r="AO12" i="2"/>
  <c r="AI16" i="2"/>
  <c r="AS16" i="2"/>
  <c r="AR33" i="2"/>
  <c r="AY35" i="2"/>
  <c r="BX10" i="2"/>
  <c r="CA82" i="2"/>
  <c r="BY10" i="2"/>
  <c r="BB13" i="2"/>
  <c r="AX27" i="2"/>
  <c r="AM14" i="2"/>
  <c r="AZ16" i="2"/>
  <c r="AZ18" i="2"/>
  <c r="BA33" i="2"/>
  <c r="AS14" i="2"/>
  <c r="BX26" i="2"/>
  <c r="BY11" i="2"/>
  <c r="BB11" i="2"/>
  <c r="AI18" i="2"/>
  <c r="BC33" i="2"/>
  <c r="AW32" i="2"/>
  <c r="AU34" i="2"/>
  <c r="BZ11" i="2"/>
  <c r="BB28" i="2"/>
  <c r="AT11" i="2"/>
  <c r="BA32" i="2"/>
  <c r="BB10" i="2"/>
  <c r="AZ12" i="2"/>
  <c r="AK16" i="2"/>
  <c r="AM18" i="2"/>
  <c r="AJ32" i="2"/>
  <c r="AJ33" i="2"/>
  <c r="BA37" i="2"/>
  <c r="BA17" i="2"/>
  <c r="AZ30" i="2"/>
  <c r="AO33" i="2"/>
  <c r="AR37" i="2"/>
  <c r="AR17" i="2"/>
  <c r="BC37" i="2"/>
  <c r="AQ32" i="2"/>
  <c r="AQ30" i="2"/>
  <c r="AQ34" i="2"/>
  <c r="BZ22" i="2"/>
  <c r="CA28" i="2" s="1"/>
  <c r="AX28" i="2"/>
  <c r="AV12" i="2"/>
  <c r="AU14" i="2"/>
  <c r="BC17" i="2"/>
  <c r="AQ16" i="2"/>
  <c r="AQ17" i="2"/>
  <c r="AP13" i="2"/>
  <c r="BW7" i="2"/>
  <c r="AT28" i="2"/>
  <c r="AO30" i="2"/>
  <c r="BA30" i="2"/>
  <c r="AO34" i="2"/>
  <c r="BA34" i="2"/>
  <c r="AQ35" i="2"/>
  <c r="AZ35" i="2"/>
  <c r="BW5" i="2"/>
  <c r="BW22" i="2"/>
  <c r="BX28" i="2" s="1"/>
  <c r="AS37" i="2"/>
  <c r="AS17" i="2"/>
  <c r="AY37" i="2"/>
  <c r="AX29" i="2"/>
  <c r="AT10" i="2"/>
  <c r="AM12" i="2"/>
  <c r="AT13" i="2"/>
  <c r="AV14" i="2"/>
  <c r="AR16" i="2"/>
  <c r="BA16" i="2"/>
  <c r="AU18" i="2"/>
  <c r="BB27" i="2"/>
  <c r="AR30" i="2"/>
  <c r="AZ32" i="2"/>
  <c r="AQ33" i="2"/>
  <c r="AZ33" i="2"/>
  <c r="AR35" i="2"/>
  <c r="BY20" i="2"/>
  <c r="BZ26" i="2" s="1"/>
  <c r="AL43" i="2"/>
  <c r="BW43" i="2" s="1"/>
  <c r="BW41" i="2"/>
  <c r="AY12" i="2"/>
  <c r="AY18" i="2"/>
  <c r="BB26" i="2"/>
  <c r="AU37" i="2"/>
  <c r="AS34" i="2"/>
  <c r="AS35" i="2"/>
  <c r="AQ12" i="2"/>
  <c r="BB43" i="2"/>
  <c r="CA43" i="2" s="1"/>
  <c r="AW8" i="2"/>
  <c r="BA14" i="2" s="1"/>
  <c r="AW12" i="2"/>
  <c r="AV35" i="2"/>
  <c r="AV33" i="2"/>
  <c r="AP26" i="2"/>
  <c r="AX11" i="2"/>
  <c r="BA12" i="2"/>
  <c r="AM17" i="2"/>
  <c r="AK34" i="2"/>
  <c r="AK35" i="2"/>
  <c r="AX43" i="2"/>
  <c r="BZ43" i="2" s="1"/>
  <c r="BZ42" i="2"/>
  <c r="BX23" i="2"/>
  <c r="BX21" i="2"/>
  <c r="BY27" i="2" s="1"/>
  <c r="AP27" i="2"/>
  <c r="AP10" i="2"/>
  <c r="AX10" i="2"/>
  <c r="AS12" i="2"/>
  <c r="AQ14" i="2"/>
  <c r="AM16" i="2"/>
  <c r="BA18" i="2"/>
  <c r="BC30" i="2"/>
  <c r="BB29" i="2"/>
  <c r="AV30" i="2"/>
  <c r="AK33" i="2"/>
  <c r="AV34" i="2"/>
  <c r="AW35" i="2"/>
  <c r="BY23" i="2"/>
  <c r="AQ37" i="2"/>
  <c r="AU12" i="2"/>
  <c r="AJ37" i="2"/>
  <c r="AJ39" i="2" s="1"/>
  <c r="AJ52" i="2" s="1"/>
  <c r="AJ17" i="2"/>
  <c r="AI32" i="2"/>
  <c r="AI34" i="2"/>
  <c r="AS30" i="2"/>
  <c r="AO32" i="2"/>
  <c r="AI35" i="2"/>
  <c r="BY22" i="2"/>
  <c r="AJ16" i="2"/>
  <c r="AS33" i="2"/>
  <c r="CA20" i="2"/>
  <c r="AR12" i="2"/>
  <c r="AY14" i="2"/>
  <c r="AU16" i="2"/>
  <c r="AT26" i="2"/>
  <c r="AU30" i="2"/>
  <c r="BZ4" i="2"/>
  <c r="AN12" i="2"/>
  <c r="AN8" i="2"/>
  <c r="AR14" i="2" s="1"/>
  <c r="AM35" i="2"/>
  <c r="AM33" i="2"/>
  <c r="AO37" i="2"/>
  <c r="AO18" i="2"/>
  <c r="AZ37" i="2"/>
  <c r="AZ17" i="2"/>
  <c r="AN35" i="2"/>
  <c r="AN33" i="2"/>
  <c r="AY32" i="2"/>
  <c r="AY30" i="2"/>
  <c r="AY34" i="2"/>
  <c r="AX26" i="2"/>
  <c r="AP28" i="2"/>
  <c r="AO16" i="2"/>
  <c r="AO17" i="2"/>
  <c r="AY17" i="2"/>
  <c r="AR18" i="2"/>
  <c r="AM30" i="2"/>
  <c r="AW30" i="2"/>
  <c r="AW33" i="2"/>
  <c r="AM34" i="2"/>
  <c r="BZ21" i="2"/>
  <c r="CA27" i="2" s="1"/>
  <c r="BZ23" i="2"/>
  <c r="CA29" i="2" s="1"/>
  <c r="AV16" i="2"/>
  <c r="BX41" i="2"/>
  <c r="AT43" i="2"/>
  <c r="BY43" i="2" s="1"/>
  <c r="AL24" i="2"/>
  <c r="AL35" i="2" s="1"/>
  <c r="AP6" i="2"/>
  <c r="AP8" i="2" s="1"/>
  <c r="AP18" i="2" s="1"/>
  <c r="AL6" i="2"/>
  <c r="AL8" i="2" s="1"/>
  <c r="BW8" i="2" s="1"/>
  <c r="BW16" i="2" s="1"/>
  <c r="AT6" i="2"/>
  <c r="AT24" i="2"/>
  <c r="AP24" i="2"/>
  <c r="BX24" i="2" s="1"/>
  <c r="BX34" i="2" s="1"/>
  <c r="AX6" i="2"/>
  <c r="BB6" i="2"/>
  <c r="AX24" i="2"/>
  <c r="AX33" i="2" s="1"/>
  <c r="BB24" i="2"/>
  <c r="CA24" i="2" s="1"/>
  <c r="CA35" i="2" s="1"/>
  <c r="AV54" i="2"/>
  <c r="AM54" i="2"/>
  <c r="AK54" i="2"/>
  <c r="AH54" i="2"/>
  <c r="AG54" i="2"/>
  <c r="AF54" i="2"/>
  <c r="AE54" i="2"/>
  <c r="AD54" i="2"/>
  <c r="AC54" i="2"/>
  <c r="AB54" i="2"/>
  <c r="AA54" i="2"/>
  <c r="Z54" i="2"/>
  <c r="Y54" i="2"/>
  <c r="X54" i="2"/>
  <c r="W54" i="2"/>
  <c r="V54" i="2"/>
  <c r="U54" i="2"/>
  <c r="T54" i="2"/>
  <c r="S54" i="2"/>
  <c r="R54" i="2"/>
  <c r="Q54" i="2"/>
  <c r="P54" i="2"/>
  <c r="O54" i="2"/>
  <c r="N54" i="2"/>
  <c r="M54" i="2"/>
  <c r="L54" i="2"/>
  <c r="K54" i="2"/>
  <c r="J54" i="2"/>
  <c r="I54" i="2"/>
  <c r="H54" i="2"/>
  <c r="G54" i="2"/>
  <c r="F54" i="2"/>
  <c r="E54" i="2"/>
  <c r="D54" i="2"/>
  <c r="AV53" i="2"/>
  <c r="AM53" i="2"/>
  <c r="AK53" i="2"/>
  <c r="AI53" i="2"/>
  <c r="AH53" i="2"/>
  <c r="AG53" i="2"/>
  <c r="AF53" i="2"/>
  <c r="AE53" i="2"/>
  <c r="AD53" i="2"/>
  <c r="AC53" i="2"/>
  <c r="AB53" i="2"/>
  <c r="AA53" i="2"/>
  <c r="Z53" i="2"/>
  <c r="Y53" i="2"/>
  <c r="X53" i="2"/>
  <c r="W53" i="2"/>
  <c r="V53" i="2"/>
  <c r="U53" i="2"/>
  <c r="T53" i="2"/>
  <c r="S53" i="2"/>
  <c r="R53" i="2"/>
  <c r="Q53" i="2"/>
  <c r="P53" i="2"/>
  <c r="O53" i="2"/>
  <c r="N53" i="2"/>
  <c r="M53" i="2"/>
  <c r="L53" i="2"/>
  <c r="K53" i="2"/>
  <c r="J53" i="2"/>
  <c r="I53" i="2"/>
  <c r="H53" i="2"/>
  <c r="G53" i="2"/>
  <c r="F53" i="2"/>
  <c r="E53" i="2"/>
  <c r="D53" i="2"/>
  <c r="C54" i="2"/>
  <c r="C53" i="2"/>
  <c r="AI54" i="2"/>
  <c r="AV52" i="2"/>
  <c r="AM39" i="2"/>
  <c r="AK39" i="2"/>
  <c r="AK52" i="2" s="1"/>
  <c r="AI39" i="2"/>
  <c r="AH39" i="2"/>
  <c r="AH44" i="2" s="1"/>
  <c r="AG39" i="2"/>
  <c r="AG44" i="2" s="1"/>
  <c r="AF39" i="2"/>
  <c r="AF52" i="2" s="1"/>
  <c r="AE39" i="2"/>
  <c r="AD39" i="2"/>
  <c r="AD52" i="2" s="1"/>
  <c r="AC39" i="2"/>
  <c r="AC52" i="2" s="1"/>
  <c r="AB39" i="2"/>
  <c r="AB52" i="2" s="1"/>
  <c r="AA39" i="2"/>
  <c r="Z39" i="2"/>
  <c r="Z44" i="2" s="1"/>
  <c r="Y39" i="2"/>
  <c r="Y44" i="2" s="1"/>
  <c r="X39" i="2"/>
  <c r="X52" i="2" s="1"/>
  <c r="W39" i="2"/>
  <c r="V39" i="2"/>
  <c r="V52" i="2" s="1"/>
  <c r="U39" i="2"/>
  <c r="U52" i="2" s="1"/>
  <c r="T39" i="2"/>
  <c r="T52" i="2" s="1"/>
  <c r="S39" i="2"/>
  <c r="R39" i="2"/>
  <c r="R44" i="2" s="1"/>
  <c r="Q39" i="2"/>
  <c r="Q44" i="2" s="1"/>
  <c r="P39" i="2"/>
  <c r="P52" i="2" s="1"/>
  <c r="O39" i="2"/>
  <c r="N39" i="2"/>
  <c r="N52" i="2" s="1"/>
  <c r="M39" i="2"/>
  <c r="M52" i="2" s="1"/>
  <c r="L39" i="2"/>
  <c r="L52" i="2" s="1"/>
  <c r="K39" i="2"/>
  <c r="J39" i="2"/>
  <c r="J44" i="2" s="1"/>
  <c r="I39" i="2"/>
  <c r="I44" i="2" s="1"/>
  <c r="H39" i="2"/>
  <c r="H52" i="2" s="1"/>
  <c r="G39" i="2"/>
  <c r="F39" i="2"/>
  <c r="F52" i="2" s="1"/>
  <c r="E39" i="2"/>
  <c r="E52" i="2" s="1"/>
  <c r="D39" i="2"/>
  <c r="D52" i="2" s="1"/>
  <c r="C39" i="2"/>
  <c r="CC12" i="2" l="1"/>
  <c r="AO54" i="2"/>
  <c r="AO86" i="2"/>
  <c r="AU39" i="2"/>
  <c r="AU86" i="2"/>
  <c r="CH63" i="2"/>
  <c r="AS53" i="2"/>
  <c r="AS86" i="2"/>
  <c r="BO95" i="2"/>
  <c r="CC8" i="2"/>
  <c r="CC16" i="2" s="1"/>
  <c r="AZ39" i="2"/>
  <c r="AZ52" i="2" s="1"/>
  <c r="AZ86" i="2"/>
  <c r="AR53" i="2"/>
  <c r="AR86" i="2"/>
  <c r="BA53" i="2"/>
  <c r="BA86" i="2"/>
  <c r="AQ39" i="2"/>
  <c r="AQ86" i="2"/>
  <c r="AY53" i="2"/>
  <c r="AY86" i="2"/>
  <c r="BR95" i="2"/>
  <c r="CB8" i="2"/>
  <c r="BD57" i="2"/>
  <c r="BD90" i="2"/>
  <c r="BD88" i="2"/>
  <c r="BD87" i="2"/>
  <c r="BD50" i="2"/>
  <c r="CF4" i="2"/>
  <c r="CE6" i="2"/>
  <c r="CD12" i="2"/>
  <c r="CD8" i="2"/>
  <c r="M229" i="3"/>
  <c r="M221" i="3"/>
  <c r="M264" i="3"/>
  <c r="M256" i="3"/>
  <c r="M252" i="3"/>
  <c r="M248" i="3"/>
  <c r="M240" i="3"/>
  <c r="M236" i="3"/>
  <c r="M218" i="3"/>
  <c r="M260" i="3"/>
  <c r="M244" i="3"/>
  <c r="M232" i="3"/>
  <c r="M226" i="3"/>
  <c r="M233" i="3"/>
  <c r="M223" i="3"/>
  <c r="M237" i="3"/>
  <c r="M263" i="3"/>
  <c r="M259" i="3"/>
  <c r="M255" i="3"/>
  <c r="M251" i="3"/>
  <c r="M247" i="3"/>
  <c r="M243" i="3"/>
  <c r="M239" i="3"/>
  <c r="M235" i="3"/>
  <c r="M231" i="3"/>
  <c r="M228" i="3"/>
  <c r="M220" i="3"/>
  <c r="M265" i="3"/>
  <c r="M249" i="3"/>
  <c r="M216" i="3"/>
  <c r="M225" i="3"/>
  <c r="M217" i="3"/>
  <c r="M253" i="3"/>
  <c r="M224" i="3"/>
  <c r="M266" i="3"/>
  <c r="M262" i="3"/>
  <c r="M258" i="3"/>
  <c r="M254" i="3"/>
  <c r="M250" i="3"/>
  <c r="M246" i="3"/>
  <c r="M242" i="3"/>
  <c r="M238" i="3"/>
  <c r="M234" i="3"/>
  <c r="M230" i="3"/>
  <c r="M222" i="3"/>
  <c r="M261" i="3"/>
  <c r="M245" i="3"/>
  <c r="M227" i="3"/>
  <c r="M219" i="3"/>
  <c r="M257" i="3"/>
  <c r="M241" i="3"/>
  <c r="BV95" i="2"/>
  <c r="BS95" i="2"/>
  <c r="BP95" i="2"/>
  <c r="BT95" i="2"/>
  <c r="BU95" i="2"/>
  <c r="BC39" i="2"/>
  <c r="BC44" i="2" s="1"/>
  <c r="BC86" i="2"/>
  <c r="CA13" i="2"/>
  <c r="AU53" i="2"/>
  <c r="AR54" i="2"/>
  <c r="AR39" i="2"/>
  <c r="AR52" i="2" s="1"/>
  <c r="AS54" i="2"/>
  <c r="AP35" i="2"/>
  <c r="AS39" i="2"/>
  <c r="AS52" i="2" s="1"/>
  <c r="AU54" i="2"/>
  <c r="BC54" i="2"/>
  <c r="AO53" i="2"/>
  <c r="AP32" i="2"/>
  <c r="BA39" i="2"/>
  <c r="BA52" i="2" s="1"/>
  <c r="BA54" i="2"/>
  <c r="CA34" i="2"/>
  <c r="CA33" i="2"/>
  <c r="BW17" i="2"/>
  <c r="AZ53" i="2"/>
  <c r="AX32" i="2"/>
  <c r="BY28" i="2"/>
  <c r="BC53" i="2"/>
  <c r="AJ54" i="2"/>
  <c r="AZ54" i="2"/>
  <c r="BX27" i="2"/>
  <c r="BX33" i="2"/>
  <c r="BZ10" i="2"/>
  <c r="BW18" i="2"/>
  <c r="BX29" i="2"/>
  <c r="BX35" i="2"/>
  <c r="BY26" i="2"/>
  <c r="BZ24" i="2"/>
  <c r="BZ33" i="2" s="1"/>
  <c r="BZ27" i="2"/>
  <c r="BY29" i="2"/>
  <c r="AQ54" i="2"/>
  <c r="AX35" i="2"/>
  <c r="BX32" i="2"/>
  <c r="BX13" i="2"/>
  <c r="CA10" i="2"/>
  <c r="BZ28" i="2"/>
  <c r="BZ29" i="2"/>
  <c r="CA26" i="2"/>
  <c r="CA32" i="2"/>
  <c r="BW24" i="2"/>
  <c r="BW34" i="2" s="1"/>
  <c r="BX11" i="2"/>
  <c r="AT33" i="2"/>
  <c r="AT30" i="2"/>
  <c r="BB34" i="2"/>
  <c r="BC52" i="2"/>
  <c r="AT8" i="2"/>
  <c r="AT12" i="2"/>
  <c r="BY24" i="2"/>
  <c r="BY35" i="2" s="1"/>
  <c r="AL34" i="2"/>
  <c r="C52" i="2"/>
  <c r="BO39" i="2"/>
  <c r="BO52" i="2" s="1"/>
  <c r="K44" i="2"/>
  <c r="BQ39" i="2"/>
  <c r="BQ52" i="2" s="1"/>
  <c r="S44" i="2"/>
  <c r="S46" i="2" s="1"/>
  <c r="BS39" i="2"/>
  <c r="BS52" i="2" s="1"/>
  <c r="AA44" i="2"/>
  <c r="AA46" i="2" s="1"/>
  <c r="BU39" i="2"/>
  <c r="BU52" i="2" s="1"/>
  <c r="AI52" i="2"/>
  <c r="AQ53" i="2"/>
  <c r="AP12" i="2"/>
  <c r="BY6" i="2"/>
  <c r="BW6" i="2"/>
  <c r="BX8" i="2"/>
  <c r="BB8" i="2"/>
  <c r="BB12" i="2"/>
  <c r="AQ52" i="2"/>
  <c r="AU52" i="2"/>
  <c r="BB35" i="2"/>
  <c r="BB30" i="2"/>
  <c r="AP37" i="2"/>
  <c r="AP17" i="2"/>
  <c r="AP16" i="2"/>
  <c r="AL33" i="2"/>
  <c r="AL32" i="2"/>
  <c r="AJ53" i="2"/>
  <c r="G52" i="2"/>
  <c r="BP39" i="2"/>
  <c r="BP52" i="2" s="1"/>
  <c r="O52" i="2"/>
  <c r="BR39" i="2"/>
  <c r="BR52" i="2" s="1"/>
  <c r="W52" i="2"/>
  <c r="BT39" i="2"/>
  <c r="BT52" i="2" s="1"/>
  <c r="AE52" i="2"/>
  <c r="BV39" i="2"/>
  <c r="BV52" i="2" s="1"/>
  <c r="AY39" i="2"/>
  <c r="AY44" i="2" s="1"/>
  <c r="AY54" i="2"/>
  <c r="AX8" i="2"/>
  <c r="BZ6" i="2"/>
  <c r="AX12" i="2"/>
  <c r="CA6" i="2"/>
  <c r="CB12" i="2" s="1"/>
  <c r="BX6" i="2"/>
  <c r="AT34" i="2"/>
  <c r="AX30" i="2"/>
  <c r="AX34" i="2"/>
  <c r="AM52" i="2"/>
  <c r="AO39" i="2"/>
  <c r="AO44" i="2" s="1"/>
  <c r="AO46" i="2" s="1"/>
  <c r="AO48" i="2" s="1"/>
  <c r="AP30" i="2"/>
  <c r="AP34" i="2"/>
  <c r="AP33" i="2"/>
  <c r="AN37" i="2"/>
  <c r="AN86" i="2" s="1"/>
  <c r="AN16" i="2"/>
  <c r="AN17" i="2"/>
  <c r="AN18" i="2"/>
  <c r="AN14" i="2"/>
  <c r="AW37" i="2"/>
  <c r="AW86" i="2" s="1"/>
  <c r="AW18" i="2"/>
  <c r="AW17" i="2"/>
  <c r="AW16" i="2"/>
  <c r="AW14" i="2"/>
  <c r="AT35" i="2"/>
  <c r="BB32" i="2"/>
  <c r="AT32" i="2"/>
  <c r="BB33" i="2"/>
  <c r="AL37" i="2"/>
  <c r="AL18" i="2"/>
  <c r="AL17" i="2"/>
  <c r="AP14" i="2"/>
  <c r="AL16" i="2"/>
  <c r="AP53" i="2"/>
  <c r="AJ44" i="2"/>
  <c r="AJ55" i="2" s="1"/>
  <c r="AK44" i="2"/>
  <c r="AK46" i="2" s="1"/>
  <c r="AK48" i="2" s="1"/>
  <c r="AZ44" i="2"/>
  <c r="AZ55" i="2" s="1"/>
  <c r="V44" i="2"/>
  <c r="V46" i="2" s="1"/>
  <c r="V48" i="2" s="1"/>
  <c r="AC44" i="2"/>
  <c r="AC46" i="2" s="1"/>
  <c r="AC48" i="2" s="1"/>
  <c r="AC90" i="2" s="1"/>
  <c r="AD44" i="2"/>
  <c r="AD46" i="2" s="1"/>
  <c r="AD56" i="2" s="1"/>
  <c r="E44" i="2"/>
  <c r="E46" i="2" s="1"/>
  <c r="E56" i="2" s="1"/>
  <c r="F44" i="2"/>
  <c r="M44" i="2"/>
  <c r="M46" i="2" s="1"/>
  <c r="M48" i="2" s="1"/>
  <c r="M90" i="2" s="1"/>
  <c r="N44" i="2"/>
  <c r="U44" i="2"/>
  <c r="U46" i="2" s="1"/>
  <c r="U48" i="2" s="1"/>
  <c r="U90" i="2" s="1"/>
  <c r="I55" i="2"/>
  <c r="I46" i="2"/>
  <c r="I56" i="2" s="1"/>
  <c r="Q55" i="2"/>
  <c r="Q46" i="2"/>
  <c r="Q48" i="2" s="1"/>
  <c r="Y55" i="2"/>
  <c r="Y46" i="2"/>
  <c r="Y48" i="2" s="1"/>
  <c r="AG55" i="2"/>
  <c r="AG46" i="2"/>
  <c r="AG56" i="2" s="1"/>
  <c r="J55" i="2"/>
  <c r="J46" i="2"/>
  <c r="J48" i="2" s="1"/>
  <c r="R55" i="2"/>
  <c r="R46" i="2"/>
  <c r="R48" i="2" s="1"/>
  <c r="Z55" i="2"/>
  <c r="Z46" i="2"/>
  <c r="Z48" i="2" s="1"/>
  <c r="AH55" i="2"/>
  <c r="AH46" i="2"/>
  <c r="AH48" i="2" s="1"/>
  <c r="AA52" i="2"/>
  <c r="D44" i="2"/>
  <c r="L44" i="2"/>
  <c r="T44" i="2"/>
  <c r="AB44" i="2"/>
  <c r="AI44" i="2"/>
  <c r="AQ44" i="2"/>
  <c r="I52" i="2"/>
  <c r="Q52" i="2"/>
  <c r="Y52" i="2"/>
  <c r="AG52" i="2"/>
  <c r="Z52" i="2"/>
  <c r="S52" i="2"/>
  <c r="G44" i="2"/>
  <c r="O44" i="2"/>
  <c r="W44" i="2"/>
  <c r="AE44" i="2"/>
  <c r="R52" i="2"/>
  <c r="H44" i="2"/>
  <c r="P44" i="2"/>
  <c r="X44" i="2"/>
  <c r="AF44" i="2"/>
  <c r="AM44" i="2"/>
  <c r="AU44" i="2"/>
  <c r="J52" i="2"/>
  <c r="K52" i="2"/>
  <c r="AV44" i="2"/>
  <c r="AH52" i="2"/>
  <c r="C44" i="2"/>
  <c r="AO87" i="2" l="1"/>
  <c r="AO88" i="2"/>
  <c r="AP54" i="2"/>
  <c r="AP86" i="2"/>
  <c r="AL53" i="2"/>
  <c r="AL86" i="2"/>
  <c r="CB14" i="2"/>
  <c r="CB37" i="2"/>
  <c r="CB17" i="2"/>
  <c r="CB18" i="2"/>
  <c r="CB16" i="2"/>
  <c r="CC37" i="2"/>
  <c r="CC18" i="2"/>
  <c r="CC17" i="2"/>
  <c r="CC14" i="2"/>
  <c r="AR44" i="2"/>
  <c r="AR55" i="2" s="1"/>
  <c r="CD14" i="2"/>
  <c r="CD17" i="2"/>
  <c r="CD18" i="2"/>
  <c r="CD37" i="2"/>
  <c r="CD16" i="2"/>
  <c r="CE8" i="2"/>
  <c r="CE12" i="2"/>
  <c r="CF6" i="2"/>
  <c r="CG4" i="2"/>
  <c r="BP44" i="2"/>
  <c r="BP55" i="2" s="1"/>
  <c r="AS44" i="2"/>
  <c r="AS46" i="2" s="1"/>
  <c r="AS48" i="2" s="1"/>
  <c r="BZ12" i="2"/>
  <c r="S55" i="2"/>
  <c r="AA55" i="2"/>
  <c r="AO55" i="2"/>
  <c r="BA44" i="2"/>
  <c r="BA46" i="2" s="1"/>
  <c r="BA48" i="2" s="1"/>
  <c r="BZ35" i="2"/>
  <c r="AL39" i="2"/>
  <c r="AL52" i="2" s="1"/>
  <c r="BW37" i="2"/>
  <c r="BO44" i="2"/>
  <c r="BO55" i="2" s="1"/>
  <c r="BV44" i="2"/>
  <c r="BV55" i="2" s="1"/>
  <c r="AL54" i="2"/>
  <c r="BR44" i="2"/>
  <c r="BR55" i="2" s="1"/>
  <c r="AO57" i="2"/>
  <c r="AO90" i="2"/>
  <c r="BT44" i="2"/>
  <c r="BT55" i="2" s="1"/>
  <c r="Z57" i="2"/>
  <c r="Z90" i="2"/>
  <c r="AP39" i="2"/>
  <c r="AP44" i="2" s="1"/>
  <c r="AP46" i="2" s="1"/>
  <c r="AP48" i="2" s="1"/>
  <c r="BX14" i="2"/>
  <c r="BX17" i="2"/>
  <c r="BX16" i="2"/>
  <c r="BX18" i="2"/>
  <c r="BY30" i="2"/>
  <c r="BY33" i="2"/>
  <c r="BZ34" i="2"/>
  <c r="V57" i="2"/>
  <c r="V90" i="2"/>
  <c r="Y57" i="2"/>
  <c r="Y90" i="2"/>
  <c r="R57" i="2"/>
  <c r="R90" i="2"/>
  <c r="BY12" i="2"/>
  <c r="BW35" i="2"/>
  <c r="BW33" i="2"/>
  <c r="BW32" i="2"/>
  <c r="BY34" i="2"/>
  <c r="BZ30" i="2"/>
  <c r="BZ32" i="2"/>
  <c r="J57" i="2"/>
  <c r="J90" i="2"/>
  <c r="BX12" i="2"/>
  <c r="BQ44" i="2"/>
  <c r="BQ55" i="2" s="1"/>
  <c r="AH50" i="2"/>
  <c r="AH90" i="2"/>
  <c r="Q57" i="2"/>
  <c r="Q90" i="2"/>
  <c r="AK50" i="2"/>
  <c r="AK90" i="2"/>
  <c r="E55" i="2"/>
  <c r="CA12" i="2"/>
  <c r="CA30" i="2"/>
  <c r="BY32" i="2"/>
  <c r="BX30" i="2"/>
  <c r="BB37" i="2"/>
  <c r="BB86" i="2" s="1"/>
  <c r="BB14" i="2"/>
  <c r="BB16" i="2"/>
  <c r="BB17" i="2"/>
  <c r="CA8" i="2"/>
  <c r="BB18" i="2"/>
  <c r="K46" i="2"/>
  <c r="K48" i="2" s="1"/>
  <c r="K90" i="2" s="1"/>
  <c r="K55" i="2"/>
  <c r="AY52" i="2"/>
  <c r="BU44" i="2"/>
  <c r="BU55" i="2" s="1"/>
  <c r="AX37" i="2"/>
  <c r="AX86" i="2" s="1"/>
  <c r="AX14" i="2"/>
  <c r="AX17" i="2"/>
  <c r="AX16" i="2"/>
  <c r="AX18" i="2"/>
  <c r="AA56" i="2"/>
  <c r="AO52" i="2"/>
  <c r="AN54" i="2"/>
  <c r="AN39" i="2"/>
  <c r="BX37" i="2"/>
  <c r="AN53" i="2"/>
  <c r="S56" i="2"/>
  <c r="AW53" i="2"/>
  <c r="AW39" i="2"/>
  <c r="AW54" i="2"/>
  <c r="BS44" i="2"/>
  <c r="BS55" i="2" s="1"/>
  <c r="AT37" i="2"/>
  <c r="AT86" i="2" s="1"/>
  <c r="AT14" i="2"/>
  <c r="AT16" i="2"/>
  <c r="AT18" i="2"/>
  <c r="AT17" i="2"/>
  <c r="BY8" i="2"/>
  <c r="BZ8" i="2"/>
  <c r="AS56" i="2"/>
  <c r="AD48" i="2"/>
  <c r="AJ46" i="2"/>
  <c r="AJ56" i="2" s="1"/>
  <c r="R50" i="2"/>
  <c r="R56" i="2"/>
  <c r="AZ46" i="2"/>
  <c r="AZ56" i="2" s="1"/>
  <c r="Z50" i="2"/>
  <c r="AR46" i="2"/>
  <c r="AR56" i="2" s="1"/>
  <c r="Z56" i="2"/>
  <c r="E48" i="2"/>
  <c r="E50" i="2" s="1"/>
  <c r="Q56" i="2"/>
  <c r="AD50" i="2"/>
  <c r="Q50" i="2"/>
  <c r="AC50" i="2"/>
  <c r="AC57" i="2"/>
  <c r="U56" i="2"/>
  <c r="V56" i="2"/>
  <c r="I48" i="2"/>
  <c r="I50" i="2" s="1"/>
  <c r="V55" i="2"/>
  <c r="AC56" i="2"/>
  <c r="AC55" i="2"/>
  <c r="AK56" i="2"/>
  <c r="AO56" i="2"/>
  <c r="AK55" i="2"/>
  <c r="AO50" i="2"/>
  <c r="AA48" i="2"/>
  <c r="AA90" i="2" s="1"/>
  <c r="AD55" i="2"/>
  <c r="AS57" i="2"/>
  <c r="Y56" i="2"/>
  <c r="U50" i="2"/>
  <c r="U57" i="2"/>
  <c r="M50" i="2"/>
  <c r="M57" i="2"/>
  <c r="AK57" i="2"/>
  <c r="N46" i="2"/>
  <c r="N55" i="2"/>
  <c r="AG48" i="2"/>
  <c r="M55" i="2"/>
  <c r="AH57" i="2"/>
  <c r="M56" i="2"/>
  <c r="F46" i="2"/>
  <c r="F55" i="2"/>
  <c r="J56" i="2"/>
  <c r="J50" i="2"/>
  <c r="U55" i="2"/>
  <c r="Y50" i="2"/>
  <c r="AH56" i="2"/>
  <c r="S48" i="2"/>
  <c r="S90" i="2" s="1"/>
  <c r="AV55" i="2"/>
  <c r="AV46" i="2"/>
  <c r="AF46" i="2"/>
  <c r="AF55" i="2"/>
  <c r="AE46" i="2"/>
  <c r="AE55" i="2"/>
  <c r="L55" i="2"/>
  <c r="L46" i="2"/>
  <c r="O46" i="2"/>
  <c r="O55" i="2"/>
  <c r="C55" i="2"/>
  <c r="C46" i="2"/>
  <c r="H46" i="2"/>
  <c r="H55" i="2"/>
  <c r="G55" i="2"/>
  <c r="G46" i="2"/>
  <c r="AY55" i="2"/>
  <c r="AY46" i="2"/>
  <c r="AQ55" i="2"/>
  <c r="AQ46" i="2"/>
  <c r="W55" i="2"/>
  <c r="W46" i="2"/>
  <c r="V50" i="2"/>
  <c r="P55" i="2"/>
  <c r="P46" i="2"/>
  <c r="BC55" i="2"/>
  <c r="BC46" i="2"/>
  <c r="AI55" i="2"/>
  <c r="AI46" i="2"/>
  <c r="D55" i="2"/>
  <c r="D46" i="2"/>
  <c r="AU55" i="2"/>
  <c r="AU46" i="2"/>
  <c r="AB55" i="2"/>
  <c r="AB46" i="2"/>
  <c r="BU46" i="2" s="1"/>
  <c r="BU56" i="2" s="1"/>
  <c r="X46" i="2"/>
  <c r="X55" i="2"/>
  <c r="AM55" i="2"/>
  <c r="AM46" i="2"/>
  <c r="T55" i="2"/>
  <c r="T46" i="2"/>
  <c r="BS46" i="2" s="1"/>
  <c r="BS56" i="2" s="1"/>
  <c r="BP3" i="2"/>
  <c r="BQ3" i="2" s="1"/>
  <c r="BR3" i="2" s="1"/>
  <c r="BS3" i="2" s="1"/>
  <c r="BT3" i="2" s="1"/>
  <c r="BU3" i="2" s="1"/>
  <c r="BV3" i="2" s="1"/>
  <c r="BW3" i="2" s="1"/>
  <c r="BX3" i="2" s="1"/>
  <c r="BY3" i="2" s="1"/>
  <c r="BZ3" i="2" s="1"/>
  <c r="CA3" i="2" s="1"/>
  <c r="CB3" i="2" s="1"/>
  <c r="CC3" i="2" s="1"/>
  <c r="CD3" i="2" s="1"/>
  <c r="CE3" i="2" s="1"/>
  <c r="CF3" i="2" s="1"/>
  <c r="CG3" i="2" s="1"/>
  <c r="CH3" i="2" s="1"/>
  <c r="CI3" i="2" s="1"/>
  <c r="CJ3" i="2" s="1"/>
  <c r="CK3" i="2" s="1"/>
  <c r="CL3" i="2" s="1"/>
  <c r="CM3" i="2" s="1"/>
  <c r="CN3" i="2" s="1"/>
  <c r="CO3" i="2" s="1"/>
  <c r="CP3" i="2" s="1"/>
  <c r="CQ3" i="2" s="1"/>
  <c r="CR3" i="2" s="1"/>
  <c r="CS3" i="2" s="1"/>
  <c r="CT3" i="2" s="1"/>
  <c r="CU3" i="2" s="1"/>
  <c r="CV3" i="2" s="1"/>
  <c r="CW3" i="2" s="1"/>
  <c r="CX3" i="2" s="1"/>
  <c r="CY3" i="2" s="1"/>
  <c r="CZ3" i="2" s="1"/>
  <c r="DA3" i="2" s="1"/>
  <c r="DB3" i="2" s="1"/>
  <c r="DC3" i="2" s="1"/>
  <c r="DD3" i="2" s="1"/>
  <c r="DE3" i="2" s="1"/>
  <c r="DF3" i="2" s="1"/>
  <c r="DG3" i="2" s="1"/>
  <c r="DH3" i="2" s="1"/>
  <c r="DI3" i="2" s="1"/>
  <c r="DJ3" i="2" s="1"/>
  <c r="DK3" i="2" s="1"/>
  <c r="DL3" i="2" s="1"/>
  <c r="DM3" i="2" s="1"/>
  <c r="DN3" i="2" s="1"/>
  <c r="DO3" i="2" s="1"/>
  <c r="DP3" i="2" s="1"/>
  <c r="DQ3" i="2" s="1"/>
  <c r="DR3" i="2" s="1"/>
  <c r="DS3" i="2" s="1"/>
  <c r="DT3" i="2" s="1"/>
  <c r="DU3" i="2" s="1"/>
  <c r="DV3" i="2" s="1"/>
  <c r="DW3" i="2" s="1"/>
  <c r="DX3" i="2" s="1"/>
  <c r="DY3" i="2" s="1"/>
  <c r="DZ3" i="2" s="1"/>
  <c r="EA3" i="2" s="1"/>
  <c r="EB3" i="2" s="1"/>
  <c r="EC3" i="2" s="1"/>
  <c r="ED3" i="2" s="1"/>
  <c r="EE3" i="2" s="1"/>
  <c r="EF3" i="2" s="1"/>
  <c r="EG3" i="2" s="1"/>
  <c r="EH3" i="2" s="1"/>
  <c r="EI3" i="2" s="1"/>
  <c r="C5" i="1"/>
  <c r="C8" i="1" s="1"/>
  <c r="AP57" i="2" l="1"/>
  <c r="AP88" i="2"/>
  <c r="AP87" i="2"/>
  <c r="CB38" i="2"/>
  <c r="CB39" i="2" s="1"/>
  <c r="CB40" i="2"/>
  <c r="CB43" i="2"/>
  <c r="BW53" i="2"/>
  <c r="BW86" i="2"/>
  <c r="BW54" i="2"/>
  <c r="AS90" i="2"/>
  <c r="AS88" i="2"/>
  <c r="AS87" i="2"/>
  <c r="CC43" i="2"/>
  <c r="CC40" i="2"/>
  <c r="CC38" i="2"/>
  <c r="CC39" i="2" s="1"/>
  <c r="BA90" i="2"/>
  <c r="BA88" i="2"/>
  <c r="BA87" i="2"/>
  <c r="BX86" i="2"/>
  <c r="BX53" i="2"/>
  <c r="BX54" i="2"/>
  <c r="CD38" i="2"/>
  <c r="CD39" i="2" s="1"/>
  <c r="CD43" i="2"/>
  <c r="CD40" i="2"/>
  <c r="CE14" i="2"/>
  <c r="CE17" i="2"/>
  <c r="CE18" i="2"/>
  <c r="CE37" i="2"/>
  <c r="CE16" i="2"/>
  <c r="CG6" i="2"/>
  <c r="CH4" i="2"/>
  <c r="CF12" i="2"/>
  <c r="CF8" i="2"/>
  <c r="AS50" i="2"/>
  <c r="BA57" i="2"/>
  <c r="AS55" i="2"/>
  <c r="BW39" i="2"/>
  <c r="BW52" i="2" s="1"/>
  <c r="BA56" i="2"/>
  <c r="BA50" i="2"/>
  <c r="BO46" i="2"/>
  <c r="BO56" i="2" s="1"/>
  <c r="AP56" i="2"/>
  <c r="AP52" i="2"/>
  <c r="BA55" i="2"/>
  <c r="AL44" i="2"/>
  <c r="AL55" i="2" s="1"/>
  <c r="BZ14" i="2"/>
  <c r="BZ17" i="2"/>
  <c r="BZ18" i="2"/>
  <c r="BZ16" i="2"/>
  <c r="BY14" i="2"/>
  <c r="BY17" i="2"/>
  <c r="BY18" i="2"/>
  <c r="BY16" i="2"/>
  <c r="I57" i="2"/>
  <c r="I90" i="2"/>
  <c r="E90" i="2"/>
  <c r="AD57" i="2"/>
  <c r="AD90" i="2"/>
  <c r="AP50" i="2"/>
  <c r="AP90" i="2"/>
  <c r="AG57" i="2"/>
  <c r="AG90" i="2"/>
  <c r="CA14" i="2"/>
  <c r="CA18" i="2"/>
  <c r="CA16" i="2"/>
  <c r="CA17" i="2"/>
  <c r="AP55" i="2"/>
  <c r="AW44" i="2"/>
  <c r="AW52" i="2"/>
  <c r="BT46" i="2"/>
  <c r="BT56" i="2" s="1"/>
  <c r="AX53" i="2"/>
  <c r="AX54" i="2"/>
  <c r="AX39" i="2"/>
  <c r="BV46" i="2"/>
  <c r="BV56" i="2" s="1"/>
  <c r="AT39" i="2"/>
  <c r="AT53" i="2"/>
  <c r="AT54" i="2"/>
  <c r="BY37" i="2"/>
  <c r="BR46" i="2"/>
  <c r="BR56" i="2" s="1"/>
  <c r="K50" i="2"/>
  <c r="BZ37" i="2"/>
  <c r="BB53" i="2"/>
  <c r="BB54" i="2"/>
  <c r="BB39" i="2"/>
  <c r="CA37" i="2"/>
  <c r="BP46" i="2"/>
  <c r="BP56" i="2" s="1"/>
  <c r="S57" i="2"/>
  <c r="AA57" i="2"/>
  <c r="AN52" i="2"/>
  <c r="AN44" i="2"/>
  <c r="BX39" i="2"/>
  <c r="BX52" i="2" s="1"/>
  <c r="K56" i="2"/>
  <c r="BQ46" i="2"/>
  <c r="BQ56" i="2" s="1"/>
  <c r="AJ48" i="2"/>
  <c r="AZ48" i="2"/>
  <c r="AR48" i="2"/>
  <c r="AA50" i="2"/>
  <c r="E57" i="2"/>
  <c r="S50" i="2"/>
  <c r="K57" i="2"/>
  <c r="AG50" i="2"/>
  <c r="N56" i="2"/>
  <c r="N48" i="2"/>
  <c r="N90" i="2" s="1"/>
  <c r="F56" i="2"/>
  <c r="F48" i="2"/>
  <c r="T56" i="2"/>
  <c r="T48" i="2"/>
  <c r="AU48" i="2"/>
  <c r="AU56" i="2"/>
  <c r="G48" i="2"/>
  <c r="G50" i="2" s="1"/>
  <c r="G56" i="2"/>
  <c r="L56" i="2"/>
  <c r="L48" i="2"/>
  <c r="BC48" i="2"/>
  <c r="BC56" i="2"/>
  <c r="H56" i="2"/>
  <c r="H48" i="2"/>
  <c r="AE48" i="2"/>
  <c r="AE56" i="2"/>
  <c r="W48" i="2"/>
  <c r="W56" i="2"/>
  <c r="AM48" i="2"/>
  <c r="AM56" i="2"/>
  <c r="AB56" i="2"/>
  <c r="AB48" i="2"/>
  <c r="AB90" i="2" s="1"/>
  <c r="D56" i="2"/>
  <c r="D48" i="2"/>
  <c r="AQ56" i="2"/>
  <c r="AQ48" i="2"/>
  <c r="C56" i="2"/>
  <c r="C48" i="2"/>
  <c r="AF56" i="2"/>
  <c r="AF48" i="2"/>
  <c r="AF90" i="2" s="1"/>
  <c r="X56" i="2"/>
  <c r="X48" i="2"/>
  <c r="X90" i="2" s="1"/>
  <c r="AI56" i="2"/>
  <c r="AI48" i="2"/>
  <c r="AI90" i="2" s="1"/>
  <c r="AY56" i="2"/>
  <c r="AY48" i="2"/>
  <c r="AV56" i="2"/>
  <c r="AV48" i="2"/>
  <c r="P56" i="2"/>
  <c r="P48" i="2"/>
  <c r="P90" i="2" s="1"/>
  <c r="O48" i="2"/>
  <c r="O56" i="2"/>
  <c r="CC44" i="2" l="1"/>
  <c r="CC46" i="2" s="1"/>
  <c r="CC47" i="2" s="1"/>
  <c r="CC48" i="2" s="1"/>
  <c r="AZ88" i="2"/>
  <c r="AZ87" i="2"/>
  <c r="AU90" i="2"/>
  <c r="AU88" i="2"/>
  <c r="AU87" i="2"/>
  <c r="CC55" i="2"/>
  <c r="CB44" i="2"/>
  <c r="AY90" i="2"/>
  <c r="AY88" i="2"/>
  <c r="AY87" i="2"/>
  <c r="BY86" i="2"/>
  <c r="BY53" i="2"/>
  <c r="BY54" i="2"/>
  <c r="CA86" i="2"/>
  <c r="CA53" i="2"/>
  <c r="CA54" i="2"/>
  <c r="AM90" i="2"/>
  <c r="AM88" i="2"/>
  <c r="AM87" i="2"/>
  <c r="AQ90" i="2"/>
  <c r="AQ88" i="2"/>
  <c r="AQ87" i="2"/>
  <c r="BZ86" i="2"/>
  <c r="BZ53" i="2"/>
  <c r="BZ54" i="2"/>
  <c r="AV90" i="2"/>
  <c r="AV88" i="2"/>
  <c r="AV87" i="2"/>
  <c r="BC90" i="2"/>
  <c r="BC87" i="2"/>
  <c r="BC88" i="2"/>
  <c r="AR88" i="2"/>
  <c r="AR87" i="2"/>
  <c r="CE40" i="2"/>
  <c r="CE38" i="2"/>
  <c r="CE39" i="2" s="1"/>
  <c r="CE43" i="2"/>
  <c r="CF14" i="2"/>
  <c r="CF37" i="2"/>
  <c r="CF18" i="2"/>
  <c r="CF17" i="2"/>
  <c r="CF16" i="2"/>
  <c r="CD44" i="2"/>
  <c r="CI4" i="2"/>
  <c r="CH6" i="2"/>
  <c r="CG8" i="2"/>
  <c r="CG12" i="2"/>
  <c r="BU90" i="2"/>
  <c r="F90" i="2"/>
  <c r="F50" i="2"/>
  <c r="D90" i="2"/>
  <c r="D50" i="2"/>
  <c r="H90" i="2"/>
  <c r="H50" i="2"/>
  <c r="BW44" i="2"/>
  <c r="BW55" i="2" s="1"/>
  <c r="BU48" i="2"/>
  <c r="BU57" i="2" s="1"/>
  <c r="AL46" i="2"/>
  <c r="AL56" i="2" s="1"/>
  <c r="BQ48" i="2"/>
  <c r="BQ57" i="2" s="1"/>
  <c r="L90" i="2"/>
  <c r="BQ90" i="2" s="1"/>
  <c r="AR50" i="2"/>
  <c r="AR90" i="2"/>
  <c r="BV48" i="2"/>
  <c r="BV57" i="2" s="1"/>
  <c r="AE90" i="2"/>
  <c r="BV90" i="2" s="1"/>
  <c r="BP48" i="2"/>
  <c r="BP57" i="2" s="1"/>
  <c r="G90" i="2"/>
  <c r="AZ50" i="2"/>
  <c r="AZ90" i="2"/>
  <c r="AJ50" i="2"/>
  <c r="AJ90" i="2"/>
  <c r="BR48" i="2"/>
  <c r="BR57" i="2" s="1"/>
  <c r="O90" i="2"/>
  <c r="BR90" i="2" s="1"/>
  <c r="BT48" i="2"/>
  <c r="BT57" i="2" s="1"/>
  <c r="W90" i="2"/>
  <c r="BT90" i="2" s="1"/>
  <c r="BO48" i="2"/>
  <c r="BO57" i="2" s="1"/>
  <c r="C90" i="2"/>
  <c r="BS48" i="2"/>
  <c r="BS57" i="2" s="1"/>
  <c r="T90" i="2"/>
  <c r="BS90" i="2" s="1"/>
  <c r="AX44" i="2"/>
  <c r="BZ44" i="2" s="1"/>
  <c r="BZ55" i="2" s="1"/>
  <c r="AX52" i="2"/>
  <c r="AT52" i="2"/>
  <c r="BY39" i="2"/>
  <c r="BY52" i="2" s="1"/>
  <c r="AT44" i="2"/>
  <c r="BZ39" i="2"/>
  <c r="BZ52" i="2" s="1"/>
  <c r="AW55" i="2"/>
  <c r="AW46" i="2"/>
  <c r="AN46" i="2"/>
  <c r="AN55" i="2"/>
  <c r="BX44" i="2"/>
  <c r="BX55" i="2" s="1"/>
  <c r="BB52" i="2"/>
  <c r="BB44" i="2"/>
  <c r="CA39" i="2"/>
  <c r="CA52" i="2" s="1"/>
  <c r="AJ57" i="2"/>
  <c r="AZ57" i="2"/>
  <c r="AR57" i="2"/>
  <c r="F57" i="2"/>
  <c r="N57" i="2"/>
  <c r="N50" i="2"/>
  <c r="AB50" i="2"/>
  <c r="BU50" i="2" s="1"/>
  <c r="AB57" i="2"/>
  <c r="H57" i="2"/>
  <c r="AQ50" i="2"/>
  <c r="AQ57" i="2"/>
  <c r="AY57" i="2"/>
  <c r="AY50" i="2"/>
  <c r="AM57" i="2"/>
  <c r="AM50" i="2"/>
  <c r="AV57" i="2"/>
  <c r="AV50" i="2"/>
  <c r="G57" i="2"/>
  <c r="BP50" i="2"/>
  <c r="O57" i="2"/>
  <c r="O50" i="2"/>
  <c r="AF57" i="2"/>
  <c r="AF50" i="2"/>
  <c r="C57" i="2"/>
  <c r="C50" i="2"/>
  <c r="P57" i="2"/>
  <c r="P50" i="2"/>
  <c r="AU57" i="2"/>
  <c r="AU50" i="2"/>
  <c r="X57" i="2"/>
  <c r="X50" i="2"/>
  <c r="BC57" i="2"/>
  <c r="BC50" i="2"/>
  <c r="W50" i="2"/>
  <c r="W57" i="2"/>
  <c r="D57" i="2"/>
  <c r="L50" i="2"/>
  <c r="L57" i="2"/>
  <c r="T50" i="2"/>
  <c r="BS50" i="2" s="1"/>
  <c r="T57" i="2"/>
  <c r="AI50" i="2"/>
  <c r="AI57" i="2"/>
  <c r="AE50" i="2"/>
  <c r="AE57" i="2"/>
  <c r="CC50" i="2" l="1"/>
  <c r="CC57" i="2"/>
  <c r="CC63" i="2"/>
  <c r="CC64" i="2" s="1"/>
  <c r="CB55" i="2"/>
  <c r="CB46" i="2"/>
  <c r="CB47" i="2" s="1"/>
  <c r="CB48" i="2" s="1"/>
  <c r="CB50" i="2" s="1"/>
  <c r="BW46" i="2"/>
  <c r="BW56" i="2" s="1"/>
  <c r="BO90" i="2"/>
  <c r="CG14" i="2"/>
  <c r="CG17" i="2"/>
  <c r="CG37" i="2"/>
  <c r="CG18" i="2"/>
  <c r="CG16" i="2"/>
  <c r="CF38" i="2"/>
  <c r="CF39" i="2" s="1"/>
  <c r="CF43" i="2"/>
  <c r="CF40" i="2"/>
  <c r="CD55" i="2"/>
  <c r="CD46" i="2"/>
  <c r="CE44" i="2"/>
  <c r="CJ4" i="2"/>
  <c r="CI6" i="2"/>
  <c r="CH12" i="2"/>
  <c r="CH8" i="2"/>
  <c r="BQ50" i="2"/>
  <c r="BR50" i="2"/>
  <c r="BP90" i="2"/>
  <c r="BO50" i="2"/>
  <c r="BT50" i="2"/>
  <c r="BV50" i="2"/>
  <c r="AL48" i="2"/>
  <c r="AL90" i="2"/>
  <c r="BY44" i="2"/>
  <c r="BY55" i="2" s="1"/>
  <c r="AT46" i="2"/>
  <c r="AT55" i="2"/>
  <c r="AN56" i="2"/>
  <c r="BX46" i="2"/>
  <c r="BX56" i="2" s="1"/>
  <c r="AN48" i="2"/>
  <c r="BB55" i="2"/>
  <c r="CA44" i="2"/>
  <c r="CA55" i="2" s="1"/>
  <c r="BB46" i="2"/>
  <c r="BW48" i="2"/>
  <c r="AW56" i="2"/>
  <c r="AW48" i="2"/>
  <c r="AX46" i="2"/>
  <c r="AX55" i="2"/>
  <c r="AL50" i="2"/>
  <c r="BW50" i="2" s="1"/>
  <c r="AL57" i="2" l="1"/>
  <c r="AL88" i="2"/>
  <c r="AL87" i="2"/>
  <c r="CB59" i="2"/>
  <c r="CC59" i="2" s="1"/>
  <c r="CB57" i="2"/>
  <c r="AN90" i="2"/>
  <c r="AN88" i="2"/>
  <c r="AN87" i="2"/>
  <c r="AW90" i="2"/>
  <c r="AW87" i="2"/>
  <c r="AW88" i="2"/>
  <c r="BW90" i="2"/>
  <c r="BW88" i="2"/>
  <c r="BW57" i="2"/>
  <c r="BW87" i="2"/>
  <c r="CF44" i="2"/>
  <c r="CF46" i="2" s="1"/>
  <c r="CF47" i="2" s="1"/>
  <c r="CF48" i="2" s="1"/>
  <c r="CF57" i="2" s="1"/>
  <c r="CH14" i="2"/>
  <c r="CH37" i="2"/>
  <c r="CH18" i="2"/>
  <c r="CH17" i="2"/>
  <c r="CH16" i="2"/>
  <c r="CE55" i="2"/>
  <c r="CE46" i="2"/>
  <c r="CD47" i="2"/>
  <c r="CD48" i="2" s="1"/>
  <c r="CG38" i="2"/>
  <c r="CG39" i="2" s="1"/>
  <c r="CG43" i="2"/>
  <c r="CG40" i="2"/>
  <c r="CK4" i="2"/>
  <c r="CJ6" i="2"/>
  <c r="CI12" i="2"/>
  <c r="CI8" i="2"/>
  <c r="AX48" i="2"/>
  <c r="AX56" i="2"/>
  <c r="AN50" i="2"/>
  <c r="BX50" i="2" s="1"/>
  <c r="AN57" i="2"/>
  <c r="BX48" i="2"/>
  <c r="CA46" i="2"/>
  <c r="CA56" i="2" s="1"/>
  <c r="BB56" i="2"/>
  <c r="BB48" i="2"/>
  <c r="AT56" i="2"/>
  <c r="BY46" i="2"/>
  <c r="BY56" i="2" s="1"/>
  <c r="AT48" i="2"/>
  <c r="AW50" i="2"/>
  <c r="AW57" i="2"/>
  <c r="BZ46" i="2"/>
  <c r="BZ56" i="2" s="1"/>
  <c r="AX90" i="2" l="1"/>
  <c r="AX87" i="2"/>
  <c r="AX88" i="2"/>
  <c r="BB90" i="2"/>
  <c r="BB88" i="2"/>
  <c r="BB87" i="2"/>
  <c r="AT90" i="2"/>
  <c r="AT88" i="2"/>
  <c r="AT87" i="2"/>
  <c r="BZ48" i="2"/>
  <c r="BX88" i="2"/>
  <c r="BX90" i="2"/>
  <c r="BX57" i="2"/>
  <c r="BX87" i="2"/>
  <c r="CF55" i="2"/>
  <c r="CG44" i="2"/>
  <c r="CD57" i="2"/>
  <c r="CD59" i="2"/>
  <c r="CI14" i="2"/>
  <c r="CI37" i="2"/>
  <c r="CI18" i="2"/>
  <c r="CI17" i="2"/>
  <c r="CI16" i="2"/>
  <c r="CH38" i="2"/>
  <c r="CH39" i="2" s="1"/>
  <c r="CH43" i="2"/>
  <c r="CH40" i="2"/>
  <c r="CE47" i="2"/>
  <c r="CE48" i="2" s="1"/>
  <c r="CK6" i="2"/>
  <c r="CK12" i="2" s="1"/>
  <c r="CJ8" i="2"/>
  <c r="CJ12" i="2"/>
  <c r="BB50" i="2"/>
  <c r="CA50" i="2" s="1"/>
  <c r="CA48" i="2"/>
  <c r="BB57" i="2"/>
  <c r="BY48" i="2"/>
  <c r="AT50" i="2"/>
  <c r="BY50" i="2" s="1"/>
  <c r="AT57" i="2"/>
  <c r="AX50" i="2"/>
  <c r="BZ50" i="2" s="1"/>
  <c r="AX57" i="2"/>
  <c r="BY88" i="2" l="1"/>
  <c r="BY57" i="2"/>
  <c r="BY87" i="2"/>
  <c r="BY90" i="2"/>
  <c r="CA90" i="2"/>
  <c r="CA57" i="2"/>
  <c r="CA87" i="2"/>
  <c r="CA88" i="2"/>
  <c r="BZ57" i="2"/>
  <c r="BZ87" i="2"/>
  <c r="BZ90" i="2"/>
  <c r="BZ88" i="2"/>
  <c r="CE57" i="2"/>
  <c r="CI43" i="2"/>
  <c r="CI38" i="2"/>
  <c r="CI39" i="2" s="1"/>
  <c r="CI40" i="2"/>
  <c r="CE59" i="2"/>
  <c r="CF59" i="2" s="1"/>
  <c r="CJ14" i="2"/>
  <c r="CJ18" i="2"/>
  <c r="CJ17" i="2"/>
  <c r="CJ37" i="2"/>
  <c r="CJ16" i="2"/>
  <c r="CK8" i="2"/>
  <c r="CH44" i="2"/>
  <c r="CG55" i="2"/>
  <c r="CG46" i="2"/>
  <c r="CG47" i="2" s="1"/>
  <c r="CG48" i="2" s="1"/>
  <c r="CG57" i="2" s="1"/>
  <c r="CH55" i="2" l="1"/>
  <c r="CH46" i="2"/>
  <c r="CH47" i="2" s="1"/>
  <c r="CH48" i="2" s="1"/>
  <c r="CH57" i="2" s="1"/>
  <c r="CI44" i="2"/>
  <c r="CG59" i="2"/>
  <c r="CK14" i="2"/>
  <c r="CK18" i="2"/>
  <c r="CK17" i="2"/>
  <c r="CK37" i="2"/>
  <c r="CK16" i="2"/>
  <c r="CJ43" i="2"/>
  <c r="CJ40" i="2"/>
  <c r="CJ38" i="2"/>
  <c r="CJ39" i="2" s="1"/>
  <c r="CH59" i="2" l="1"/>
  <c r="CJ44" i="2"/>
  <c r="CJ46" i="2" s="1"/>
  <c r="CI55" i="2"/>
  <c r="CI46" i="2"/>
  <c r="CK40" i="2"/>
  <c r="CK43" i="2"/>
  <c r="CK38" i="2"/>
  <c r="CK39" i="2" s="1"/>
  <c r="CJ55" i="2" l="1"/>
  <c r="CK44" i="2"/>
  <c r="CK55" i="2" s="1"/>
  <c r="CI47" i="2"/>
  <c r="CI48" i="2" s="1"/>
  <c r="CJ47" i="2"/>
  <c r="CJ48" i="2" s="1"/>
  <c r="CJ57" i="2" s="1"/>
  <c r="CK46" i="2" l="1"/>
  <c r="CK47" i="2" s="1"/>
  <c r="CK48" i="2" s="1"/>
  <c r="CK57" i="2" s="1"/>
  <c r="CI57" i="2"/>
  <c r="CI59" i="2"/>
  <c r="CJ59" i="2" s="1"/>
  <c r="CL48" i="2" l="1"/>
  <c r="CM48" i="2" s="1"/>
  <c r="CN48" i="2" s="1"/>
  <c r="CO48" i="2" s="1"/>
  <c r="CP48" i="2" s="1"/>
  <c r="CQ48" i="2" s="1"/>
  <c r="CR48" i="2" s="1"/>
  <c r="CS48" i="2" s="1"/>
  <c r="CT48" i="2" s="1"/>
  <c r="CU48" i="2" s="1"/>
  <c r="CV48" i="2" s="1"/>
  <c r="CW48" i="2" s="1"/>
  <c r="CX48" i="2" s="1"/>
  <c r="CY48" i="2" s="1"/>
  <c r="CZ48" i="2" s="1"/>
  <c r="DA48" i="2" s="1"/>
  <c r="DB48" i="2" s="1"/>
  <c r="DC48" i="2" s="1"/>
  <c r="DD48" i="2" s="1"/>
  <c r="DE48" i="2" s="1"/>
  <c r="DF48" i="2" s="1"/>
  <c r="DG48" i="2" s="1"/>
  <c r="DH48" i="2" s="1"/>
  <c r="DI48" i="2" s="1"/>
  <c r="DJ48" i="2" s="1"/>
  <c r="DK48" i="2" s="1"/>
  <c r="DL48" i="2" s="1"/>
  <c r="DM48" i="2" s="1"/>
  <c r="DN48" i="2" s="1"/>
  <c r="DO48" i="2" s="1"/>
  <c r="DP48" i="2" s="1"/>
  <c r="DQ48" i="2" s="1"/>
  <c r="DR48" i="2" s="1"/>
  <c r="DS48" i="2" s="1"/>
  <c r="DT48" i="2" s="1"/>
  <c r="DU48" i="2" s="1"/>
  <c r="DV48" i="2" s="1"/>
  <c r="DW48" i="2" s="1"/>
  <c r="DX48" i="2" s="1"/>
  <c r="DY48" i="2" s="1"/>
  <c r="DZ48" i="2" s="1"/>
  <c r="EA48" i="2" s="1"/>
  <c r="EB48" i="2" s="1"/>
  <c r="EC48" i="2" s="1"/>
  <c r="ED48" i="2" s="1"/>
  <c r="EE48" i="2" s="1"/>
  <c r="EF48" i="2" s="1"/>
  <c r="EG48" i="2" s="1"/>
  <c r="EH48" i="2" s="1"/>
  <c r="EI48" i="2" s="1"/>
  <c r="CK68" i="2" s="1"/>
  <c r="CK70" i="2" s="1"/>
  <c r="CK59" i="2"/>
  <c r="CK72" i="2" l="1"/>
  <c r="CJ73" i="2" l="1" a="1"/>
  <c r="CJ73" i="2" s="1"/>
  <c r="CL72" i="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<sst xmlns="http://schemas.openxmlformats.org/spreadsheetml/2006/main" count="1568" uniqueCount="1534">
  <si>
    <t xml:space="preserve">Price </t>
  </si>
  <si>
    <t>SO</t>
  </si>
  <si>
    <t>MC</t>
  </si>
  <si>
    <t>Cash</t>
  </si>
  <si>
    <t>Debt</t>
  </si>
  <si>
    <t>EV</t>
  </si>
  <si>
    <t>Investor Relations Contact:</t>
  </si>
  <si>
    <t>SEC filings</t>
  </si>
  <si>
    <t>Godel Terminal</t>
  </si>
  <si>
    <t>Company Overview:</t>
  </si>
  <si>
    <t>[Bold Title]</t>
  </si>
  <si>
    <t>Line Titles</t>
  </si>
  <si>
    <t>&lt;-- General</t>
  </si>
  <si>
    <t>&lt;-- Info</t>
  </si>
  <si>
    <t>Notes:</t>
  </si>
  <si>
    <t>[X]</t>
  </si>
  <si>
    <t>[Y]</t>
  </si>
  <si>
    <t>[Z]</t>
  </si>
  <si>
    <t>Close</t>
  </si>
  <si>
    <t>High</t>
  </si>
  <si>
    <t>Low</t>
  </si>
  <si>
    <t>Open</t>
  </si>
  <si>
    <t>Volume</t>
  </si>
  <si>
    <t>UTC Date</t>
  </si>
  <si>
    <t>Change</t>
  </si>
  <si>
    <t>Min</t>
  </si>
  <si>
    <t>Max</t>
  </si>
  <si>
    <t>Mean μ</t>
  </si>
  <si>
    <t>Median</t>
  </si>
  <si>
    <t>SD σ</t>
  </si>
  <si>
    <t xml:space="preserve">  3σ 1-Day Δ: ±</t>
  </si>
  <si>
    <t>β (1-year avg.)</t>
  </si>
  <si>
    <t>&lt;- Sortino Ratio (Downside Risk Adjusted Return)</t>
  </si>
  <si>
    <r>
      <rPr>
        <i/>
        <sz val="11"/>
        <color theme="1"/>
        <rFont val="Calibre"/>
      </rPr>
      <t>n</t>
    </r>
    <r>
      <rPr>
        <sz val="11"/>
        <color theme="1"/>
        <rFont val="Calibre"/>
      </rPr>
      <t xml:space="preserve"> =</t>
    </r>
  </si>
  <si>
    <t>Histogram Data</t>
  </si>
  <si>
    <t>Distribution Overlay</t>
  </si>
  <si>
    <t>SD Lines</t>
  </si>
  <si>
    <t>Bin</t>
  </si>
  <si>
    <t>Frequency</t>
  </si>
  <si>
    <r>
      <t xml:space="preserve"> (X) 1-Day</t>
    </r>
    <r>
      <rPr>
        <b/>
        <i/>
        <sz val="11"/>
        <color theme="1"/>
        <rFont val="Calibri"/>
        <family val="2"/>
        <scheme val="minor"/>
      </rPr>
      <t xml:space="preserve"> Δ </t>
    </r>
    <r>
      <rPr>
        <i/>
        <sz val="11"/>
        <color theme="1"/>
        <rFont val="Calibri"/>
        <family val="2"/>
        <scheme val="minor"/>
      </rPr>
      <t xml:space="preserve"> </t>
    </r>
  </si>
  <si>
    <t xml:space="preserve">(Y) Pop. Density </t>
  </si>
  <si>
    <t>X</t>
  </si>
  <si>
    <t>Y</t>
  </si>
  <si>
    <t>Q1 2012</t>
  </si>
  <si>
    <t>Q2 2012</t>
  </si>
  <si>
    <t>Q3 2012</t>
  </si>
  <si>
    <t>Q4 2012</t>
  </si>
  <si>
    <t>Q1 2013</t>
  </si>
  <si>
    <t>Q2 2013</t>
  </si>
  <si>
    <t>Q3 2013</t>
  </si>
  <si>
    <t>Q4 2013</t>
  </si>
  <si>
    <t>Q1 2014</t>
  </si>
  <si>
    <t>Q2 2014</t>
  </si>
  <si>
    <t>Q3 2014</t>
  </si>
  <si>
    <t>Q4 2014</t>
  </si>
  <si>
    <t>Q1 2015</t>
  </si>
  <si>
    <t>Q2 2015</t>
  </si>
  <si>
    <t>Q3 2015</t>
  </si>
  <si>
    <t>Q4 2015</t>
  </si>
  <si>
    <t>Q1 2016</t>
  </si>
  <si>
    <t>Q2 2016</t>
  </si>
  <si>
    <t>Q3 2016</t>
  </si>
  <si>
    <t>Q4 2016</t>
  </si>
  <si>
    <t>Q1 2017</t>
  </si>
  <si>
    <t>Q2 2017</t>
  </si>
  <si>
    <t>Q3 2017</t>
  </si>
  <si>
    <t>Q4 2017</t>
  </si>
  <si>
    <t>Q1 2018</t>
  </si>
  <si>
    <t>Q2 2018</t>
  </si>
  <si>
    <t>Q3 2018</t>
  </si>
  <si>
    <t>Q4 2018</t>
  </si>
  <si>
    <t>Q1 2019</t>
  </si>
  <si>
    <t>Q2 2019</t>
  </si>
  <si>
    <t>Q3 2019</t>
  </si>
  <si>
    <t>Q4 2019</t>
  </si>
  <si>
    <t>Q1 2020</t>
  </si>
  <si>
    <t>Q2 2020</t>
  </si>
  <si>
    <t>Q3 2020</t>
  </si>
  <si>
    <t>Q4 2020</t>
  </si>
  <si>
    <t>Q1 2021</t>
  </si>
  <si>
    <t>Q2 2021</t>
  </si>
  <si>
    <t>Q3 2021</t>
  </si>
  <si>
    <t>Q4 2021</t>
  </si>
  <si>
    <t>Q1 2022</t>
  </si>
  <si>
    <t>Q2 2022</t>
  </si>
  <si>
    <t>Q3 2022</t>
  </si>
  <si>
    <t>Q4 2022</t>
  </si>
  <si>
    <t>Q1 2023</t>
  </si>
  <si>
    <t>Q2 2023</t>
  </si>
  <si>
    <t>Q3 2023</t>
  </si>
  <si>
    <t>Q4 2023</t>
  </si>
  <si>
    <t>Q1 2024</t>
  </si>
  <si>
    <t>Q2 2024</t>
  </si>
  <si>
    <t>Q3 2024</t>
  </si>
  <si>
    <t>Q4 2024</t>
  </si>
  <si>
    <t>Q1 2025</t>
  </si>
  <si>
    <t>Q2 2025</t>
  </si>
  <si>
    <t>Q3 2025</t>
  </si>
  <si>
    <t>Q4 2025</t>
  </si>
  <si>
    <t>Q1 2026</t>
  </si>
  <si>
    <t>Q2 2026</t>
  </si>
  <si>
    <t>Q3 2026</t>
  </si>
  <si>
    <t>Q4 2026</t>
  </si>
  <si>
    <t>Quarterly</t>
  </si>
  <si>
    <t>Revenues</t>
  </si>
  <si>
    <t>Ttl Revenues</t>
  </si>
  <si>
    <t>U.S. Revenues</t>
  </si>
  <si>
    <t>U.S. % of Revenues</t>
  </si>
  <si>
    <t>U.S. Revenue Growth Y/y</t>
  </si>
  <si>
    <t>COGS</t>
  </si>
  <si>
    <t>GP</t>
  </si>
  <si>
    <t>Gross Profit Margin</t>
  </si>
  <si>
    <t>R&amp;D as % of Revenue</t>
  </si>
  <si>
    <t>SG&amp;A as % of Revenue</t>
  </si>
  <si>
    <t>Operating Profit Margin</t>
  </si>
  <si>
    <t>Effective Tax Rate</t>
  </si>
  <si>
    <t>Net Profit Margin</t>
  </si>
  <si>
    <t xml:space="preserve">Cash &amp; CEs </t>
  </si>
  <si>
    <t>ST Investments</t>
  </si>
  <si>
    <t>Current Ratio</t>
  </si>
  <si>
    <t>Cash Ratio</t>
  </si>
  <si>
    <t>Ttl Asset Turnover</t>
  </si>
  <si>
    <t>Return on Assets</t>
  </si>
  <si>
    <t>Return on Equity</t>
  </si>
  <si>
    <t>Net Income</t>
  </si>
  <si>
    <t>CFFO</t>
  </si>
  <si>
    <t>CapEx, net</t>
  </si>
  <si>
    <t>FCF</t>
  </si>
  <si>
    <t>SC</t>
  </si>
  <si>
    <t>FCF per Share</t>
  </si>
  <si>
    <t>General Notes/Observations (Updated Q1'25)</t>
  </si>
  <si>
    <t>Financial Stmts. Notes/Observations (Updated Q1'25)</t>
  </si>
  <si>
    <t>Revenues:</t>
  </si>
  <si>
    <t>Earnings Scope:</t>
  </si>
  <si>
    <t>Balance Sheet Scope:</t>
  </si>
  <si>
    <t>[Godel Snapshot of projected balances (assets, liabilities, equity)]</t>
  </si>
  <si>
    <t>[Equity Preformance Compared to Peers]</t>
  </si>
  <si>
    <t>Mean</t>
  </si>
  <si>
    <t>-3σ</t>
  </si>
  <si>
    <t>-2σ</t>
  </si>
  <si>
    <t>-1σ</t>
  </si>
  <si>
    <t>1σ</t>
  </si>
  <si>
    <t>2σ</t>
  </si>
  <si>
    <t>3σ</t>
  </si>
  <si>
    <t>Phone:</t>
  </si>
  <si>
    <t xml:space="preserve">Email: </t>
  </si>
  <si>
    <t>&lt;- Sharpe Ratio (Risk Adjusted Return)</t>
  </si>
  <si>
    <t>Earnings Calls</t>
  </si>
  <si>
    <t>Equity Analysis</t>
  </si>
  <si>
    <t>https://app.godelterminal.com/</t>
  </si>
  <si>
    <t>Investors Relation Department</t>
  </si>
  <si>
    <t>Business Segments and Geographical Info:</t>
  </si>
  <si>
    <t>META</t>
  </si>
  <si>
    <t>Meta Platforms, Inc. (META)</t>
  </si>
  <si>
    <t>Founded: February 4, 2004</t>
  </si>
  <si>
    <t>Headquarters: Menlo Park, California</t>
  </si>
  <si>
    <t>Current CEO: Mark Zuckerberg</t>
  </si>
  <si>
    <t>Employees: 76,834</t>
  </si>
  <si>
    <t>https://investor.atmeta.com/</t>
  </si>
  <si>
    <t>https://www.sec.gov/edgar/browse/?CIK=1326801&amp;owner=exclude</t>
  </si>
  <si>
    <t>https://seekingalpha.com/symbol/META/earnings/transcripts</t>
  </si>
  <si>
    <t>https://stockanalysis.com/stocks/meta/company/</t>
  </si>
  <si>
    <t>Sector: Comm. Services</t>
  </si>
  <si>
    <t>Industry: Internet Content &amp; Information</t>
  </si>
  <si>
    <t>IPO: May 18, 2012 -- $104B valuation</t>
  </si>
  <si>
    <t>Registered Exchange: NASDAQ</t>
  </si>
  <si>
    <t>Address: 1 Meta Way, Menlo Park, California 94025</t>
  </si>
  <si>
    <t>investor@meta.com</t>
  </si>
  <si>
    <t>https://www.macrotrends.net/stocks/charts/META/meta-platforms/financial-statements</t>
  </si>
  <si>
    <t>MacroTrends</t>
  </si>
  <si>
    <t>ROIC, WACC</t>
  </si>
  <si>
    <t>https://www.gurufocus.com/term/wacc/META</t>
  </si>
  <si>
    <t>Meta IR Page</t>
  </si>
  <si>
    <t>Meta Platforms, Inc. engages in the development of products that enable people to connect and share with friends and family through mobile devices, personal computers, virtual reality and mixed reality headsets, augmented reality, and wearables worldwide</t>
  </si>
  <si>
    <t>It operates through two segments, Family of Apps (FoA) and Reality Labs (RL)</t>
  </si>
  <si>
    <t>Instagram that brings people closer through instagram feed, stories, reels, live, and messaging</t>
  </si>
  <si>
    <t>Messenger, a messaging application for people to connect with friends, family, communities, and businesses across platforms and devices through text, audio, and video calls</t>
  </si>
  <si>
    <t>Threads, an application for text-based updates and public conversations</t>
  </si>
  <si>
    <t>Facebook, which enables people to build community through feed, reels, stories, groups, marketplace, and other</t>
  </si>
  <si>
    <t>The FoA segment offers:</t>
  </si>
  <si>
    <t>WhatsApp, a messaging application that is used by people and businesses to communicate and transact in a private way</t>
  </si>
  <si>
    <t>Lol … "Private way"</t>
  </si>
  <si>
    <t>The RL segment offers:</t>
  </si>
  <si>
    <t>Virtual, augmented, and mixed reality related products comprising consumer hardware, software, and content that help people feel connected, anytime, and anywhere</t>
  </si>
  <si>
    <t>The Company was formerly known as Facebook, Inc. and changed its name to Meta Platforms, Inc. in October 2021</t>
  </si>
  <si>
    <t>The Company was incorporated in 2004 and is headquartered in Menlo Park, California</t>
  </si>
  <si>
    <t>Employee Scope</t>
  </si>
  <si>
    <t>These platforms are central to Meta's revenue generation, predominantly through targeted advertising services that allow businesses to reach extensive user bases</t>
  </si>
  <si>
    <t>This includes the Meta Quest VR headsets and Ray-Ban Meta AI glasses</t>
  </si>
  <si>
    <t>This segment is pivotal to Meta's vision of building the next computing platform through immersive experiences that blend the physical and digital worlds</t>
  </si>
  <si>
    <t>Meta's strategy involves significant investment in AI technologies, which enhance its platforms' capabilities in content recommendation, advertising efficiency, and new product development</t>
  </si>
  <si>
    <t>The Company primarily generates revenues through the sale of digital advertising space</t>
  </si>
  <si>
    <t>Meta's unique value proposition lies in its extensive user base across multiple platforms, allowing for unparalleled advertising reach and engagement</t>
  </si>
  <si>
    <t>The Company's investment in AI and immersive technologies, like augmented reality glasses, positions it at the forefront of the next computing revolution, enhancing its competitive edge</t>
  </si>
  <si>
    <t>Don't discount The Zuck … Lots of big stuff in the works, and it would be funny if Meta leapfrogged Apple and Microsoft hardware sales as the legacy brands flounder in commercializing AI hardware</t>
  </si>
  <si>
    <t xml:space="preserve">I have some initial concerns/action items worth looking into … </t>
  </si>
  <si>
    <t>Meta's $14.3 billion investment in Scale AI may not yield immediate financial returns, posing risks due to potential customer conflicts and the high premium paid for the stake</t>
  </si>
  <si>
    <t>The company's aggressive AI capital expenditures could pressure free cash flow, especially if the monetization of these investments lags behind expectations.</t>
  </si>
  <si>
    <t>(i)</t>
  </si>
  <si>
    <t>(ii)</t>
  </si>
  <si>
    <t>(iii)</t>
  </si>
  <si>
    <t>Regulatory challenges in Europe, including compliance with the Digital Markets Act, threaten to affect user experience and revenue growth, potentially impacting Meta's financial performance in the region</t>
  </si>
  <si>
    <t xml:space="preserve">Advertising </t>
  </si>
  <si>
    <t>Other Revenues</t>
  </si>
  <si>
    <t>Reality Labs</t>
  </si>
  <si>
    <t>Advertising Growth Y/y</t>
  </si>
  <si>
    <t>Other Growth Y/y</t>
  </si>
  <si>
    <t>Ttl Revenue Growth Y/y</t>
  </si>
  <si>
    <t>Family of Apps Growth Y/y</t>
  </si>
  <si>
    <t>Reality Labs Growth Y/y</t>
  </si>
  <si>
    <t>Euro Revenues</t>
  </si>
  <si>
    <t>APac Revenues</t>
  </si>
  <si>
    <t>Rest of World Revenues</t>
  </si>
  <si>
    <t>Euro Revenue Growth Y/y</t>
  </si>
  <si>
    <t>APac Revenue Growth Y/y</t>
  </si>
  <si>
    <t>Rest of World Revenue Growth Y/y</t>
  </si>
  <si>
    <t>Rest of World % of Revenues</t>
  </si>
  <si>
    <t>APac % of Revenues</t>
  </si>
  <si>
    <t>Euro % of Revenues</t>
  </si>
  <si>
    <t>R&amp;D</t>
  </si>
  <si>
    <t>Sales &amp; Marketing</t>
  </si>
  <si>
    <t>General and Admin</t>
  </si>
  <si>
    <t>Ttl SG&amp;A</t>
  </si>
  <si>
    <t>Operating Income</t>
  </si>
  <si>
    <t>Interest Income</t>
  </si>
  <si>
    <t>Pretax Income</t>
  </si>
  <si>
    <t>Taxes</t>
  </si>
  <si>
    <t>NI</t>
  </si>
  <si>
    <t>EPS</t>
  </si>
  <si>
    <t>Reality Labs % of Ttl Revenues</t>
  </si>
  <si>
    <t>Digital Advertising % of Ttl Revenues</t>
  </si>
  <si>
    <t>Other % of Ttl Revenues</t>
  </si>
  <si>
    <t>Family of Apps Revenues</t>
  </si>
  <si>
    <t>A/R</t>
  </si>
  <si>
    <t>Prepaid Expenses</t>
  </si>
  <si>
    <t>LT Investments</t>
  </si>
  <si>
    <t>PP&amp;E</t>
  </si>
  <si>
    <t>LT Operating Lease</t>
  </si>
  <si>
    <t>Goodwill</t>
  </si>
  <si>
    <t>Other LT Assets</t>
  </si>
  <si>
    <t>A/P</t>
  </si>
  <si>
    <t>Accrued Expenses &amp; Other</t>
  </si>
  <si>
    <t>ST Operating Lease Liabilities</t>
  </si>
  <si>
    <t>LT Operating Lease Liabilities</t>
  </si>
  <si>
    <t>LT Debt</t>
  </si>
  <si>
    <t>LT Income Taxes</t>
  </si>
  <si>
    <t>Ttl Liabilities</t>
  </si>
  <si>
    <t>SE</t>
  </si>
  <si>
    <t>Ttl L + SE</t>
  </si>
  <si>
    <t>Ttl Assets</t>
  </si>
  <si>
    <t>Other LT Liabilities</t>
  </si>
  <si>
    <t>Partner Payables</t>
  </si>
  <si>
    <t>Deffered Revenues</t>
  </si>
  <si>
    <t>Intangibles</t>
  </si>
  <si>
    <t xml:space="preserve">Revenue Breakdown by Segment </t>
  </si>
  <si>
    <t xml:space="preserve">Advertising revenues dominate, and have ... </t>
  </si>
  <si>
    <t>Q/q Total Revenues, Net Income, FCF</t>
  </si>
  <si>
    <t>Y/y Total Revenues, Net Income, FCF</t>
  </si>
  <si>
    <t>Fri, 20 Jun 2025 00:00:00 GMT</t>
  </si>
  <si>
    <t>Wed, 18 Jun 2025 00:00:00 GMT</t>
  </si>
  <si>
    <t>Tue, 17 Jun 2025 00:00:00 GMT</t>
  </si>
  <si>
    <t>Mon, 16 Jun 2025 00:00:00 GMT</t>
  </si>
  <si>
    <t>Fri, 13 Jun 2025 00:00:00 GMT</t>
  </si>
  <si>
    <t>Thu, 12 Jun 2025 00:00:00 GMT</t>
  </si>
  <si>
    <t>Wed, 11 Jun 2025 00:00:00 GMT</t>
  </si>
  <si>
    <t>Tue, 10 Jun 2025 00:00:00 GMT</t>
  </si>
  <si>
    <t>Mon, 09 Jun 2025 00:00:00 GMT</t>
  </si>
  <si>
    <t>Fri, 06 Jun 2025 00:00:00 GMT</t>
  </si>
  <si>
    <t>Thu, 05 Jun 2025 00:00:00 GMT</t>
  </si>
  <si>
    <t>Wed, 04 Jun 2025 00:00:00 GMT</t>
  </si>
  <si>
    <t>Tue, 03 Jun 2025 00:00:00 GMT</t>
  </si>
  <si>
    <t>Mon, 02 Jun 2025 00:00:00 GMT</t>
  </si>
  <si>
    <t>Fri, 30 May 2025 00:00:00 GMT</t>
  </si>
  <si>
    <t>Thu, 29 May 2025 00:00:00 GMT</t>
  </si>
  <si>
    <t>Wed, 28 May 2025 00:00:00 GMT</t>
  </si>
  <si>
    <t>Tue, 27 May 2025 00:00:00 GMT</t>
  </si>
  <si>
    <t>Fri, 23 May 2025 00:00:00 GMT</t>
  </si>
  <si>
    <t>Thu, 22 May 2025 00:00:00 GMT</t>
  </si>
  <si>
    <t>Wed, 21 May 2025 00:00:00 GMT</t>
  </si>
  <si>
    <t>Tue, 20 May 2025 00:00:00 GMT</t>
  </si>
  <si>
    <t>Mon, 19 May 2025 00:00:00 GMT</t>
  </si>
  <si>
    <t>Fri, 16 May 2025 00:00:00 GMT</t>
  </si>
  <si>
    <t>Thu, 15 May 2025 00:00:00 GMT</t>
  </si>
  <si>
    <t>Wed, 14 May 2025 00:00:00 GMT</t>
  </si>
  <si>
    <t>Tue, 13 May 2025 00:00:00 GMT</t>
  </si>
  <si>
    <t>Mon, 12 May 2025 00:00:00 GMT</t>
  </si>
  <si>
    <t>Fri, 09 May 2025 00:00:00 GMT</t>
  </si>
  <si>
    <t>Thu, 08 May 2025 00:00:00 GMT</t>
  </si>
  <si>
    <t>Wed, 07 May 2025 00:00:00 GMT</t>
  </si>
  <si>
    <t>Tue, 06 May 2025 00:00:00 GMT</t>
  </si>
  <si>
    <t>Mon, 05 May 2025 00:00:00 GMT</t>
  </si>
  <si>
    <t>Fri, 02 May 2025 00:00:00 GMT</t>
  </si>
  <si>
    <t>Thu, 01 May 2025 00:00:00 GMT</t>
  </si>
  <si>
    <t>Wed, 30 Apr 2025 00:00:00 GMT</t>
  </si>
  <si>
    <t>Tue, 29 Apr 2025 00:00:00 GMT</t>
  </si>
  <si>
    <t>Mon, 28 Apr 2025 00:00:00 GMT</t>
  </si>
  <si>
    <t>Fri, 25 Apr 2025 00:00:00 GMT</t>
  </si>
  <si>
    <t>Thu, 24 Apr 2025 00:00:00 GMT</t>
  </si>
  <si>
    <t>Wed, 23 Apr 2025 00:00:00 GMT</t>
  </si>
  <si>
    <t>Tue, 22 Apr 2025 00:00:00 GMT</t>
  </si>
  <si>
    <t>Mon, 21 Apr 2025 00:00:00 GMT</t>
  </si>
  <si>
    <t>Thu, 17 Apr 2025 00:00:00 GMT</t>
  </si>
  <si>
    <t>Wed, 16 Apr 2025 00:00:00 GMT</t>
  </si>
  <si>
    <t>Tue, 15 Apr 2025 00:00:00 GMT</t>
  </si>
  <si>
    <t>Mon, 14 Apr 2025 00:00:00 GMT</t>
  </si>
  <si>
    <t>Fri, 11 Apr 2025 00:00:00 GMT</t>
  </si>
  <si>
    <t>Thu, 10 Apr 2025 00:00:00 GMT</t>
  </si>
  <si>
    <t>Wed, 09 Apr 2025 00:00:00 GMT</t>
  </si>
  <si>
    <t>Tue, 08 Apr 2025 00:00:00 GMT</t>
  </si>
  <si>
    <t>Mon, 07 Apr 2025 00:00:00 GMT</t>
  </si>
  <si>
    <t>Fri, 04 Apr 2025 00:00:00 GMT</t>
  </si>
  <si>
    <t>Thu, 03 Apr 2025 00:00:00 GMT</t>
  </si>
  <si>
    <t>Wed, 02 Apr 2025 00:00:00 GMT</t>
  </si>
  <si>
    <t>Tue, 01 Apr 2025 00:00:00 GMT</t>
  </si>
  <si>
    <t>Mon, 31 Mar 2025 00:00:00 GMT</t>
  </si>
  <si>
    <t>Fri, 28 Mar 2025 00:00:00 GMT</t>
  </si>
  <si>
    <t>Thu, 27 Mar 2025 00:00:00 GMT</t>
  </si>
  <si>
    <t>Wed, 26 Mar 2025 00:00:00 GMT</t>
  </si>
  <si>
    <t>Tue, 25 Mar 2025 00:00:00 GMT</t>
  </si>
  <si>
    <t>Mon, 24 Mar 2025 00:00:00 GMT</t>
  </si>
  <si>
    <t>Fri, 21 Mar 2025 00:00:00 GMT</t>
  </si>
  <si>
    <t>Thu, 20 Mar 2025 00:00:00 GMT</t>
  </si>
  <si>
    <t>Wed, 19 Mar 2025 00:00:00 GMT</t>
  </si>
  <si>
    <t>Tue, 18 Mar 2025 00:00:00 GMT</t>
  </si>
  <si>
    <t>Mon, 17 Mar 2025 00:00:00 GMT</t>
  </si>
  <si>
    <t>Fri, 14 Mar 2025 00:00:00 GMT</t>
  </si>
  <si>
    <t>Thu, 13 Mar 2025 00:00:00 GMT</t>
  </si>
  <si>
    <t>Wed, 12 Mar 2025 00:00:00 GMT</t>
  </si>
  <si>
    <t>Tue, 11 Mar 2025 00:00:00 GMT</t>
  </si>
  <si>
    <t>Mon, 10 Mar 2025 00:00:00 GMT</t>
  </si>
  <si>
    <t>Fri, 07 Mar 2025 00:00:00 GMT</t>
  </si>
  <si>
    <t>Thu, 06 Mar 2025 00:00:00 GMT</t>
  </si>
  <si>
    <t>Wed, 05 Mar 2025 00:00:00 GMT</t>
  </si>
  <si>
    <t>Tue, 04 Mar 2025 00:00:00 GMT</t>
  </si>
  <si>
    <t>Mon, 03 Mar 2025 00:00:00 GMT</t>
  </si>
  <si>
    <t>Fri, 28 Feb 2025 00:00:00 GMT</t>
  </si>
  <si>
    <t>Thu, 27 Feb 2025 00:00:00 GMT</t>
  </si>
  <si>
    <t>Wed, 26 Feb 2025 00:00:00 GMT</t>
  </si>
  <si>
    <t>Tue, 25 Feb 2025 00:00:00 GMT</t>
  </si>
  <si>
    <t>Mon, 24 Feb 2025 00:00:00 GMT</t>
  </si>
  <si>
    <t>Fri, 21 Feb 2025 00:00:00 GMT</t>
  </si>
  <si>
    <t>Thu, 20 Feb 2025 00:00:00 GMT</t>
  </si>
  <si>
    <t>Wed, 19 Feb 2025 00:00:00 GMT</t>
  </si>
  <si>
    <t>Tue, 18 Feb 2025 00:00:00 GMT</t>
  </si>
  <si>
    <t>Fri, 14 Feb 2025 00:00:00 GMT</t>
  </si>
  <si>
    <t>Thu, 13 Feb 2025 00:00:00 GMT</t>
  </si>
  <si>
    <t>Wed, 12 Feb 2025 00:00:00 GMT</t>
  </si>
  <si>
    <t>Tue, 11 Feb 2025 00:00:00 GMT</t>
  </si>
  <si>
    <t>Mon, 10 Feb 2025 00:00:00 GMT</t>
  </si>
  <si>
    <t>Fri, 07 Feb 2025 00:00:00 GMT</t>
  </si>
  <si>
    <t>Thu, 06 Feb 2025 00:00:00 GMT</t>
  </si>
  <si>
    <t>Wed, 05 Feb 2025 00:00:00 GMT</t>
  </si>
  <si>
    <t>Tue, 04 Feb 2025 00:00:00 GMT</t>
  </si>
  <si>
    <t>Mon, 03 Feb 2025 00:00:00 GMT</t>
  </si>
  <si>
    <t>Fri, 31 Jan 2025 00:00:00 GMT</t>
  </si>
  <si>
    <t>Thu, 30 Jan 2025 00:00:00 GMT</t>
  </si>
  <si>
    <t>Wed, 29 Jan 2025 00:00:00 GMT</t>
  </si>
  <si>
    <t>Tue, 28 Jan 2025 00:00:00 GMT</t>
  </si>
  <si>
    <t>Mon, 27 Jan 2025 00:00:00 GMT</t>
  </si>
  <si>
    <t>Fri, 24 Jan 2025 00:00:00 GMT</t>
  </si>
  <si>
    <t>Thu, 23 Jan 2025 00:00:00 GMT</t>
  </si>
  <si>
    <t>Wed, 22 Jan 2025 00:00:00 GMT</t>
  </si>
  <si>
    <t>Tue, 21 Jan 2025 00:00:00 GMT</t>
  </si>
  <si>
    <t>Fri, 17 Jan 2025 00:00:00 GMT</t>
  </si>
  <si>
    <t>Thu, 16 Jan 2025 00:00:00 GMT</t>
  </si>
  <si>
    <t>Wed, 15 Jan 2025 00:00:00 GMT</t>
  </si>
  <si>
    <t>Tue, 14 Jan 2025 00:00:00 GMT</t>
  </si>
  <si>
    <t>Mon, 13 Jan 2025 00:00:00 GMT</t>
  </si>
  <si>
    <t>Fri, 10 Jan 2025 00:00:00 GMT</t>
  </si>
  <si>
    <t>Wed, 08 Jan 2025 00:00:00 GMT</t>
  </si>
  <si>
    <t>Tue, 07 Jan 2025 00:00:00 GMT</t>
  </si>
  <si>
    <t>Mon, 06 Jan 2025 00:00:00 GMT</t>
  </si>
  <si>
    <t>Fri, 03 Jan 2025 00:00:00 GMT</t>
  </si>
  <si>
    <t>Thu, 02 Jan 2025 00:00:00 GMT</t>
  </si>
  <si>
    <t>Tue, 31 Dec 2024 00:00:00 GMT</t>
  </si>
  <si>
    <t>Mon, 30 Dec 2024 00:00:00 GMT</t>
  </si>
  <si>
    <t>Fri, 27 Dec 2024 00:00:00 GMT</t>
  </si>
  <si>
    <t>Thu, 26 Dec 2024 00:00:00 GMT</t>
  </si>
  <si>
    <t>Tue, 24 Dec 2024 00:00:00 GMT</t>
  </si>
  <si>
    <t>Mon, 23 Dec 2024 00:00:00 GMT</t>
  </si>
  <si>
    <t>Fri, 20 Dec 2024 00:00:00 GMT</t>
  </si>
  <si>
    <t>Thu, 19 Dec 2024 00:00:00 GMT</t>
  </si>
  <si>
    <t>Wed, 18 Dec 2024 00:00:00 GMT</t>
  </si>
  <si>
    <t>Tue, 17 Dec 2024 00:00:00 GMT</t>
  </si>
  <si>
    <t>Mon, 16 Dec 2024 00:00:00 GMT</t>
  </si>
  <si>
    <t>Fri, 13 Dec 2024 00:00:00 GMT</t>
  </si>
  <si>
    <t>Thu, 12 Dec 2024 00:00:00 GMT</t>
  </si>
  <si>
    <t>Wed, 11 Dec 2024 00:00:00 GMT</t>
  </si>
  <si>
    <t>Tue, 10 Dec 2024 00:00:00 GMT</t>
  </si>
  <si>
    <t>Mon, 09 Dec 2024 00:00:00 GMT</t>
  </si>
  <si>
    <t>Fri, 06 Dec 2024 00:00:00 GMT</t>
  </si>
  <si>
    <t>Thu, 05 Dec 2024 00:00:00 GMT</t>
  </si>
  <si>
    <t>Wed, 04 Dec 2024 00:00:00 GMT</t>
  </si>
  <si>
    <t>Tue, 03 Dec 2024 00:00:00 GMT</t>
  </si>
  <si>
    <t>Mon, 02 Dec 2024 00:00:00 GMT</t>
  </si>
  <si>
    <t>Fri, 29 Nov 2024 00:00:00 GMT</t>
  </si>
  <si>
    <t>Wed, 27 Nov 2024 00:00:00 GMT</t>
  </si>
  <si>
    <t>Tue, 26 Nov 2024 00:00:00 GMT</t>
  </si>
  <si>
    <t>Mon, 25 Nov 2024 00:00:00 GMT</t>
  </si>
  <si>
    <t>Fri, 22 Nov 2024 00:00:00 GMT</t>
  </si>
  <si>
    <t>Thu, 21 Nov 2024 00:00:00 GMT</t>
  </si>
  <si>
    <t>Wed, 20 Nov 2024 00:00:00 GMT</t>
  </si>
  <si>
    <t>Tue, 19 Nov 2024 00:00:00 GMT</t>
  </si>
  <si>
    <t>Mon, 18 Nov 2024 00:00:00 GMT</t>
  </si>
  <si>
    <t>Fri, 15 Nov 2024 00:00:00 GMT</t>
  </si>
  <si>
    <t>Thu, 14 Nov 2024 00:00:00 GMT</t>
  </si>
  <si>
    <t>Wed, 13 Nov 2024 00:00:00 GMT</t>
  </si>
  <si>
    <t>Tue, 12 Nov 2024 00:00:00 GMT</t>
  </si>
  <si>
    <t>Mon, 11 Nov 2024 00:00:00 GMT</t>
  </si>
  <si>
    <t>Fri, 08 Nov 2024 00:00:00 GMT</t>
  </si>
  <si>
    <t>Thu, 07 Nov 2024 00:00:00 GMT</t>
  </si>
  <si>
    <t>Wed, 06 Nov 2024 00:00:00 GMT</t>
  </si>
  <si>
    <t>Tue, 05 Nov 2024 00:00:00 GMT</t>
  </si>
  <si>
    <t>Mon, 04 Nov 2024 00:00:00 GMT</t>
  </si>
  <si>
    <t>Fri, 01 Nov 2024 00:00:00 GMT</t>
  </si>
  <si>
    <t>Thu, 31 Oct 2024 00:00:00 GMT</t>
  </si>
  <si>
    <t>Wed, 30 Oct 2024 00:00:00 GMT</t>
  </si>
  <si>
    <t>Tue, 29 Oct 2024 00:00:00 GMT</t>
  </si>
  <si>
    <t>Mon, 28 Oct 2024 00:00:00 GMT</t>
  </si>
  <si>
    <t>Fri, 25 Oct 2024 00:00:00 GMT</t>
  </si>
  <si>
    <t>Thu, 24 Oct 2024 00:00:00 GMT</t>
  </si>
  <si>
    <t>Wed, 23 Oct 2024 00:00:00 GMT</t>
  </si>
  <si>
    <t>Tue, 22 Oct 2024 00:00:00 GMT</t>
  </si>
  <si>
    <t>Mon, 21 Oct 2024 00:00:00 GMT</t>
  </si>
  <si>
    <t>Fri, 18 Oct 2024 00:00:00 GMT</t>
  </si>
  <si>
    <t>Thu, 17 Oct 2024 00:00:00 GMT</t>
  </si>
  <si>
    <t>Wed, 16 Oct 2024 00:00:00 GMT</t>
  </si>
  <si>
    <t>Tue, 15 Oct 2024 00:00:00 GMT</t>
  </si>
  <si>
    <t>Mon, 14 Oct 2024 00:00:00 GMT</t>
  </si>
  <si>
    <t>Fri, 11 Oct 2024 00:00:00 GMT</t>
  </si>
  <si>
    <t>Thu, 10 Oct 2024 00:00:00 GMT</t>
  </si>
  <si>
    <t>Wed, 09 Oct 2024 00:00:00 GMT</t>
  </si>
  <si>
    <t>Tue, 08 Oct 2024 00:00:00 GMT</t>
  </si>
  <si>
    <t>Mon, 07 Oct 2024 00:00:00 GMT</t>
  </si>
  <si>
    <t>Fri, 04 Oct 2024 00:00:00 GMT</t>
  </si>
  <si>
    <t>Thu, 03 Oct 2024 00:00:00 GMT</t>
  </si>
  <si>
    <t>Wed, 02 Oct 2024 00:00:00 GMT</t>
  </si>
  <si>
    <t>Tue, 01 Oct 2024 00:00:00 GMT</t>
  </si>
  <si>
    <t>Mon, 30 Sep 2024 00:00:00 GMT</t>
  </si>
  <si>
    <t>Fri, 27 Sep 2024 00:00:00 GMT</t>
  </si>
  <si>
    <t>Thu, 26 Sep 2024 00:00:00 GMT</t>
  </si>
  <si>
    <t>Wed, 25 Sep 2024 00:00:00 GMT</t>
  </si>
  <si>
    <t>Tue, 24 Sep 2024 00:00:00 GMT</t>
  </si>
  <si>
    <t>Mon, 23 Sep 2024 00:00:00 GMT</t>
  </si>
  <si>
    <t>Fri, 20 Sep 2024 00:00:00 GMT</t>
  </si>
  <si>
    <t>Thu, 19 Sep 2024 00:00:00 GMT</t>
  </si>
  <si>
    <t>Wed, 18 Sep 2024 00:00:00 GMT</t>
  </si>
  <si>
    <t>Tue, 17 Sep 2024 00:00:00 GMT</t>
  </si>
  <si>
    <t>Mon, 16 Sep 2024 00:00:00 GMT</t>
  </si>
  <si>
    <t>Fri, 13 Sep 2024 00:00:00 GMT</t>
  </si>
  <si>
    <t>Thu, 12 Sep 2024 00:00:00 GMT</t>
  </si>
  <si>
    <t>Wed, 11 Sep 2024 00:00:00 GMT</t>
  </si>
  <si>
    <t>Tue, 10 Sep 2024 00:00:00 GMT</t>
  </si>
  <si>
    <t>Mon, 09 Sep 2024 00:00:00 GMT</t>
  </si>
  <si>
    <t>Fri, 06 Sep 2024 00:00:00 GMT</t>
  </si>
  <si>
    <t>Thu, 05 Sep 2024 00:00:00 GMT</t>
  </si>
  <si>
    <t>Wed, 04 Sep 2024 00:00:00 GMT</t>
  </si>
  <si>
    <t>Tue, 03 Sep 2024 00:00:00 GMT</t>
  </si>
  <si>
    <t>Fri, 30 Aug 2024 00:00:00 GMT</t>
  </si>
  <si>
    <t>Thu, 29 Aug 2024 00:00:00 GMT</t>
  </si>
  <si>
    <t>Wed, 28 Aug 2024 00:00:00 GMT</t>
  </si>
  <si>
    <t>Tue, 27 Aug 2024 00:00:00 GMT</t>
  </si>
  <si>
    <t>Mon, 26 Aug 2024 00:00:00 GMT</t>
  </si>
  <si>
    <t>Fri, 23 Aug 2024 00:00:00 GMT</t>
  </si>
  <si>
    <t>Thu, 22 Aug 2024 00:00:00 GMT</t>
  </si>
  <si>
    <t>Wed, 21 Aug 2024 00:00:00 GMT</t>
  </si>
  <si>
    <t>Tue, 20 Aug 2024 00:00:00 GMT</t>
  </si>
  <si>
    <t>Mon, 19 Aug 2024 00:00:00 GMT</t>
  </si>
  <si>
    <t>Fri, 16 Aug 2024 00:00:00 GMT</t>
  </si>
  <si>
    <t>Thu, 15 Aug 2024 00:00:00 GMT</t>
  </si>
  <si>
    <t>Wed, 14 Aug 2024 00:00:00 GMT</t>
  </si>
  <si>
    <t>Tue, 13 Aug 2024 00:00:00 GMT</t>
  </si>
  <si>
    <t>Mon, 12 Aug 2024 00:00:00 GMT</t>
  </si>
  <si>
    <t>Fri, 09 Aug 2024 00:00:00 GMT</t>
  </si>
  <si>
    <t>Thu, 08 Aug 2024 00:00:00 GMT</t>
  </si>
  <si>
    <t>Wed, 07 Aug 2024 00:00:00 GMT</t>
  </si>
  <si>
    <t>Tue, 06 Aug 2024 00:00:00 GMT</t>
  </si>
  <si>
    <t>Mon, 05 Aug 2024 00:00:00 GMT</t>
  </si>
  <si>
    <t>Fri, 02 Aug 2024 00:00:00 GMT</t>
  </si>
  <si>
    <t>Thu, 01 Aug 2024 00:00:00 GMT</t>
  </si>
  <si>
    <t>Wed, 31 Jul 2024 00:00:00 GMT</t>
  </si>
  <si>
    <t>Tue, 30 Jul 2024 00:00:00 GMT</t>
  </si>
  <si>
    <t>Mon, 29 Jul 2024 00:00:00 GMT</t>
  </si>
  <si>
    <t>Fri, 26 Jul 2024 00:00:00 GMT</t>
  </si>
  <si>
    <t>Thu, 25 Jul 2024 00:00:00 GMT</t>
  </si>
  <si>
    <t>Wed, 24 Jul 2024 00:00:00 GMT</t>
  </si>
  <si>
    <t>Tue, 23 Jul 2024 00:00:00 GMT</t>
  </si>
  <si>
    <t>Mon, 22 Jul 2024 00:00:00 GMT</t>
  </si>
  <si>
    <t>Fri, 19 Jul 2024 00:00:00 GMT</t>
  </si>
  <si>
    <t>Thu, 18 Jul 2024 00:00:00 GMT</t>
  </si>
  <si>
    <t>Wed, 17 Jul 2024 00:00:00 GMT</t>
  </si>
  <si>
    <t>Tue, 16 Jul 2024 00:00:00 GMT</t>
  </si>
  <si>
    <t>Mon, 15 Jul 2024 00:00:00 GMT</t>
  </si>
  <si>
    <t>Fri, 12 Jul 2024 00:00:00 GMT</t>
  </si>
  <si>
    <t>Thu, 11 Jul 2024 00:00:00 GMT</t>
  </si>
  <si>
    <t>Wed, 10 Jul 2024 00:00:00 GMT</t>
  </si>
  <si>
    <t>Tue, 09 Jul 2024 00:00:00 GMT</t>
  </si>
  <si>
    <t>Mon, 08 Jul 2024 00:00:00 GMT</t>
  </si>
  <si>
    <t>Fri, 05 Jul 2024 00:00:00 GMT</t>
  </si>
  <si>
    <t>Wed, 03 Jul 2024 00:00:00 GMT</t>
  </si>
  <si>
    <t>Tue, 02 Jul 2024 00:00:00 GMT</t>
  </si>
  <si>
    <t>Mon, 01 Jul 2024 00:00:00 GMT</t>
  </si>
  <si>
    <t>Fri, 28 Jun 2024 00:00:00 GMT</t>
  </si>
  <si>
    <t>Thu, 27 Jun 2024 00:00:00 GMT</t>
  </si>
  <si>
    <t>Wed, 26 Jun 2024 00:00:00 GMT</t>
  </si>
  <si>
    <t>Tue, 25 Jun 2024 00:00:00 GMT</t>
  </si>
  <si>
    <t>Mon, 24 Jun 2024 00:00:00 GMT</t>
  </si>
  <si>
    <t>Fri, 21 Jun 2024 00:00:00 GMT</t>
  </si>
  <si>
    <t>Thu, 20 Jun 2024 00:00:00 GMT</t>
  </si>
  <si>
    <t>Tue, 18 Jun 2024 00:00:00 GMT</t>
  </si>
  <si>
    <t>Mon, 17 Jun 2024 00:00:00 GMT</t>
  </si>
  <si>
    <t>Fri, 14 Jun 2024 00:00:00 GMT</t>
  </si>
  <si>
    <t>Thu, 13 Jun 2024 00:00:00 GMT</t>
  </si>
  <si>
    <t>Wed, 12 Jun 2024 00:00:00 GMT</t>
  </si>
  <si>
    <t>Tue, 11 Jun 2024 00:00:00 GMT</t>
  </si>
  <si>
    <t>Mon, 10 Jun 2024 00:00:00 GMT</t>
  </si>
  <si>
    <t>Fri, 07 Jun 2024 00:00:00 GMT</t>
  </si>
  <si>
    <t>Thu, 06 Jun 2024 00:00:00 GMT</t>
  </si>
  <si>
    <t>Wed, 05 Jun 2024 00:00:00 GMT</t>
  </si>
  <si>
    <t>Tue, 04 Jun 2024 00:00:00 GMT</t>
  </si>
  <si>
    <t>Mon, 03 Jun 2024 00:00:00 GMT</t>
  </si>
  <si>
    <t>Fri, 31 May 2024 00:00:00 GMT</t>
  </si>
  <si>
    <t>Thu, 30 May 2024 00:00:00 GMT</t>
  </si>
  <si>
    <t>Wed, 29 May 2024 00:00:00 GMT</t>
  </si>
  <si>
    <t>Tue, 28 May 2024 00:00:00 GMT</t>
  </si>
  <si>
    <t>Fri, 24 May 2024 00:00:00 GMT</t>
  </si>
  <si>
    <t>Thu, 23 May 2024 00:00:00 GMT</t>
  </si>
  <si>
    <t>Wed, 22 May 2024 00:00:00 GMT</t>
  </si>
  <si>
    <t>Tue, 21 May 2024 00:00:00 GMT</t>
  </si>
  <si>
    <t>Mon, 20 May 2024 00:00:00 GMT</t>
  </si>
  <si>
    <t>Fri, 17 May 2024 00:00:00 GMT</t>
  </si>
  <si>
    <t>Thu, 16 May 2024 00:00:00 GMT</t>
  </si>
  <si>
    <t>Wed, 15 May 2024 00:00:00 GMT</t>
  </si>
  <si>
    <t>Tue, 14 May 2024 00:00:00 GMT</t>
  </si>
  <si>
    <t>Mon, 13 May 2024 00:00:00 GMT</t>
  </si>
  <si>
    <t>Fri, 10 May 2024 00:00:00 GMT</t>
  </si>
  <si>
    <t>Thu, 09 May 2024 00:00:00 GMT</t>
  </si>
  <si>
    <t>Wed, 08 May 2024 00:00:00 GMT</t>
  </si>
  <si>
    <t>Tue, 07 May 2024 00:00:00 GMT</t>
  </si>
  <si>
    <t>Mon, 06 May 2024 00:00:00 GMT</t>
  </si>
  <si>
    <t>Fri, 03 May 2024 00:00:00 GMT</t>
  </si>
  <si>
    <t>Thu, 02 May 2024 00:00:00 GMT</t>
  </si>
  <si>
    <t>Wed, 01 May 2024 00:00:00 GMT</t>
  </si>
  <si>
    <t>Tue, 30 Apr 2024 00:00:00 GMT</t>
  </si>
  <si>
    <t>Mon, 29 Apr 2024 00:00:00 GMT</t>
  </si>
  <si>
    <t>Fri, 26 Apr 2024 00:00:00 GMT</t>
  </si>
  <si>
    <t>Thu, 25 Apr 2024 00:00:00 GMT</t>
  </si>
  <si>
    <t>Wed, 24 Apr 2024 00:00:00 GMT</t>
  </si>
  <si>
    <t>Tue, 23 Apr 2024 00:00:00 GMT</t>
  </si>
  <si>
    <t>Mon, 22 Apr 2024 00:00:00 GMT</t>
  </si>
  <si>
    <t>Fri, 19 Apr 2024 00:00:00 GMT</t>
  </si>
  <si>
    <t>Thu, 18 Apr 2024 00:00:00 GMT</t>
  </si>
  <si>
    <t>Wed, 17 Apr 2024 00:00:00 GMT</t>
  </si>
  <si>
    <t>Tue, 16 Apr 2024 00:00:00 GMT</t>
  </si>
  <si>
    <t>Mon, 15 Apr 2024 00:00:00 GMT</t>
  </si>
  <si>
    <t>Fri, 12 Apr 2024 00:00:00 GMT</t>
  </si>
  <si>
    <t>Thu, 11 Apr 2024 00:00:00 GMT</t>
  </si>
  <si>
    <t>Wed, 10 Apr 2024 00:00:00 GMT</t>
  </si>
  <si>
    <t>Tue, 09 Apr 2024 00:00:00 GMT</t>
  </si>
  <si>
    <t>Mon, 08 Apr 2024 00:00:00 GMT</t>
  </si>
  <si>
    <t>Fri, 05 Apr 2024 00:00:00 GMT</t>
  </si>
  <si>
    <t>Thu, 04 Apr 2024 00:00:00 GMT</t>
  </si>
  <si>
    <t>Wed, 03 Apr 2024 00:00:00 GMT</t>
  </si>
  <si>
    <t>Tue, 02 Apr 2024 00:00:00 GMT</t>
  </si>
  <si>
    <t>Mon, 01 Apr 2024 00:00:00 GMT</t>
  </si>
  <si>
    <t>Thu, 28 Mar 2024 00:00:00 GMT</t>
  </si>
  <si>
    <t>Wed, 27 Mar 2024 00:00:00 GMT</t>
  </si>
  <si>
    <t>Tue, 26 Mar 2024 00:00:00 GMT</t>
  </si>
  <si>
    <t>Mon, 25 Mar 2024 00:00:00 GMT</t>
  </si>
  <si>
    <t>Fri, 22 Mar 2024 00:00:00 GMT</t>
  </si>
  <si>
    <t>Thu, 21 Mar 2024 00:00:00 GMT</t>
  </si>
  <si>
    <t>Wed, 20 Mar 2024 00:00:00 GMT</t>
  </si>
  <si>
    <t>Tue, 19 Mar 2024 00:00:00 GMT</t>
  </si>
  <si>
    <t>Mon, 18 Mar 2024 00:00:00 GMT</t>
  </si>
  <si>
    <t>Fri, 15 Mar 2024 00:00:00 GMT</t>
  </si>
  <si>
    <t>Thu, 14 Mar 2024 00:00:00 GMT</t>
  </si>
  <si>
    <t>Wed, 13 Mar 2024 00:00:00 GMT</t>
  </si>
  <si>
    <t>Tue, 12 Mar 2024 00:00:00 GMT</t>
  </si>
  <si>
    <t>Mon, 11 Mar 2024 00:00:00 GMT</t>
  </si>
  <si>
    <t>Fri, 08 Mar 2024 00:00:00 GMT</t>
  </si>
  <si>
    <t>Thu, 07 Mar 2024 00:00:00 GMT</t>
  </si>
  <si>
    <t>Wed, 06 Mar 2024 00:00:00 GMT</t>
  </si>
  <si>
    <t>Tue, 05 Mar 2024 00:00:00 GMT</t>
  </si>
  <si>
    <t>Mon, 04 Mar 2024 00:00:00 GMT</t>
  </si>
  <si>
    <t>Fri, 01 Mar 2024 00:00:00 GMT</t>
  </si>
  <si>
    <t>Thu, 29 Feb 2024 00:00:00 GMT</t>
  </si>
  <si>
    <t>Wed, 28 Feb 2024 00:00:00 GMT</t>
  </si>
  <si>
    <t>Tue, 27 Feb 2024 00:00:00 GMT</t>
  </si>
  <si>
    <t>Mon, 26 Feb 2024 00:00:00 GMT</t>
  </si>
  <si>
    <t>Fri, 23 Feb 2024 00:00:00 GMT</t>
  </si>
  <si>
    <t>Thu, 22 Feb 2024 00:00:00 GMT</t>
  </si>
  <si>
    <t>Wed, 21 Feb 2024 00:00:00 GMT</t>
  </si>
  <si>
    <t>Tue, 20 Feb 2024 00:00:00 GMT</t>
  </si>
  <si>
    <t>Fri, 16 Feb 2024 00:00:00 GMT</t>
  </si>
  <si>
    <t>Thu, 15 Feb 2024 00:00:00 GMT</t>
  </si>
  <si>
    <t>Wed, 14 Feb 2024 00:00:00 GMT</t>
  </si>
  <si>
    <t>Tue, 13 Feb 2024 00:00:00 GMT</t>
  </si>
  <si>
    <t>Mon, 12 Feb 2024 00:00:00 GMT</t>
  </si>
  <si>
    <t>Fri, 09 Feb 2024 00:00:00 GMT</t>
  </si>
  <si>
    <t>Thu, 08 Feb 2024 00:00:00 GMT</t>
  </si>
  <si>
    <t>Wed, 07 Feb 2024 00:00:00 GMT</t>
  </si>
  <si>
    <t>Tue, 06 Feb 2024 00:00:00 GMT</t>
  </si>
  <si>
    <t>Mon, 05 Feb 2024 00:00:00 GMT</t>
  </si>
  <si>
    <t>Fri, 02 Feb 2024 00:00:00 GMT</t>
  </si>
  <si>
    <t>Thu, 01 Feb 2024 00:00:00 GMT</t>
  </si>
  <si>
    <t>Wed, 31 Jan 2024 00:00:00 GMT</t>
  </si>
  <si>
    <t>Tue, 30 Jan 2024 00:00:00 GMT</t>
  </si>
  <si>
    <t>Mon, 29 Jan 2024 00:00:00 GMT</t>
  </si>
  <si>
    <t>Fri, 26 Jan 2024 00:00:00 GMT</t>
  </si>
  <si>
    <t>Thu, 25 Jan 2024 00:00:00 GMT</t>
  </si>
  <si>
    <t>Wed, 24 Jan 2024 00:00:00 GMT</t>
  </si>
  <si>
    <t>Tue, 23 Jan 2024 00:00:00 GMT</t>
  </si>
  <si>
    <t>Mon, 22 Jan 2024 00:00:00 GMT</t>
  </si>
  <si>
    <t>Fri, 19 Jan 2024 00:00:00 GMT</t>
  </si>
  <si>
    <t>Thu, 18 Jan 2024 00:00:00 GMT</t>
  </si>
  <si>
    <t>Wed, 17 Jan 2024 00:00:00 GMT</t>
  </si>
  <si>
    <t>Tue, 16 Jan 2024 00:00:00 GMT</t>
  </si>
  <si>
    <t>Fri, 12 Jan 2024 00:00:00 GMT</t>
  </si>
  <si>
    <t>Thu, 11 Jan 2024 00:00:00 GMT</t>
  </si>
  <si>
    <t>Wed, 10 Jan 2024 00:00:00 GMT</t>
  </si>
  <si>
    <t>Tue, 09 Jan 2024 00:00:00 GMT</t>
  </si>
  <si>
    <t>Mon, 08 Jan 2024 00:00:00 GMT</t>
  </si>
  <si>
    <t>Fri, 05 Jan 2024 00:00:00 GMT</t>
  </si>
  <si>
    <t>Thu, 04 Jan 2024 00:00:00 GMT</t>
  </si>
  <si>
    <t>Wed, 03 Jan 2024 00:00:00 GMT</t>
  </si>
  <si>
    <t>Tue, 02 Jan 2024 00:00:00 GMT</t>
  </si>
  <si>
    <t>Fri, 29 Dec 2023 00:00:00 GMT</t>
  </si>
  <si>
    <t>Thu, 28 Dec 2023 00:00:00 GMT</t>
  </si>
  <si>
    <t>Wed, 27 Dec 2023 00:00:00 GMT</t>
  </si>
  <si>
    <t>Tue, 26 Dec 2023 00:00:00 GMT</t>
  </si>
  <si>
    <t>Fri, 22 Dec 2023 00:00:00 GMT</t>
  </si>
  <si>
    <t>Thu, 21 Dec 2023 00:00:00 GMT</t>
  </si>
  <si>
    <t>Wed, 20 Dec 2023 00:00:00 GMT</t>
  </si>
  <si>
    <t>Tue, 19 Dec 2023 00:00:00 GMT</t>
  </si>
  <si>
    <t>Mon, 18 Dec 2023 00:00:00 GMT</t>
  </si>
  <si>
    <t>Fri, 15 Dec 2023 00:00:00 GMT</t>
  </si>
  <si>
    <t>Thu, 14 Dec 2023 00:00:00 GMT</t>
  </si>
  <si>
    <t>Wed, 13 Dec 2023 00:00:00 GMT</t>
  </si>
  <si>
    <t>Tue, 12 Dec 2023 00:00:00 GMT</t>
  </si>
  <si>
    <t>Mon, 11 Dec 2023 00:00:00 GMT</t>
  </si>
  <si>
    <t>Fri, 08 Dec 2023 00:00:00 GMT</t>
  </si>
  <si>
    <t>Thu, 07 Dec 2023 00:00:00 GMT</t>
  </si>
  <si>
    <t>Wed, 06 Dec 2023 00:00:00 GMT</t>
  </si>
  <si>
    <t>Tue, 05 Dec 2023 00:00:00 GMT</t>
  </si>
  <si>
    <t>Mon, 04 Dec 2023 00:00:00 GMT</t>
  </si>
  <si>
    <t>Fri, 01 Dec 2023 00:00:00 GMT</t>
  </si>
  <si>
    <t>Thu, 30 Nov 2023 00:00:00 GMT</t>
  </si>
  <si>
    <t>Wed, 29 Nov 2023 00:00:00 GMT</t>
  </si>
  <si>
    <t>Tue, 28 Nov 2023 00:00:00 GMT</t>
  </si>
  <si>
    <t>Mon, 27 Nov 2023 00:00:00 GMT</t>
  </si>
  <si>
    <t>Fri, 24 Nov 2023 00:00:00 GMT</t>
  </si>
  <si>
    <t>Wed, 22 Nov 2023 00:00:00 GMT</t>
  </si>
  <si>
    <t>Tue, 21 Nov 2023 00:00:00 GMT</t>
  </si>
  <si>
    <t>Mon, 20 Nov 2023 00:00:00 GMT</t>
  </si>
  <si>
    <t>Fri, 17 Nov 2023 00:00:00 GMT</t>
  </si>
  <si>
    <t>Thu, 16 Nov 2023 00:00:00 GMT</t>
  </si>
  <si>
    <t>Wed, 15 Nov 2023 00:00:00 GMT</t>
  </si>
  <si>
    <t>Tue, 14 Nov 2023 00:00:00 GMT</t>
  </si>
  <si>
    <t>Mon, 13 Nov 2023 00:00:00 GMT</t>
  </si>
  <si>
    <t>Fri, 10 Nov 2023 00:00:00 GMT</t>
  </si>
  <si>
    <t>Thu, 09 Nov 2023 00:00:00 GMT</t>
  </si>
  <si>
    <t>Wed, 08 Nov 2023 00:00:00 GMT</t>
  </si>
  <si>
    <t>Tue, 07 Nov 2023 00:00:00 GMT</t>
  </si>
  <si>
    <t>Mon, 06 Nov 2023 00:00:00 GMT</t>
  </si>
  <si>
    <t>Fri, 03 Nov 2023 00:00:00 GMT</t>
  </si>
  <si>
    <t>Thu, 02 Nov 2023 00:00:00 GMT</t>
  </si>
  <si>
    <t>Wed, 01 Nov 2023 00:00:00 GMT</t>
  </si>
  <si>
    <t>Tue, 31 Oct 2023 00:00:00 GMT</t>
  </si>
  <si>
    <t>Mon, 30 Oct 2023 00:00:00 GMT</t>
  </si>
  <si>
    <t>Fri, 27 Oct 2023 00:00:00 GMT</t>
  </si>
  <si>
    <t>Thu, 26 Oct 2023 00:00:00 GMT</t>
  </si>
  <si>
    <t>Wed, 25 Oct 2023 00:00:00 GMT</t>
  </si>
  <si>
    <t>Tue, 24 Oct 2023 00:00:00 GMT</t>
  </si>
  <si>
    <t>Mon, 23 Oct 2023 00:00:00 GMT</t>
  </si>
  <si>
    <t>Fri, 20 Oct 2023 00:00:00 GMT</t>
  </si>
  <si>
    <t>Thu, 19 Oct 2023 00:00:00 GMT</t>
  </si>
  <si>
    <t>Wed, 18 Oct 2023 00:00:00 GMT</t>
  </si>
  <si>
    <t>Tue, 17 Oct 2023 00:00:00 GMT</t>
  </si>
  <si>
    <t>Mon, 16 Oct 2023 00:00:00 GMT</t>
  </si>
  <si>
    <t>Fri, 13 Oct 2023 00:00:00 GMT</t>
  </si>
  <si>
    <t>Thu, 12 Oct 2023 00:00:00 GMT</t>
  </si>
  <si>
    <t>Wed, 11 Oct 2023 00:00:00 GMT</t>
  </si>
  <si>
    <t>Tue, 10 Oct 2023 00:00:00 GMT</t>
  </si>
  <si>
    <t>Mon, 09 Oct 2023 00:00:00 GMT</t>
  </si>
  <si>
    <t>Fri, 06 Oct 2023 00:00:00 GMT</t>
  </si>
  <si>
    <t>Thu, 05 Oct 2023 00:00:00 GMT</t>
  </si>
  <si>
    <t>Wed, 04 Oct 2023 00:00:00 GMT</t>
  </si>
  <si>
    <t>Tue, 03 Oct 2023 00:00:00 GMT</t>
  </si>
  <si>
    <t>Mon, 02 Oct 2023 00:00:00 GMT</t>
  </si>
  <si>
    <t>Fri, 29 Sep 2023 00:00:00 GMT</t>
  </si>
  <si>
    <t>Thu, 28 Sep 2023 00:00:00 GMT</t>
  </si>
  <si>
    <t>Wed, 27 Sep 2023 00:00:00 GMT</t>
  </si>
  <si>
    <t>Tue, 26 Sep 2023 00:00:00 GMT</t>
  </si>
  <si>
    <t>Mon, 25 Sep 2023 00:00:00 GMT</t>
  </si>
  <si>
    <t>Fri, 22 Sep 2023 00:00:00 GMT</t>
  </si>
  <si>
    <t>Thu, 21 Sep 2023 00:00:00 GMT</t>
  </si>
  <si>
    <t>Wed, 20 Sep 2023 00:00:00 GMT</t>
  </si>
  <si>
    <t>Tue, 19 Sep 2023 00:00:00 GMT</t>
  </si>
  <si>
    <t>Mon, 18 Sep 2023 00:00:00 GMT</t>
  </si>
  <si>
    <t>Fri, 15 Sep 2023 00:00:00 GMT</t>
  </si>
  <si>
    <t>Thu, 14 Sep 2023 00:00:00 GMT</t>
  </si>
  <si>
    <t>Wed, 13 Sep 2023 00:00:00 GMT</t>
  </si>
  <si>
    <t>Tue, 12 Sep 2023 00:00:00 GMT</t>
  </si>
  <si>
    <t>Mon, 11 Sep 2023 00:00:00 GMT</t>
  </si>
  <si>
    <t>Fri, 08 Sep 2023 00:00:00 GMT</t>
  </si>
  <si>
    <t>Thu, 07 Sep 2023 00:00:00 GMT</t>
  </si>
  <si>
    <t>Wed, 06 Sep 2023 00:00:00 GMT</t>
  </si>
  <si>
    <t>Tue, 05 Sep 2023 00:00:00 GMT</t>
  </si>
  <si>
    <t>Fri, 01 Sep 2023 00:00:00 GMT</t>
  </si>
  <si>
    <t>Thu, 31 Aug 2023 00:00:00 GMT</t>
  </si>
  <si>
    <t>Wed, 30 Aug 2023 00:00:00 GMT</t>
  </si>
  <si>
    <t>Tue, 29 Aug 2023 00:00:00 GMT</t>
  </si>
  <si>
    <t>Mon, 28 Aug 2023 00:00:00 GMT</t>
  </si>
  <si>
    <t>Fri, 25 Aug 2023 00:00:00 GMT</t>
  </si>
  <si>
    <t>Thu, 24 Aug 2023 00:00:00 GMT</t>
  </si>
  <si>
    <t>Wed, 23 Aug 2023 00:00:00 GMT</t>
  </si>
  <si>
    <t>Tue, 22 Aug 2023 00:00:00 GMT</t>
  </si>
  <si>
    <t>Mon, 21 Aug 2023 00:00:00 GMT</t>
  </si>
  <si>
    <t>Fri, 18 Aug 2023 00:00:00 GMT</t>
  </si>
  <si>
    <t>Thu, 17 Aug 2023 00:00:00 GMT</t>
  </si>
  <si>
    <t>Wed, 16 Aug 2023 00:00:00 GMT</t>
  </si>
  <si>
    <t>Tue, 15 Aug 2023 00:00:00 GMT</t>
  </si>
  <si>
    <t>Mon, 14 Aug 2023 00:00:00 GMT</t>
  </si>
  <si>
    <t>Fri, 11 Aug 2023 00:00:00 GMT</t>
  </si>
  <si>
    <t>Thu, 10 Aug 2023 00:00:00 GMT</t>
  </si>
  <si>
    <t>Wed, 09 Aug 2023 00:00:00 GMT</t>
  </si>
  <si>
    <t>Tue, 08 Aug 2023 00:00:00 GMT</t>
  </si>
  <si>
    <t>Mon, 07 Aug 2023 00:00:00 GMT</t>
  </si>
  <si>
    <t>Fri, 04 Aug 2023 00:00:00 GMT</t>
  </si>
  <si>
    <t>Thu, 03 Aug 2023 00:00:00 GMT</t>
  </si>
  <si>
    <t>Wed, 02 Aug 2023 00:00:00 GMT</t>
  </si>
  <si>
    <t>Tue, 01 Aug 2023 00:00:00 GMT</t>
  </si>
  <si>
    <t>Mon, 31 Jul 2023 00:00:00 GMT</t>
  </si>
  <si>
    <t>Fri, 28 Jul 2023 00:00:00 GMT</t>
  </si>
  <si>
    <t>Thu, 27 Jul 2023 00:00:00 GMT</t>
  </si>
  <si>
    <t>Wed, 26 Jul 2023 00:00:00 GMT</t>
  </si>
  <si>
    <t>Tue, 25 Jul 2023 00:00:00 GMT</t>
  </si>
  <si>
    <t>Mon, 24 Jul 2023 00:00:00 GMT</t>
  </si>
  <si>
    <t>Fri, 21 Jul 2023 00:00:00 GMT</t>
  </si>
  <si>
    <t>Thu, 20 Jul 2023 00:00:00 GMT</t>
  </si>
  <si>
    <t>Wed, 19 Jul 2023 00:00:00 GMT</t>
  </si>
  <si>
    <t>Tue, 18 Jul 2023 00:00:00 GMT</t>
  </si>
  <si>
    <t>Mon, 17 Jul 2023 00:00:00 GMT</t>
  </si>
  <si>
    <t>Fri, 14 Jul 2023 00:00:00 GMT</t>
  </si>
  <si>
    <t>Thu, 13 Jul 2023 00:00:00 GMT</t>
  </si>
  <si>
    <t>Wed, 12 Jul 2023 00:00:00 GMT</t>
  </si>
  <si>
    <t>Tue, 11 Jul 2023 00:00:00 GMT</t>
  </si>
  <si>
    <t>Mon, 10 Jul 2023 00:00:00 GMT</t>
  </si>
  <si>
    <t>Fri, 07 Jul 2023 00:00:00 GMT</t>
  </si>
  <si>
    <t>Thu, 06 Jul 2023 00:00:00 GMT</t>
  </si>
  <si>
    <t>Wed, 05 Jul 2023 00:00:00 GMT</t>
  </si>
  <si>
    <t>Mon, 03 Jul 2023 00:00:00 GMT</t>
  </si>
  <si>
    <t>Fri, 30 Jun 2023 00:00:00 GMT</t>
  </si>
  <si>
    <t>Thu, 29 Jun 2023 00:00:00 GMT</t>
  </si>
  <si>
    <t>Wed, 28 Jun 2023 00:00:00 GMT</t>
  </si>
  <si>
    <t>Tue, 27 Jun 2023 00:00:00 GMT</t>
  </si>
  <si>
    <t>Mon, 26 Jun 2023 00:00:00 GMT</t>
  </si>
  <si>
    <t>Fri, 23 Jun 2023 00:00:00 GMT</t>
  </si>
  <si>
    <t>Thu, 22 Jun 2023 00:00:00 GMT</t>
  </si>
  <si>
    <t>Wed, 21 Jun 2023 00:00:00 GMT</t>
  </si>
  <si>
    <t>Tue, 20 Jun 2023 00:00:00 GMT</t>
  </si>
  <si>
    <t>Fri, 16 Jun 2023 00:00:00 GMT</t>
  </si>
  <si>
    <t>Thu, 15 Jun 2023 00:00:00 GMT</t>
  </si>
  <si>
    <t>Wed, 14 Jun 2023 00:00:00 GMT</t>
  </si>
  <si>
    <t>Tue, 13 Jun 2023 00:00:00 GMT</t>
  </si>
  <si>
    <t>Mon, 12 Jun 2023 00:00:00 GMT</t>
  </si>
  <si>
    <t>Fri, 09 Jun 2023 00:00:00 GMT</t>
  </si>
  <si>
    <t>Thu, 08 Jun 2023 00:00:00 GMT</t>
  </si>
  <si>
    <t>Wed, 07 Jun 2023 00:00:00 GMT</t>
  </si>
  <si>
    <t>Tue, 06 Jun 2023 00:00:00 GMT</t>
  </si>
  <si>
    <t>Mon, 05 Jun 2023 00:00:00 GMT</t>
  </si>
  <si>
    <t>Fri, 02 Jun 2023 00:00:00 GMT</t>
  </si>
  <si>
    <t>Thu, 01 Jun 2023 00:00:00 GMT</t>
  </si>
  <si>
    <t>Wed, 31 May 2023 00:00:00 GMT</t>
  </si>
  <si>
    <t>Tue, 30 May 2023 00:00:00 GMT</t>
  </si>
  <si>
    <t>Fri, 26 May 2023 00:00:00 GMT</t>
  </si>
  <si>
    <t>Thu, 25 May 2023 00:00:00 GMT</t>
  </si>
  <si>
    <t>Wed, 24 May 2023 00:00:00 GMT</t>
  </si>
  <si>
    <t>Tue, 23 May 2023 00:00:00 GMT</t>
  </si>
  <si>
    <t>Mon, 22 May 2023 00:00:00 GMT</t>
  </si>
  <si>
    <t>Fri, 19 May 2023 00:00:00 GMT</t>
  </si>
  <si>
    <t>Thu, 18 May 2023 00:00:00 GMT</t>
  </si>
  <si>
    <t>Wed, 17 May 2023 00:00:00 GMT</t>
  </si>
  <si>
    <t>Tue, 16 May 2023 00:00:00 GMT</t>
  </si>
  <si>
    <t>Mon, 15 May 2023 00:00:00 GMT</t>
  </si>
  <si>
    <t>Fri, 12 May 2023 00:00:00 GMT</t>
  </si>
  <si>
    <t>Thu, 11 May 2023 00:00:00 GMT</t>
  </si>
  <si>
    <t>Wed, 10 May 2023 00:00:00 GMT</t>
  </si>
  <si>
    <t>Tue, 09 May 2023 00:00:00 GMT</t>
  </si>
  <si>
    <t>Mon, 08 May 2023 00:00:00 GMT</t>
  </si>
  <si>
    <t>Fri, 05 May 2023 00:00:00 GMT</t>
  </si>
  <si>
    <t>Thu, 04 May 2023 00:00:00 GMT</t>
  </si>
  <si>
    <t>Wed, 03 May 2023 00:00:00 GMT</t>
  </si>
  <si>
    <t>Tue, 02 May 2023 00:00:00 GMT</t>
  </si>
  <si>
    <t>Mon, 01 May 2023 00:00:00 GMT</t>
  </si>
  <si>
    <t>Fri, 28 Apr 2023 00:00:00 GMT</t>
  </si>
  <si>
    <t>Thu, 27 Apr 2023 00:00:00 GMT</t>
  </si>
  <si>
    <t>Wed, 26 Apr 2023 00:00:00 GMT</t>
  </si>
  <si>
    <t>Tue, 25 Apr 2023 00:00:00 GMT</t>
  </si>
  <si>
    <t>Mon, 24 Apr 2023 00:00:00 GMT</t>
  </si>
  <si>
    <t>Fri, 21 Apr 2023 00:00:00 GMT</t>
  </si>
  <si>
    <t>Thu, 20 Apr 2023 00:00:00 GMT</t>
  </si>
  <si>
    <t>Wed, 19 Apr 2023 00:00:00 GMT</t>
  </si>
  <si>
    <t>Tue, 18 Apr 2023 00:00:00 GMT</t>
  </si>
  <si>
    <t>Mon, 17 Apr 2023 00:00:00 GMT</t>
  </si>
  <si>
    <t>Fri, 14 Apr 2023 00:00:00 GMT</t>
  </si>
  <si>
    <t>Thu, 13 Apr 2023 00:00:00 GMT</t>
  </si>
  <si>
    <t>Wed, 12 Apr 2023 00:00:00 GMT</t>
  </si>
  <si>
    <t>Tue, 11 Apr 2023 00:00:00 GMT</t>
  </si>
  <si>
    <t>Mon, 10 Apr 2023 00:00:00 GMT</t>
  </si>
  <si>
    <t>Thu, 06 Apr 2023 00:00:00 GMT</t>
  </si>
  <si>
    <t>Wed, 05 Apr 2023 00:00:00 GMT</t>
  </si>
  <si>
    <t>Tue, 04 Apr 2023 00:00:00 GMT</t>
  </si>
  <si>
    <t>Mon, 03 Apr 2023 00:00:00 GMT</t>
  </si>
  <si>
    <t>Fri, 31 Mar 2023 00:00:00 GMT</t>
  </si>
  <si>
    <t>Thu, 30 Mar 2023 00:00:00 GMT</t>
  </si>
  <si>
    <t>Wed, 29 Mar 2023 00:00:00 GMT</t>
  </si>
  <si>
    <t>Tue, 28 Mar 2023 00:00:00 GMT</t>
  </si>
  <si>
    <t>Mon, 27 Mar 2023 00:00:00 GMT</t>
  </si>
  <si>
    <t>Fri, 24 Mar 2023 00:00:00 GMT</t>
  </si>
  <si>
    <t>Thu, 23 Mar 2023 00:00:00 GMT</t>
  </si>
  <si>
    <t>Wed, 22 Mar 2023 00:00:00 GMT</t>
  </si>
  <si>
    <t>Tue, 21 Mar 2023 00:00:00 GMT</t>
  </si>
  <si>
    <t>Mon, 20 Mar 2023 00:00:00 GMT</t>
  </si>
  <si>
    <t>Fri, 17 Mar 2023 00:00:00 GMT</t>
  </si>
  <si>
    <t>Thu, 16 Mar 2023 00:00:00 GMT</t>
  </si>
  <si>
    <t>Wed, 15 Mar 2023 00:00:00 GMT</t>
  </si>
  <si>
    <t>Tue, 14 Mar 2023 00:00:00 GMT</t>
  </si>
  <si>
    <t>Mon, 13 Mar 2023 00:00:00 GMT</t>
  </si>
  <si>
    <t>Fri, 10 Mar 2023 00:00:00 GMT</t>
  </si>
  <si>
    <t>Thu, 09 Mar 2023 00:00:00 GMT</t>
  </si>
  <si>
    <t>Wed, 08 Mar 2023 00:00:00 GMT</t>
  </si>
  <si>
    <t>Tue, 07 Mar 2023 00:00:00 GMT</t>
  </si>
  <si>
    <t>Mon, 06 Mar 2023 00:00:00 GMT</t>
  </si>
  <si>
    <t>Fri, 03 Mar 2023 00:00:00 GMT</t>
  </si>
  <si>
    <t>Thu, 02 Mar 2023 00:00:00 GMT</t>
  </si>
  <si>
    <t>Wed, 01 Mar 2023 00:00:00 GMT</t>
  </si>
  <si>
    <t>Tue, 28 Feb 2023 00:00:00 GMT</t>
  </si>
  <si>
    <t>Mon, 27 Feb 2023 00:00:00 GMT</t>
  </si>
  <si>
    <t>Fri, 24 Feb 2023 00:00:00 GMT</t>
  </si>
  <si>
    <t>Thu, 23 Feb 2023 00:00:00 GMT</t>
  </si>
  <si>
    <t>Wed, 22 Feb 2023 00:00:00 GMT</t>
  </si>
  <si>
    <t>Tue, 21 Feb 2023 00:00:00 GMT</t>
  </si>
  <si>
    <t>Fri, 17 Feb 2023 00:00:00 GMT</t>
  </si>
  <si>
    <t>Thu, 16 Feb 2023 00:00:00 GMT</t>
  </si>
  <si>
    <t>Wed, 15 Feb 2023 00:00:00 GMT</t>
  </si>
  <si>
    <t>Tue, 14 Feb 2023 00:00:00 GMT</t>
  </si>
  <si>
    <t>Mon, 13 Feb 2023 00:00:00 GMT</t>
  </si>
  <si>
    <t>Fri, 10 Feb 2023 00:00:00 GMT</t>
  </si>
  <si>
    <t>Thu, 09 Feb 2023 00:00:00 GMT</t>
  </si>
  <si>
    <t>Wed, 08 Feb 2023 00:00:00 GMT</t>
  </si>
  <si>
    <t>Tue, 07 Feb 2023 00:00:00 GMT</t>
  </si>
  <si>
    <t>Mon, 06 Feb 2023 00:00:00 GMT</t>
  </si>
  <si>
    <t>Fri, 03 Feb 2023 00:00:00 GMT</t>
  </si>
  <si>
    <t>Thu, 02 Feb 2023 00:00:00 GMT</t>
  </si>
  <si>
    <t>Wed, 01 Feb 2023 00:00:00 GMT</t>
  </si>
  <si>
    <t>Tue, 31 Jan 2023 00:00:00 GMT</t>
  </si>
  <si>
    <t>Mon, 30 Jan 2023 00:00:00 GMT</t>
  </si>
  <si>
    <t>Fri, 27 Jan 2023 00:00:00 GMT</t>
  </si>
  <si>
    <t>Thu, 26 Jan 2023 00:00:00 GMT</t>
  </si>
  <si>
    <t>Wed, 25 Jan 2023 00:00:00 GMT</t>
  </si>
  <si>
    <t>Tue, 24 Jan 2023 00:00:00 GMT</t>
  </si>
  <si>
    <t>Mon, 23 Jan 2023 00:00:00 GMT</t>
  </si>
  <si>
    <t>Fri, 20 Jan 2023 00:00:00 GMT</t>
  </si>
  <si>
    <t>Thu, 19 Jan 2023 00:00:00 GMT</t>
  </si>
  <si>
    <t>Wed, 18 Jan 2023 00:00:00 GMT</t>
  </si>
  <si>
    <t>Tue, 17 Jan 2023 00:00:00 GMT</t>
  </si>
  <si>
    <t>Fri, 13 Jan 2023 00:00:00 GMT</t>
  </si>
  <si>
    <t>Thu, 12 Jan 2023 00:00:00 GMT</t>
  </si>
  <si>
    <t>Wed, 11 Jan 2023 00:00:00 GMT</t>
  </si>
  <si>
    <t>Tue, 10 Jan 2023 00:00:00 GMT</t>
  </si>
  <si>
    <t>Mon, 09 Jan 2023 00:00:00 GMT</t>
  </si>
  <si>
    <t>Fri, 06 Jan 2023 00:00:00 GMT</t>
  </si>
  <si>
    <t>Thu, 05 Jan 2023 00:00:00 GMT</t>
  </si>
  <si>
    <t>Wed, 04 Jan 2023 00:00:00 GMT</t>
  </si>
  <si>
    <t>Tue, 03 Jan 2023 00:00:00 GMT</t>
  </si>
  <si>
    <t>Fri, 30 Dec 2022 00:00:00 GMT</t>
  </si>
  <si>
    <t>Thu, 29 Dec 2022 00:00:00 GMT</t>
  </si>
  <si>
    <t>Wed, 28 Dec 2022 00:00:00 GMT</t>
  </si>
  <si>
    <t>Tue, 27 Dec 2022 00:00:00 GMT</t>
  </si>
  <si>
    <t>Fri, 23 Dec 2022 00:00:00 GMT</t>
  </si>
  <si>
    <t>Thu, 22 Dec 2022 00:00:00 GMT</t>
  </si>
  <si>
    <t>Wed, 21 Dec 2022 00:00:00 GMT</t>
  </si>
  <si>
    <t>Tue, 20 Dec 2022 00:00:00 GMT</t>
  </si>
  <si>
    <t>Mon, 19 Dec 2022 00:00:00 GMT</t>
  </si>
  <si>
    <t>Fri, 16 Dec 2022 00:00:00 GMT</t>
  </si>
  <si>
    <t>Thu, 15 Dec 2022 00:00:00 GMT</t>
  </si>
  <si>
    <t>Wed, 14 Dec 2022 00:00:00 GMT</t>
  </si>
  <si>
    <t>Tue, 13 Dec 2022 00:00:00 GMT</t>
  </si>
  <si>
    <t>Mon, 12 Dec 2022 00:00:00 GMT</t>
  </si>
  <si>
    <t>Fri, 09 Dec 2022 00:00:00 GMT</t>
  </si>
  <si>
    <t>Thu, 08 Dec 2022 00:00:00 GMT</t>
  </si>
  <si>
    <t>Wed, 07 Dec 2022 00:00:00 GMT</t>
  </si>
  <si>
    <t>Tue, 06 Dec 2022 00:00:00 GMT</t>
  </si>
  <si>
    <t>Mon, 05 Dec 2022 00:00:00 GMT</t>
  </si>
  <si>
    <t>Fri, 02 Dec 2022 00:00:00 GMT</t>
  </si>
  <si>
    <t>Thu, 01 Dec 2022 00:00:00 GMT</t>
  </si>
  <si>
    <t>Wed, 30 Nov 2022 00:00:00 GMT</t>
  </si>
  <si>
    <t>Tue, 29 Nov 2022 00:00:00 GMT</t>
  </si>
  <si>
    <t>Mon, 28 Nov 2022 00:00:00 GMT</t>
  </si>
  <si>
    <t>Fri, 25 Nov 2022 00:00:00 GMT</t>
  </si>
  <si>
    <t>Wed, 23 Nov 2022 00:00:00 GMT</t>
  </si>
  <si>
    <t>Tue, 22 Nov 2022 00:00:00 GMT</t>
  </si>
  <si>
    <t>Mon, 21 Nov 2022 00:00:00 GMT</t>
  </si>
  <si>
    <t>Fri, 18 Nov 2022 00:00:00 GMT</t>
  </si>
  <si>
    <t>Thu, 17 Nov 2022 00:00:00 GMT</t>
  </si>
  <si>
    <t>Wed, 16 Nov 2022 00:00:00 GMT</t>
  </si>
  <si>
    <t>Tue, 15 Nov 2022 00:00:00 GMT</t>
  </si>
  <si>
    <t>Mon, 14 Nov 2022 00:00:00 GMT</t>
  </si>
  <si>
    <t>Fri, 11 Nov 2022 00:00:00 GMT</t>
  </si>
  <si>
    <t>Thu, 10 Nov 2022 00:00:00 GMT</t>
  </si>
  <si>
    <t>Wed, 09 Nov 2022 00:00:00 GMT</t>
  </si>
  <si>
    <t>Tue, 08 Nov 2022 00:00:00 GMT</t>
  </si>
  <si>
    <t>Mon, 07 Nov 2022 00:00:00 GMT</t>
  </si>
  <si>
    <t>Fri, 04 Nov 2022 00:00:00 GMT</t>
  </si>
  <si>
    <t>Thu, 03 Nov 2022 00:00:00 GMT</t>
  </si>
  <si>
    <t>Wed, 02 Nov 2022 00:00:00 GMT</t>
  </si>
  <si>
    <t>Tue, 01 Nov 2022 00:00:00 GMT</t>
  </si>
  <si>
    <t>Mon, 31 Oct 2022 00:00:00 GMT</t>
  </si>
  <si>
    <t>Fri, 28 Oct 2022 00:00:00 GMT</t>
  </si>
  <si>
    <t>Thu, 27 Oct 2022 00:00:00 GMT</t>
  </si>
  <si>
    <t>Wed, 26 Oct 2022 00:00:00 GMT</t>
  </si>
  <si>
    <t>Tue, 25 Oct 2022 00:00:00 GMT</t>
  </si>
  <si>
    <t>Mon, 24 Oct 2022 00:00:00 GMT</t>
  </si>
  <si>
    <t>Fri, 21 Oct 2022 00:00:00 GMT</t>
  </si>
  <si>
    <t>Thu, 20 Oct 2022 00:00:00 GMT</t>
  </si>
  <si>
    <t>Wed, 19 Oct 2022 00:00:00 GMT</t>
  </si>
  <si>
    <t>Tue, 18 Oct 2022 00:00:00 GMT</t>
  </si>
  <si>
    <t>Mon, 17 Oct 2022 00:00:00 GMT</t>
  </si>
  <si>
    <t>Fri, 14 Oct 2022 00:00:00 GMT</t>
  </si>
  <si>
    <t>Thu, 13 Oct 2022 00:00:00 GMT</t>
  </si>
  <si>
    <t>Wed, 12 Oct 2022 00:00:00 GMT</t>
  </si>
  <si>
    <t>Tue, 11 Oct 2022 00:00:00 GMT</t>
  </si>
  <si>
    <t>Mon, 10 Oct 2022 00:00:00 GMT</t>
  </si>
  <si>
    <t>Fri, 07 Oct 2022 00:00:00 GMT</t>
  </si>
  <si>
    <t>Thu, 06 Oct 2022 00:00:00 GMT</t>
  </si>
  <si>
    <t>Wed, 05 Oct 2022 00:00:00 GMT</t>
  </si>
  <si>
    <t>Tue, 04 Oct 2022 00:00:00 GMT</t>
  </si>
  <si>
    <t>Mon, 03 Oct 2022 00:00:00 GMT</t>
  </si>
  <si>
    <t>Fri, 30 Sep 2022 00:00:00 GMT</t>
  </si>
  <si>
    <t>Thu, 29 Sep 2022 00:00:00 GMT</t>
  </si>
  <si>
    <t>Wed, 28 Sep 2022 00:00:00 GMT</t>
  </si>
  <si>
    <t>Tue, 27 Sep 2022 00:00:00 GMT</t>
  </si>
  <si>
    <t>Mon, 26 Sep 2022 00:00:00 GMT</t>
  </si>
  <si>
    <t>Fri, 23 Sep 2022 00:00:00 GMT</t>
  </si>
  <si>
    <t>Thu, 22 Sep 2022 00:00:00 GMT</t>
  </si>
  <si>
    <t>Wed, 21 Sep 2022 00:00:00 GMT</t>
  </si>
  <si>
    <t>Tue, 20 Sep 2022 00:00:00 GMT</t>
  </si>
  <si>
    <t>Mon, 19 Sep 2022 00:00:00 GMT</t>
  </si>
  <si>
    <t>Fri, 16 Sep 2022 00:00:00 GMT</t>
  </si>
  <si>
    <t>Thu, 15 Sep 2022 00:00:00 GMT</t>
  </si>
  <si>
    <t>Wed, 14 Sep 2022 00:00:00 GMT</t>
  </si>
  <si>
    <t>Tue, 13 Sep 2022 00:00:00 GMT</t>
  </si>
  <si>
    <t>Mon, 12 Sep 2022 00:00:00 GMT</t>
  </si>
  <si>
    <t>Fri, 09 Sep 2022 00:00:00 GMT</t>
  </si>
  <si>
    <t>Thu, 08 Sep 2022 00:00:00 GMT</t>
  </si>
  <si>
    <t>Wed, 07 Sep 2022 00:00:00 GMT</t>
  </si>
  <si>
    <t>Tue, 06 Sep 2022 00:00:00 GMT</t>
  </si>
  <si>
    <t>Fri, 02 Sep 2022 00:00:00 GMT</t>
  </si>
  <si>
    <t>Thu, 01 Sep 2022 00:00:00 GMT</t>
  </si>
  <si>
    <t>Wed, 31 Aug 2022 00:00:00 GMT</t>
  </si>
  <si>
    <t>Tue, 30 Aug 2022 00:00:00 GMT</t>
  </si>
  <si>
    <t>Mon, 29 Aug 2022 00:00:00 GMT</t>
  </si>
  <si>
    <t>Fri, 26 Aug 2022 00:00:00 GMT</t>
  </si>
  <si>
    <t>Thu, 25 Aug 2022 00:00:00 GMT</t>
  </si>
  <si>
    <t>Wed, 24 Aug 2022 00:00:00 GMT</t>
  </si>
  <si>
    <t>Tue, 23 Aug 2022 00:00:00 GMT</t>
  </si>
  <si>
    <t>Mon, 22 Aug 2022 00:00:00 GMT</t>
  </si>
  <si>
    <t>Fri, 19 Aug 2022 00:00:00 GMT</t>
  </si>
  <si>
    <t>Thu, 18 Aug 2022 00:00:00 GMT</t>
  </si>
  <si>
    <t>Wed, 17 Aug 2022 00:00:00 GMT</t>
  </si>
  <si>
    <t>Tue, 16 Aug 2022 00:00:00 GMT</t>
  </si>
  <si>
    <t>Mon, 15 Aug 2022 00:00:00 GMT</t>
  </si>
  <si>
    <t>Fri, 12 Aug 2022 00:00:00 GMT</t>
  </si>
  <si>
    <t>Thu, 11 Aug 2022 00:00:00 GMT</t>
  </si>
  <si>
    <t>Wed, 10 Aug 2022 00:00:00 GMT</t>
  </si>
  <si>
    <t>Tue, 09 Aug 2022 00:00:00 GMT</t>
  </si>
  <si>
    <t>Mon, 08 Aug 2022 00:00:00 GMT</t>
  </si>
  <si>
    <t>Fri, 05 Aug 2022 00:00:00 GMT</t>
  </si>
  <si>
    <t>Thu, 04 Aug 2022 00:00:00 GMT</t>
  </si>
  <si>
    <t>Wed, 03 Aug 2022 00:00:00 GMT</t>
  </si>
  <si>
    <t>Tue, 02 Aug 2022 00:00:00 GMT</t>
  </si>
  <si>
    <t>Mon, 01 Aug 2022 00:00:00 GMT</t>
  </si>
  <si>
    <t>Fri, 29 Jul 2022 00:00:00 GMT</t>
  </si>
  <si>
    <t>Thu, 28 Jul 2022 00:00:00 GMT</t>
  </si>
  <si>
    <t>Wed, 27 Jul 2022 00:00:00 GMT</t>
  </si>
  <si>
    <t>Tue, 26 Jul 2022 00:00:00 GMT</t>
  </si>
  <si>
    <t>Mon, 25 Jul 2022 00:00:00 GMT</t>
  </si>
  <si>
    <t>Fri, 22 Jul 2022 00:00:00 GMT</t>
  </si>
  <si>
    <t>Thu, 21 Jul 2022 00:00:00 GMT</t>
  </si>
  <si>
    <t>Wed, 20 Jul 2022 00:00:00 GMT</t>
  </si>
  <si>
    <t>Tue, 19 Jul 2022 00:00:00 GMT</t>
  </si>
  <si>
    <t>Mon, 18 Jul 2022 00:00:00 GMT</t>
  </si>
  <si>
    <t>Fri, 15 Jul 2022 00:00:00 GMT</t>
  </si>
  <si>
    <t>Thu, 14 Jul 2022 00:00:00 GMT</t>
  </si>
  <si>
    <t>Wed, 13 Jul 2022 00:00:00 GMT</t>
  </si>
  <si>
    <t>Tue, 12 Jul 2022 00:00:00 GMT</t>
  </si>
  <si>
    <t>Mon, 11 Jul 2022 00:00:00 GMT</t>
  </si>
  <si>
    <t>Fri, 08 Jul 2022 00:00:00 GMT</t>
  </si>
  <si>
    <t>Thu, 07 Jul 2022 00:00:00 GMT</t>
  </si>
  <si>
    <t>Wed, 06 Jul 2022 00:00:00 GMT</t>
  </si>
  <si>
    <t>Tue, 05 Jul 2022 00:00:00 GMT</t>
  </si>
  <si>
    <t>Fri, 01 Jul 2022 00:00:00 GMT</t>
  </si>
  <si>
    <t>Thu, 30 Jun 2022 00:00:00 GMT</t>
  </si>
  <si>
    <t>Wed, 29 Jun 2022 00:00:00 GMT</t>
  </si>
  <si>
    <t>Tue, 28 Jun 2022 00:00:00 GMT</t>
  </si>
  <si>
    <t>Mon, 27 Jun 2022 00:00:00 GMT</t>
  </si>
  <si>
    <t>Fri, 24 Jun 2022 00:00:00 GMT</t>
  </si>
  <si>
    <t>Thu, 23 Jun 2022 00:00:00 GMT</t>
  </si>
  <si>
    <t>Wed, 22 Jun 2022 00:00:00 GMT</t>
  </si>
  <si>
    <t>Tue, 21 Jun 2022 00:00:00 GMT</t>
  </si>
  <si>
    <t>Fri, 17 Jun 2022 00:00:00 GMT</t>
  </si>
  <si>
    <t>Thu, 16 Jun 2022 00:00:00 GMT</t>
  </si>
  <si>
    <t>Wed, 15 Jun 2022 00:00:00 GMT</t>
  </si>
  <si>
    <t>Tue, 14 Jun 2022 00:00:00 GMT</t>
  </si>
  <si>
    <t>Mon, 13 Jun 2022 00:00:00 GMT</t>
  </si>
  <si>
    <t>Fri, 10 Jun 2022 00:00:00 GMT</t>
  </si>
  <si>
    <t>Thu, 09 Jun 2022 00:00:00 GMT</t>
  </si>
  <si>
    <t>Tue, 07 Jun 2022 00:00:00 GMT</t>
  </si>
  <si>
    <t>Mon, 06 Jun 2022 00:00:00 GMT</t>
  </si>
  <si>
    <t>Fri, 03 Jun 2022 00:00:00 GMT</t>
  </si>
  <si>
    <t>Thu, 02 Jun 2022 00:00:00 GMT</t>
  </si>
  <si>
    <t>Wed, 01 Jun 2022 00:00:00 GMT</t>
  </si>
  <si>
    <t>Tue, 31 May 2022 00:00:00 GMT</t>
  </si>
  <si>
    <t>Fri, 27 May 2022 00:00:00 GMT</t>
  </si>
  <si>
    <t>Thu, 26 May 2022 00:00:00 GMT</t>
  </si>
  <si>
    <t>Wed, 25 May 2022 00:00:00 GMT</t>
  </si>
  <si>
    <t>Tue, 24 May 2022 00:00:00 GMT</t>
  </si>
  <si>
    <t>Mon, 23 May 2022 00:00:00 GMT</t>
  </si>
  <si>
    <t>Fri, 20 May 2022 00:00:00 GMT</t>
  </si>
  <si>
    <t>Thu, 19 May 2022 00:00:00 GMT</t>
  </si>
  <si>
    <t>Wed, 18 May 2022 00:00:00 GMT</t>
  </si>
  <si>
    <t>Tue, 17 May 2022 00:00:00 GMT</t>
  </si>
  <si>
    <t>Mon, 16 May 2022 00:00:00 GMT</t>
  </si>
  <si>
    <t>Fri, 13 May 2022 00:00:00 GMT</t>
  </si>
  <si>
    <t>Thu, 12 May 2022 00:00:00 GMT</t>
  </si>
  <si>
    <t>Wed, 11 May 2022 00:00:00 GMT</t>
  </si>
  <si>
    <t>Tue, 10 May 2022 00:00:00 GMT</t>
  </si>
  <si>
    <t>Mon, 09 May 2022 00:00:00 GMT</t>
  </si>
  <si>
    <t>Fri, 06 May 2022 00:00:00 GMT</t>
  </si>
  <si>
    <t>Thu, 05 May 2022 00:00:00 GMT</t>
  </si>
  <si>
    <t>Wed, 04 May 2022 00:00:00 GMT</t>
  </si>
  <si>
    <t>Tue, 03 May 2022 00:00:00 GMT</t>
  </si>
  <si>
    <t>Mon, 02 May 2022 00:00:00 GMT</t>
  </si>
  <si>
    <t>Fri, 29 Apr 2022 00:00:00 GMT</t>
  </si>
  <si>
    <t>Thu, 28 Apr 2022 00:00:00 GMT</t>
  </si>
  <si>
    <t>Wed, 27 Apr 2022 00:00:00 GMT</t>
  </si>
  <si>
    <t>Tue, 26 Apr 2022 00:00:00 GMT</t>
  </si>
  <si>
    <t>Mon, 25 Apr 2022 00:00:00 GMT</t>
  </si>
  <si>
    <t>Fri, 22 Apr 2022 00:00:00 GMT</t>
  </si>
  <si>
    <t>Thu, 21 Apr 2022 00:00:00 GMT</t>
  </si>
  <si>
    <t>Wed, 20 Apr 2022 00:00:00 GMT</t>
  </si>
  <si>
    <t>Tue, 19 Apr 2022 00:00:00 GMT</t>
  </si>
  <si>
    <t>Mon, 18 Apr 2022 00:00:00 GMT</t>
  </si>
  <si>
    <t>Thu, 14 Apr 2022 00:00:00 GMT</t>
  </si>
  <si>
    <t>Wed, 13 Apr 2022 00:00:00 GMT</t>
  </si>
  <si>
    <t>Tue, 12 Apr 2022 00:00:00 GMT</t>
  </si>
  <si>
    <t>Mon, 11 Apr 2022 00:00:00 GMT</t>
  </si>
  <si>
    <t>Fri, 08 Apr 2022 00:00:00 GMT</t>
  </si>
  <si>
    <t>Thu, 07 Apr 2022 00:00:00 GMT</t>
  </si>
  <si>
    <t>Wed, 06 Apr 2022 00:00:00 GMT</t>
  </si>
  <si>
    <t>Tue, 05 Apr 2022 00:00:00 GMT</t>
  </si>
  <si>
    <t>Mon, 04 Apr 2022 00:00:00 GMT</t>
  </si>
  <si>
    <t>Fri, 01 Apr 2022 00:00:00 GMT</t>
  </si>
  <si>
    <t>Thu, 31 Mar 2022 00:00:00 GMT</t>
  </si>
  <si>
    <t>Wed, 30 Mar 2022 00:00:00 GMT</t>
  </si>
  <si>
    <t>Tue, 29 Mar 2022 00:00:00 GMT</t>
  </si>
  <si>
    <t>Mon, 28 Mar 2022 00:00:00 GMT</t>
  </si>
  <si>
    <t>Fri, 25 Mar 2022 00:00:00 GMT</t>
  </si>
  <si>
    <t>Thu, 24 Mar 2022 00:00:00 GMT</t>
  </si>
  <si>
    <t>Wed, 23 Mar 2022 00:00:00 GMT</t>
  </si>
  <si>
    <t>Tue, 22 Mar 2022 00:00:00 GMT</t>
  </si>
  <si>
    <t>Mon, 21 Mar 2022 00:00:00 GMT</t>
  </si>
  <si>
    <t>Fri, 18 Mar 2022 00:00:00 GMT</t>
  </si>
  <si>
    <t>Thu, 17 Mar 2022 00:00:00 GMT</t>
  </si>
  <si>
    <t>Wed, 16 Mar 2022 00:00:00 GMT</t>
  </si>
  <si>
    <t>Tue, 15 Mar 2022 00:00:00 GMT</t>
  </si>
  <si>
    <t>Mon, 14 Mar 2022 00:00:00 GMT</t>
  </si>
  <si>
    <t>Fri, 11 Mar 2022 00:00:00 GMT</t>
  </si>
  <si>
    <t>Thu, 10 Mar 2022 00:00:00 GMT</t>
  </si>
  <si>
    <t>Wed, 09 Mar 2022 00:00:00 GMT</t>
  </si>
  <si>
    <t>Tue, 08 Mar 2022 00:00:00 GMT</t>
  </si>
  <si>
    <t>Mon, 07 Mar 2022 00:00:00 GMT</t>
  </si>
  <si>
    <t>Fri, 04 Mar 2022 00:00:00 GMT</t>
  </si>
  <si>
    <t>Thu, 03 Mar 2022 00:00:00 GMT</t>
  </si>
  <si>
    <t>Wed, 02 Mar 2022 00:00:00 GMT</t>
  </si>
  <si>
    <t>Tue, 01 Mar 2022 00:00:00 GMT</t>
  </si>
  <si>
    <t>Mon, 28 Feb 2022 00:00:00 GMT</t>
  </si>
  <si>
    <t>Fri, 25 Feb 2022 00:00:00 GMT</t>
  </si>
  <si>
    <t>Thu, 24 Feb 2022 00:00:00 GMT</t>
  </si>
  <si>
    <t>Wed, 23 Feb 2022 00:00:00 GMT</t>
  </si>
  <si>
    <t>Tue, 22 Feb 2022 00:00:00 GMT</t>
  </si>
  <si>
    <t>Fri, 18 Feb 2022 00:00:00 GMT</t>
  </si>
  <si>
    <t>Thu, 17 Feb 2022 00:00:00 GMT</t>
  </si>
  <si>
    <t>Wed, 16 Feb 2022 00:00:00 GMT</t>
  </si>
  <si>
    <t>Tue, 15 Feb 2022 00:00:00 GMT</t>
  </si>
  <si>
    <t>Mon, 14 Feb 2022 00:00:00 GMT</t>
  </si>
  <si>
    <t>Fri, 11 Feb 2022 00:00:00 GMT</t>
  </si>
  <si>
    <t>Thu, 10 Feb 2022 00:00:00 GMT</t>
  </si>
  <si>
    <t>Wed, 09 Feb 2022 00:00:00 GMT</t>
  </si>
  <si>
    <t>Tue, 08 Feb 2022 00:00:00 GMT</t>
  </si>
  <si>
    <t>Mon, 07 Feb 2022 00:00:00 GMT</t>
  </si>
  <si>
    <t>Fri, 04 Feb 2022 00:00:00 GMT</t>
  </si>
  <si>
    <t>Thu, 03 Feb 2022 00:00:00 GMT</t>
  </si>
  <si>
    <t>Wed, 02 Feb 2022 00:00:00 GMT</t>
  </si>
  <si>
    <t>Tue, 01 Feb 2022 00:00:00 GMT</t>
  </si>
  <si>
    <t>Mon, 31 Jan 2022 00:00:00 GMT</t>
  </si>
  <si>
    <t>Fri, 28 Jan 2022 00:00:00 GMT</t>
  </si>
  <si>
    <t>Thu, 27 Jan 2022 00:00:00 GMT</t>
  </si>
  <si>
    <t>Wed, 26 Jan 2022 00:00:00 GMT</t>
  </si>
  <si>
    <t>Tue, 25 Jan 2022 00:00:00 GMT</t>
  </si>
  <si>
    <t>Mon, 24 Jan 2022 00:00:00 GMT</t>
  </si>
  <si>
    <t>Fri, 21 Jan 2022 00:00:00 GMT</t>
  </si>
  <si>
    <t>Thu, 20 Jan 2022 00:00:00 GMT</t>
  </si>
  <si>
    <t>Wed, 19 Jan 2022 00:00:00 GMT</t>
  </si>
  <si>
    <t>Tue, 18 Jan 2022 00:00:00 GMT</t>
  </si>
  <si>
    <t>Fri, 14 Jan 2022 00:00:00 GMT</t>
  </si>
  <si>
    <t>Thu, 13 Jan 2022 00:00:00 GMT</t>
  </si>
  <si>
    <t>Wed, 12 Jan 2022 00:00:00 GMT</t>
  </si>
  <si>
    <t>Tue, 11 Jan 2022 00:00:00 GMT</t>
  </si>
  <si>
    <t>Mon, 10 Jan 2022 00:00:00 GMT</t>
  </si>
  <si>
    <t>Fri, 07 Jan 2022 00:00:00 GMT</t>
  </si>
  <si>
    <t>Thu, 06 Jan 2022 00:00:00 GMT</t>
  </si>
  <si>
    <t>Wed, 05 Jan 2022 00:00:00 GMT</t>
  </si>
  <si>
    <t>Tue, 04 Jan 2022 00:00:00 GMT</t>
  </si>
  <si>
    <t>Mon, 03 Jan 2022 00:00:00 GMT</t>
  </si>
  <si>
    <t>Fri, 31 Dec 2021 00:00:00 GMT</t>
  </si>
  <si>
    <t>Thu, 30 Dec 2021 00:00:00 GMT</t>
  </si>
  <si>
    <t>Wed, 29 Dec 2021 00:00:00 GMT</t>
  </si>
  <si>
    <t>Tue, 28 Dec 2021 00:00:00 GMT</t>
  </si>
  <si>
    <t>Mon, 27 Dec 2021 00:00:00 GMT</t>
  </si>
  <si>
    <t>Thu, 23 Dec 2021 00:00:00 GMT</t>
  </si>
  <si>
    <t>Wed, 22 Dec 2021 00:00:00 GMT</t>
  </si>
  <si>
    <t>Tue, 21 Dec 2021 00:00:00 GMT</t>
  </si>
  <si>
    <t>Mon, 20 Dec 2021 00:00:00 GMT</t>
  </si>
  <si>
    <t>Fri, 17 Dec 2021 00:00:00 GMT</t>
  </si>
  <si>
    <t>Thu, 16 Dec 2021 00:00:00 GMT</t>
  </si>
  <si>
    <t>Wed, 15 Dec 2021 00:00:00 GMT</t>
  </si>
  <si>
    <t>Tue, 14 Dec 2021 00:00:00 GMT</t>
  </si>
  <si>
    <t>Mon, 13 Dec 2021 00:00:00 GMT</t>
  </si>
  <si>
    <t>Fri, 10 Dec 2021 00:00:00 GMT</t>
  </si>
  <si>
    <t>Thu, 09 Dec 2021 00:00:00 GMT</t>
  </si>
  <si>
    <t>Wed, 08 Dec 2021 00:00:00 GMT</t>
  </si>
  <si>
    <t>Tue, 07 Dec 2021 00:00:00 GMT</t>
  </si>
  <si>
    <t>Mon, 06 Dec 2021 00:00:00 GMT</t>
  </si>
  <si>
    <t>Fri, 03 Dec 2021 00:00:00 GMT</t>
  </si>
  <si>
    <t>Thu, 02 Dec 2021 00:00:00 GMT</t>
  </si>
  <si>
    <t>Wed, 01 Dec 2021 00:00:00 GMT</t>
  </si>
  <si>
    <t>Tue, 30 Nov 2021 00:00:00 GMT</t>
  </si>
  <si>
    <t>Mon, 29 Nov 2021 00:00:00 GMT</t>
  </si>
  <si>
    <t>Fri, 26 Nov 2021 00:00:00 GMT</t>
  </si>
  <si>
    <t>Wed, 24 Nov 2021 00:00:00 GMT</t>
  </si>
  <si>
    <t>Tue, 23 Nov 2021 00:00:00 GMT</t>
  </si>
  <si>
    <t>Mon, 22 Nov 2021 00:00:00 GMT</t>
  </si>
  <si>
    <t>Fri, 19 Nov 2021 00:00:00 GMT</t>
  </si>
  <si>
    <t>Thu, 18 Nov 2021 00:00:00 GMT</t>
  </si>
  <si>
    <t>Wed, 17 Nov 2021 00:00:00 GMT</t>
  </si>
  <si>
    <t>Tue, 16 Nov 2021 00:00:00 GMT</t>
  </si>
  <si>
    <t>Mon, 15 Nov 2021 00:00:00 GMT</t>
  </si>
  <si>
    <t>Fri, 12 Nov 2021 00:00:00 GMT</t>
  </si>
  <si>
    <t>Thu, 11 Nov 2021 00:00:00 GMT</t>
  </si>
  <si>
    <t>Wed, 10 Nov 2021 00:00:00 GMT</t>
  </si>
  <si>
    <t>Tue, 09 Nov 2021 00:00:00 GMT</t>
  </si>
  <si>
    <t>Mon, 08 Nov 2021 00:00:00 GMT</t>
  </si>
  <si>
    <t>Fri, 05 Nov 2021 00:00:00 GMT</t>
  </si>
  <si>
    <t>Thu, 04 Nov 2021 00:00:00 GMT</t>
  </si>
  <si>
    <t>Wed, 03 Nov 2021 00:00:00 GMT</t>
  </si>
  <si>
    <t>Tue, 02 Nov 2021 00:00:00 GMT</t>
  </si>
  <si>
    <t>Mon, 01 Nov 2021 00:00:00 GMT</t>
  </si>
  <si>
    <t>Fri, 29 Oct 2021 00:00:00 GMT</t>
  </si>
  <si>
    <t>Thu, 28 Oct 2021 00:00:00 GMT</t>
  </si>
  <si>
    <t>Wed, 27 Oct 2021 00:00:00 GMT</t>
  </si>
  <si>
    <t>Tue, 26 Oct 2021 00:00:00 GMT</t>
  </si>
  <si>
    <t>Mon, 25 Oct 2021 00:00:00 GMT</t>
  </si>
  <si>
    <t>Fri, 22 Oct 2021 00:00:00 GMT</t>
  </si>
  <si>
    <t>Thu, 21 Oct 2021 00:00:00 GMT</t>
  </si>
  <si>
    <t>Wed, 20 Oct 2021 00:00:00 GMT</t>
  </si>
  <si>
    <t>Tue, 19 Oct 2021 00:00:00 GMT</t>
  </si>
  <si>
    <t>Mon, 18 Oct 2021 00:00:00 GMT</t>
  </si>
  <si>
    <t>Fri, 15 Oct 2021 00:00:00 GMT</t>
  </si>
  <si>
    <t>Thu, 14 Oct 2021 00:00:00 GMT</t>
  </si>
  <si>
    <t>Wed, 13 Oct 2021 00:00:00 GMT</t>
  </si>
  <si>
    <t>Tue, 12 Oct 2021 00:00:00 GMT</t>
  </si>
  <si>
    <t>Mon, 11 Oct 2021 00:00:00 GMT</t>
  </si>
  <si>
    <t>Fri, 08 Oct 2021 00:00:00 GMT</t>
  </si>
  <si>
    <t>Thu, 07 Oct 2021 00:00:00 GMT</t>
  </si>
  <si>
    <t>Wed, 06 Oct 2021 00:00:00 GMT</t>
  </si>
  <si>
    <t>Tue, 05 Oct 2021 00:00:00 GMT</t>
  </si>
  <si>
    <t>Mon, 04 Oct 2021 00:00:00 GMT</t>
  </si>
  <si>
    <t>Fri, 01 Oct 2021 00:00:00 GMT</t>
  </si>
  <si>
    <t>Thu, 30 Sep 2021 00:00:00 GMT</t>
  </si>
  <si>
    <t>Wed, 29 Sep 2021 00:00:00 GMT</t>
  </si>
  <si>
    <t>Tue, 28 Sep 2021 00:00:00 GMT</t>
  </si>
  <si>
    <t>Mon, 27 Sep 2021 00:00:00 GMT</t>
  </si>
  <si>
    <t>Fri, 24 Sep 2021 00:00:00 GMT</t>
  </si>
  <si>
    <t>Thu, 23 Sep 2021 00:00:00 GMT</t>
  </si>
  <si>
    <t>Wed, 22 Sep 2021 00:00:00 GMT</t>
  </si>
  <si>
    <t>Tue, 21 Sep 2021 00:00:00 GMT</t>
  </si>
  <si>
    <t>Mon, 20 Sep 2021 00:00:00 GMT</t>
  </si>
  <si>
    <t>Fri, 17 Sep 2021 00:00:00 GMT</t>
  </si>
  <si>
    <t>Thu, 16 Sep 2021 00:00:00 GMT</t>
  </si>
  <si>
    <t>Wed, 15 Sep 2021 00:00:00 GMT</t>
  </si>
  <si>
    <t>Tue, 14 Sep 2021 00:00:00 GMT</t>
  </si>
  <si>
    <t>Mon, 13 Sep 2021 00:00:00 GMT</t>
  </si>
  <si>
    <t>Fri, 10 Sep 2021 00:00:00 GMT</t>
  </si>
  <si>
    <t>Thu, 09 Sep 2021 00:00:00 GMT</t>
  </si>
  <si>
    <t>Wed, 08 Sep 2021 00:00:00 GMT</t>
  </si>
  <si>
    <t>Tue, 07 Sep 2021 00:00:00 GMT</t>
  </si>
  <si>
    <t>Fri, 03 Sep 2021 00:00:00 GMT</t>
  </si>
  <si>
    <t>Thu, 02 Sep 2021 00:00:00 GMT</t>
  </si>
  <si>
    <t>Wed, 01 Sep 2021 00:00:00 GMT</t>
  </si>
  <si>
    <t>Tue, 31 Aug 2021 00:00:00 GMT</t>
  </si>
  <si>
    <t>Mon, 30 Aug 2021 00:00:00 GMT</t>
  </si>
  <si>
    <t>Fri, 27 Aug 2021 00:00:00 GMT</t>
  </si>
  <si>
    <t>Thu, 26 Aug 2021 00:00:00 GMT</t>
  </si>
  <si>
    <t>Wed, 25 Aug 2021 00:00:00 GMT</t>
  </si>
  <si>
    <t>Tue, 24 Aug 2021 00:00:00 GMT</t>
  </si>
  <si>
    <t>Mon, 23 Aug 2021 00:00:00 GMT</t>
  </si>
  <si>
    <t>Fri, 20 Aug 2021 00:00:00 GMT</t>
  </si>
  <si>
    <t>Thu, 19 Aug 2021 00:00:00 GMT</t>
  </si>
  <si>
    <t>Wed, 18 Aug 2021 00:00:00 GMT</t>
  </si>
  <si>
    <t>Tue, 17 Aug 2021 00:00:00 GMT</t>
  </si>
  <si>
    <t>Mon, 16 Aug 2021 00:00:00 GMT</t>
  </si>
  <si>
    <t>Fri, 13 Aug 2021 00:00:00 GMT</t>
  </si>
  <si>
    <t>Thu, 12 Aug 2021 00:00:00 GMT</t>
  </si>
  <si>
    <t>Wed, 11 Aug 2021 00:00:00 GMT</t>
  </si>
  <si>
    <t>Tue, 10 Aug 2021 00:00:00 GMT</t>
  </si>
  <si>
    <t>Mon, 09 Aug 2021 00:00:00 GMT</t>
  </si>
  <si>
    <t>Fri, 06 Aug 2021 00:00:00 GMT</t>
  </si>
  <si>
    <t>Thu, 05 Aug 2021 00:00:00 GMT</t>
  </si>
  <si>
    <t>Wed, 04 Aug 2021 00:00:00 GMT</t>
  </si>
  <si>
    <t>Tue, 03 Aug 2021 00:00:00 GMT</t>
  </si>
  <si>
    <t>Mon, 02 Aug 2021 00:00:00 GMT</t>
  </si>
  <si>
    <t>Fri, 30 Jul 2021 00:00:00 GMT</t>
  </si>
  <si>
    <t>Thu, 29 Jul 2021 00:00:00 GMT</t>
  </si>
  <si>
    <t>Wed, 28 Jul 2021 00:00:00 GMT</t>
  </si>
  <si>
    <t>Tue, 27 Jul 2021 00:00:00 GMT</t>
  </si>
  <si>
    <t>Mon, 26 Jul 2021 00:00:00 GMT</t>
  </si>
  <si>
    <t>Fri, 23 Jul 2021 00:00:00 GMT</t>
  </si>
  <si>
    <t>Thu, 22 Jul 2021 00:00:00 GMT</t>
  </si>
  <si>
    <t>Wed, 21 Jul 2021 00:00:00 GMT</t>
  </si>
  <si>
    <t>Tue, 20 Jul 2021 00:00:00 GMT</t>
  </si>
  <si>
    <t>Mon, 19 Jul 2021 00:00:00 GMT</t>
  </si>
  <si>
    <t>Fri, 16 Jul 2021 00:00:00 GMT</t>
  </si>
  <si>
    <t>Thu, 15 Jul 2021 00:00:00 GMT</t>
  </si>
  <si>
    <t>Wed, 14 Jul 2021 00:00:00 GMT</t>
  </si>
  <si>
    <t>Tue, 13 Jul 2021 00:00:00 GMT</t>
  </si>
  <si>
    <t>Mon, 12 Jul 2021 00:00:00 GMT</t>
  </si>
  <si>
    <t>Fri, 09 Jul 2021 00:00:00 GMT</t>
  </si>
  <si>
    <t>Thu, 08 Jul 2021 00:00:00 GMT</t>
  </si>
  <si>
    <t>Wed, 07 Jul 2021 00:00:00 GMT</t>
  </si>
  <si>
    <t>Tue, 06 Jul 2021 00:00:00 GMT</t>
  </si>
  <si>
    <t>Fri, 02 Jul 2021 00:00:00 GMT</t>
  </si>
  <si>
    <t>Thu, 01 Jul 2021 00:00:00 GMT</t>
  </si>
  <si>
    <t>Wed, 30 Jun 2021 00:00:00 GMT</t>
  </si>
  <si>
    <t>Tue, 29 Jun 2021 00:00:00 GMT</t>
  </si>
  <si>
    <t>Mon, 28 Jun 2021 00:00:00 GMT</t>
  </si>
  <si>
    <t>Fri, 25 Jun 2021 00:00:00 GMT</t>
  </si>
  <si>
    <t>Thu, 24 Jun 2021 00:00:00 GMT</t>
  </si>
  <si>
    <t>Wed, 23 Jun 2021 00:00:00 GMT</t>
  </si>
  <si>
    <t>Tue, 22 Jun 2021 00:00:00 GMT</t>
  </si>
  <si>
    <t>Mon, 21 Jun 2021 00:00:00 GMT</t>
  </si>
  <si>
    <t>Fri, 18 Jun 2021 00:00:00 GMT</t>
  </si>
  <si>
    <t>Thu, 17 Jun 2021 00:00:00 GMT</t>
  </si>
  <si>
    <t>Wed, 16 Jun 2021 00:00:00 GMT</t>
  </si>
  <si>
    <t>Tue, 15 Jun 2021 00:00:00 GMT</t>
  </si>
  <si>
    <t>Mon, 14 Jun 2021 00:00:00 GMT</t>
  </si>
  <si>
    <t>Fri, 11 Jun 2021 00:00:00 GMT</t>
  </si>
  <si>
    <t>Thu, 10 Jun 2021 00:00:00 GMT</t>
  </si>
  <si>
    <t>Wed, 09 Jun 2021 00:00:00 GMT</t>
  </si>
  <si>
    <t>Tue, 08 Jun 2021 00:00:00 GMT</t>
  </si>
  <si>
    <t>Mon, 07 Jun 2021 00:00:00 GMT</t>
  </si>
  <si>
    <t>Fri, 04 Jun 2021 00:00:00 GMT</t>
  </si>
  <si>
    <t>Thu, 03 Jun 2021 00:00:00 GMT</t>
  </si>
  <si>
    <t>Wed, 02 Jun 2021 00:00:00 GMT</t>
  </si>
  <si>
    <t>Tue, 01 Jun 2021 00:00:00 GMT</t>
  </si>
  <si>
    <t>Fri, 28 May 2021 00:00:00 GMT</t>
  </si>
  <si>
    <t>Thu, 27 May 2021 00:00:00 GMT</t>
  </si>
  <si>
    <t>Wed, 26 May 2021 00:00:00 GMT</t>
  </si>
  <si>
    <t>Tue, 25 May 2021 00:00:00 GMT</t>
  </si>
  <si>
    <t>Mon, 24 May 2021 00:00:00 GMT</t>
  </si>
  <si>
    <t>Fri, 21 May 2021 00:00:00 GMT</t>
  </si>
  <si>
    <t>Thu, 20 May 2021 00:00:00 GMT</t>
  </si>
  <si>
    <t>Wed, 19 May 2021 00:00:00 GMT</t>
  </si>
  <si>
    <t>Tue, 18 May 2021 00:00:00 GMT</t>
  </si>
  <si>
    <t>Mon, 17 May 2021 00:00:00 GMT</t>
  </si>
  <si>
    <t>Fri, 14 May 2021 00:00:00 GMT</t>
  </si>
  <si>
    <t>Thu, 13 May 2021 00:00:00 GMT</t>
  </si>
  <si>
    <t>Wed, 12 May 2021 00:00:00 GMT</t>
  </si>
  <si>
    <t>Tue, 11 May 2021 00:00:00 GMT</t>
  </si>
  <si>
    <t>Mon, 10 May 2021 00:00:00 GMT</t>
  </si>
  <si>
    <t>Fri, 07 May 2021 00:00:00 GMT</t>
  </si>
  <si>
    <t>Thu, 06 May 2021 00:00:00 GMT</t>
  </si>
  <si>
    <t>Wed, 05 May 2021 00:00:00 GMT</t>
  </si>
  <si>
    <t>Tue, 04 May 2021 00:00:00 GMT</t>
  </si>
  <si>
    <t>Mon, 03 May 2021 00:00:00 GMT</t>
  </si>
  <si>
    <t>Fri, 30 Apr 2021 00:00:00 GMT</t>
  </si>
  <si>
    <t>Thu, 29 Apr 2021 00:00:00 GMT</t>
  </si>
  <si>
    <t>Wed, 28 Apr 2021 00:00:00 GMT</t>
  </si>
  <si>
    <t>Tue, 27 Apr 2021 00:00:00 GMT</t>
  </si>
  <si>
    <t>Mon, 26 Apr 2021 00:00:00 GMT</t>
  </si>
  <si>
    <t>Fri, 23 Apr 2021 00:00:00 GMT</t>
  </si>
  <si>
    <t>Thu, 22 Apr 2021 00:00:00 GMT</t>
  </si>
  <si>
    <t>Wed, 21 Apr 2021 00:00:00 GMT</t>
  </si>
  <si>
    <t>Tue, 20 Apr 2021 00:00:00 GMT</t>
  </si>
  <si>
    <t>Mon, 19 Apr 2021 00:00:00 GMT</t>
  </si>
  <si>
    <t>Fri, 16 Apr 2021 00:00:00 GMT</t>
  </si>
  <si>
    <t>Thu, 15 Apr 2021 00:00:00 GMT</t>
  </si>
  <si>
    <t>Wed, 14 Apr 2021 00:00:00 GMT</t>
  </si>
  <si>
    <t>Tue, 13 Apr 2021 00:00:00 GMT</t>
  </si>
  <si>
    <t>Mon, 12 Apr 2021 00:00:00 GMT</t>
  </si>
  <si>
    <t>Fri, 09 Apr 2021 00:00:00 GMT</t>
  </si>
  <si>
    <t>Thu, 08 Apr 2021 00:00:00 GMT</t>
  </si>
  <si>
    <t>Wed, 07 Apr 2021 00:00:00 GMT</t>
  </si>
  <si>
    <t>Tue, 06 Apr 2021 00:00:00 GMT</t>
  </si>
  <si>
    <t>Mon, 05 Apr 2021 00:00:00 GMT</t>
  </si>
  <si>
    <t>Thu, 01 Apr 2021 00:00:00 GMT</t>
  </si>
  <si>
    <t>Wed, 31 Mar 2021 00:00:00 GMT</t>
  </si>
  <si>
    <t>Tue, 30 Mar 2021 00:00:00 GMT</t>
  </si>
  <si>
    <t>Mon, 29 Mar 2021 00:00:00 GMT</t>
  </si>
  <si>
    <t>Fri, 26 Mar 2021 00:00:00 GMT</t>
  </si>
  <si>
    <t>Thu, 25 Mar 2021 00:00:00 GMT</t>
  </si>
  <si>
    <t>Wed, 24 Mar 2021 00:00:00 GMT</t>
  </si>
  <si>
    <t>Tue, 23 Mar 2021 00:00:00 GMT</t>
  </si>
  <si>
    <t>Mon, 22 Mar 2021 00:00:00 GMT</t>
  </si>
  <si>
    <t>Fri, 19 Mar 2021 00:00:00 GMT</t>
  </si>
  <si>
    <t>Thu, 18 Mar 2021 00:00:00 GMT</t>
  </si>
  <si>
    <t>Wed, 17 Mar 2021 00:00:00 GMT</t>
  </si>
  <si>
    <t>Tue, 16 Mar 2021 00:00:00 GMT</t>
  </si>
  <si>
    <t>Mon, 15 Mar 2021 00:00:00 GMT</t>
  </si>
  <si>
    <t>Fri, 12 Mar 2021 00:00:00 GMT</t>
  </si>
  <si>
    <t>Thu, 11 Mar 2021 00:00:00 GMT</t>
  </si>
  <si>
    <t>Wed, 10 Mar 2021 00:00:00 GMT</t>
  </si>
  <si>
    <t>Tue, 09 Mar 2021 00:00:00 GMT</t>
  </si>
  <si>
    <t>Mon, 08 Mar 2021 00:00:00 GMT</t>
  </si>
  <si>
    <t>Fri, 05 Mar 2021 00:00:00 GMT</t>
  </si>
  <si>
    <t>Thu, 04 Mar 2021 00:00:00 GMT</t>
  </si>
  <si>
    <t>Wed, 03 Mar 2021 00:00:00 GMT</t>
  </si>
  <si>
    <t>Tue, 02 Mar 2021 00:00:00 GMT</t>
  </si>
  <si>
    <t>Mon, 01 Mar 2021 00:00:00 GMT</t>
  </si>
  <si>
    <t>Fri, 26 Feb 2021 00:00:00 GMT</t>
  </si>
  <si>
    <t>Thu, 25 Feb 2021 00:00:00 GMT</t>
  </si>
  <si>
    <t>Wed, 24 Feb 2021 00:00:00 GMT</t>
  </si>
  <si>
    <t>Tue, 23 Feb 2021 00:00:00 GMT</t>
  </si>
  <si>
    <t>Mon, 22 Feb 2021 00:00:00 GMT</t>
  </si>
  <si>
    <t>Fri, 19 Feb 2021 00:00:00 GMT</t>
  </si>
  <si>
    <t>Thu, 18 Feb 2021 00:00:00 GMT</t>
  </si>
  <si>
    <t>Wed, 17 Feb 2021 00:00:00 GMT</t>
  </si>
  <si>
    <t>Tue, 16 Feb 2021 00:00:00 GMT</t>
  </si>
  <si>
    <t>Fri, 12 Feb 2021 00:00:00 GMT</t>
  </si>
  <si>
    <t>Thu, 11 Feb 2021 00:00:00 GMT</t>
  </si>
  <si>
    <t>Wed, 10 Feb 2021 00:00:00 GMT</t>
  </si>
  <si>
    <t>Tue, 09 Feb 2021 00:00:00 GMT</t>
  </si>
  <si>
    <t>Mon, 08 Feb 2021 00:00:00 GMT</t>
  </si>
  <si>
    <t>Fri, 05 Feb 2021 00:00:00 GMT</t>
  </si>
  <si>
    <t>Thu, 04 Feb 2021 00:00:00 GMT</t>
  </si>
  <si>
    <t>Wed, 03 Feb 2021 00:00:00 GMT</t>
  </si>
  <si>
    <t>Tue, 02 Feb 2021 00:00:00 GMT</t>
  </si>
  <si>
    <t>Mon, 01 Feb 2021 00:00:00 GMT</t>
  </si>
  <si>
    <t>Fri, 29 Jan 2021 00:00:00 GMT</t>
  </si>
  <si>
    <t>Thu, 28 Jan 2021 00:00:00 GMT</t>
  </si>
  <si>
    <t>Wed, 27 Jan 2021 00:00:00 GMT</t>
  </si>
  <si>
    <t>Tue, 26 Jan 2021 00:00:00 GMT</t>
  </si>
  <si>
    <t>Mon, 25 Jan 2021 00:00:00 GMT</t>
  </si>
  <si>
    <t>Fri, 22 Jan 2021 00:00:00 GMT</t>
  </si>
  <si>
    <t>Thu, 21 Jan 2021 00:00:00 GMT</t>
  </si>
  <si>
    <t>Wed, 20 Jan 2021 00:00:00 GMT</t>
  </si>
  <si>
    <t>Tue, 19 Jan 2021 00:00:00 GMT</t>
  </si>
  <si>
    <t>Fri, 15 Jan 2021 00:00:00 GMT</t>
  </si>
  <si>
    <t>Thu, 14 Jan 2021 00:00:00 GMT</t>
  </si>
  <si>
    <t>Wed, 13 Jan 2021 00:00:00 GMT</t>
  </si>
  <si>
    <t>Tue, 12 Jan 2021 00:00:00 GMT</t>
  </si>
  <si>
    <t>Mon, 11 Jan 2021 00:00:00 GMT</t>
  </si>
  <si>
    <t>Fri, 08 Jan 2021 00:00:00 GMT</t>
  </si>
  <si>
    <t>Thu, 07 Jan 2021 00:00:00 GMT</t>
  </si>
  <si>
    <t>Wed, 06 Jan 2021 00:00:00 GMT</t>
  </si>
  <si>
    <t>Tue, 05 Jan 2021 00:00:00 GMT</t>
  </si>
  <si>
    <t>Mon, 04 Jan 2021 00:00:00 GMT</t>
  </si>
  <si>
    <t>Thu, 31 Dec 2020 00:00:00 GMT</t>
  </si>
  <si>
    <t>Wed, 30 Dec 2020 00:00:00 GMT</t>
  </si>
  <si>
    <t>Tue, 29 Dec 2020 00:00:00 GMT</t>
  </si>
  <si>
    <t>Mon, 28 Dec 2020 00:00:00 GMT</t>
  </si>
  <si>
    <t>Thu, 24 Dec 2020 00:00:00 GMT</t>
  </si>
  <si>
    <t>Wed, 23 Dec 2020 00:00:00 GMT</t>
  </si>
  <si>
    <t>Tue, 22 Dec 2020 00:00:00 GMT</t>
  </si>
  <si>
    <t>Mon, 21 Dec 2020 00:00:00 GMT</t>
  </si>
  <si>
    <t>Fri, 18 Dec 2020 00:00:00 GMT</t>
  </si>
  <si>
    <t>Thu, 17 Dec 2020 00:00:00 GMT</t>
  </si>
  <si>
    <t>Wed, 16 Dec 2020 00:00:00 GMT</t>
  </si>
  <si>
    <t>Tue, 15 Dec 2020 00:00:00 GMT</t>
  </si>
  <si>
    <t>Mon, 14 Dec 2020 00:00:00 GMT</t>
  </si>
  <si>
    <t>Fri, 11 Dec 2020 00:00:00 GMT</t>
  </si>
  <si>
    <t>Thu, 10 Dec 2020 00:00:00 GMT</t>
  </si>
  <si>
    <t>Wed, 09 Dec 2020 00:00:00 GMT</t>
  </si>
  <si>
    <t>Tue, 08 Dec 2020 00:00:00 GMT</t>
  </si>
  <si>
    <t>Mon, 07 Dec 2020 00:00:00 GMT</t>
  </si>
  <si>
    <t>Fri, 04 Dec 2020 00:00:00 GMT</t>
  </si>
  <si>
    <t>Thu, 03 Dec 2020 00:00:00 GMT</t>
  </si>
  <si>
    <t>Wed, 02 Dec 2020 00:00:00 GMT</t>
  </si>
  <si>
    <t>Tue, 01 Dec 2020 00:00:00 GMT</t>
  </si>
  <si>
    <t>Mon, 30 Nov 2020 00:00:00 GMT</t>
  </si>
  <si>
    <t>Fri, 27 Nov 2020 00:00:00 GMT</t>
  </si>
  <si>
    <t>Wed, 25 Nov 2020 00:00:00 GMT</t>
  </si>
  <si>
    <t>Tue, 24 Nov 2020 00:00:00 GMT</t>
  </si>
  <si>
    <t>Mon, 23 Nov 2020 00:00:00 GMT</t>
  </si>
  <si>
    <t>Fri, 20 Nov 2020 00:00:00 GMT</t>
  </si>
  <si>
    <t>Thu, 19 Nov 2020 00:00:00 GMT</t>
  </si>
  <si>
    <t>Wed, 18 Nov 2020 00:00:00 GMT</t>
  </si>
  <si>
    <t>Tue, 17 Nov 2020 00:00:00 GMT</t>
  </si>
  <si>
    <t>Mon, 16 Nov 2020 00:00:00 GMT</t>
  </si>
  <si>
    <t>Fri, 13 Nov 2020 00:00:00 GMT</t>
  </si>
  <si>
    <t>Thu, 12 Nov 2020 00:00:00 GMT</t>
  </si>
  <si>
    <t>Wed, 11 Nov 2020 00:00:00 GMT</t>
  </si>
  <si>
    <t>Tue, 10 Nov 2020 00:00:00 GMT</t>
  </si>
  <si>
    <t>Mon, 09 Nov 2020 00:00:00 GMT</t>
  </si>
  <si>
    <t>Fri, 06 Nov 2020 00:00:00 GMT</t>
  </si>
  <si>
    <t>Thu, 05 Nov 2020 00:00:00 GMT</t>
  </si>
  <si>
    <t>Wed, 04 Nov 2020 00:00:00 GMT</t>
  </si>
  <si>
    <t>Tue, 03 Nov 2020 00:00:00 GMT</t>
  </si>
  <si>
    <t>Mon, 02 Nov 2020 00:00:00 GMT</t>
  </si>
  <si>
    <t>Fri, 30 Oct 2020 00:00:00 GMT</t>
  </si>
  <si>
    <t>Thu, 29 Oct 2020 00:00:00 GMT</t>
  </si>
  <si>
    <t>Wed, 28 Oct 2020 00:00:00 GMT</t>
  </si>
  <si>
    <t>Tue, 27 Oct 2020 00:00:00 GMT</t>
  </si>
  <si>
    <t>Mon, 26 Oct 2020 00:00:00 GMT</t>
  </si>
  <si>
    <t>Fri, 23 Oct 2020 00:00:00 GMT</t>
  </si>
  <si>
    <t>Thu, 22 Oct 2020 00:00:00 GMT</t>
  </si>
  <si>
    <t>Wed, 21 Oct 2020 00:00:00 GMT</t>
  </si>
  <si>
    <t>Tue, 20 Oct 2020 00:00:00 GMT</t>
  </si>
  <si>
    <t>Mon, 19 Oct 2020 00:00:00 GMT</t>
  </si>
  <si>
    <t>Fri, 16 Oct 2020 00:00:00 GMT</t>
  </si>
  <si>
    <t>Thu, 15 Oct 2020 00:00:00 GMT</t>
  </si>
  <si>
    <t>Wed, 14 Oct 2020 00:00:00 GMT</t>
  </si>
  <si>
    <t>Tue, 13 Oct 2020 00:00:00 GMT</t>
  </si>
  <si>
    <t>Mon, 12 Oct 2020 00:00:00 GMT</t>
  </si>
  <si>
    <t>Fri, 09 Oct 2020 00:00:00 GMT</t>
  </si>
  <si>
    <t>Thu, 08 Oct 2020 00:00:00 GMT</t>
  </si>
  <si>
    <t>Wed, 07 Oct 2020 00:00:00 GMT</t>
  </si>
  <si>
    <t>Tue, 06 Oct 2020 00:00:00 GMT</t>
  </si>
  <si>
    <t>Mon, 05 Oct 2020 00:00:00 GMT</t>
  </si>
  <si>
    <t>Fri, 02 Oct 2020 00:00:00 GMT</t>
  </si>
  <si>
    <t>Thu, 01 Oct 2020 00:00:00 GMT</t>
  </si>
  <si>
    <t>Wed, 30 Sep 2020 00:00:00 GMT</t>
  </si>
  <si>
    <t>Tue, 29 Sep 2020 00:00:00 GMT</t>
  </si>
  <si>
    <t>Mon, 28 Sep 2020 00:00:00 GMT</t>
  </si>
  <si>
    <t>Fri, 25 Sep 2020 00:00:00 GMT</t>
  </si>
  <si>
    <t>Thu, 24 Sep 2020 00:00:00 GMT</t>
  </si>
  <si>
    <t>Wed, 23 Sep 2020 00:00:00 GMT</t>
  </si>
  <si>
    <t>Tue, 22 Sep 2020 00:00:00 GMT</t>
  </si>
  <si>
    <t>Mon, 21 Sep 2020 00:00:00 GMT</t>
  </si>
  <si>
    <t>Fri, 18 Sep 2020 00:00:00 GMT</t>
  </si>
  <si>
    <t>Thu, 17 Sep 2020 00:00:00 GMT</t>
  </si>
  <si>
    <t>Wed, 16 Sep 2020 00:00:00 GMT</t>
  </si>
  <si>
    <t>Tue, 15 Sep 2020 00:00:00 GMT</t>
  </si>
  <si>
    <t>Mon, 14 Sep 2020 00:00:00 GMT</t>
  </si>
  <si>
    <t>Fri, 11 Sep 2020 00:00:00 GMT</t>
  </si>
  <si>
    <t>Thu, 10 Sep 2020 00:00:00 GMT</t>
  </si>
  <si>
    <t>Wed, 09 Sep 2020 00:00:00 GMT</t>
  </si>
  <si>
    <t>Tue, 08 Sep 2020 00:00:00 GMT</t>
  </si>
  <si>
    <t>Fri, 04 Sep 2020 00:00:00 GMT</t>
  </si>
  <si>
    <t>Thu, 03 Sep 2020 00:00:00 GMT</t>
  </si>
  <si>
    <t>Wed, 02 Sep 2020 00:00:00 GMT</t>
  </si>
  <si>
    <t>Tue, 01 Sep 2020 00:00:00 GMT</t>
  </si>
  <si>
    <t>Mon, 31 Aug 2020 00:00:00 GMT</t>
  </si>
  <si>
    <t>Fri, 28 Aug 2020 00:00:00 GMT</t>
  </si>
  <si>
    <t>Thu, 27 Aug 2020 00:00:00 GMT</t>
  </si>
  <si>
    <t>Wed, 26 Aug 2020 00:00:00 GMT</t>
  </si>
  <si>
    <t>Tue, 25 Aug 2020 00:00:00 GMT</t>
  </si>
  <si>
    <t>Mon, 24 Aug 2020 00:00:00 GMT</t>
  </si>
  <si>
    <t>Fri, 21 Aug 2020 00:00:00 GMT</t>
  </si>
  <si>
    <t>Thu, 20 Aug 2020 00:00:00 GMT</t>
  </si>
  <si>
    <t>Wed, 19 Aug 2020 00:00:00 GMT</t>
  </si>
  <si>
    <t>Tue, 18 Aug 2020 00:00:00 GMT</t>
  </si>
  <si>
    <t>Mon, 17 Aug 2020 00:00:00 GMT</t>
  </si>
  <si>
    <t>Fri, 14 Aug 2020 00:00:00 GMT</t>
  </si>
  <si>
    <t>Thu, 13 Aug 2020 00:00:00 GMT</t>
  </si>
  <si>
    <t>Wed, 12 Aug 2020 00:00:00 GMT</t>
  </si>
  <si>
    <t>Tue, 11 Aug 2020 00:00:00 GMT</t>
  </si>
  <si>
    <t>Mon, 10 Aug 2020 00:00:00 GMT</t>
  </si>
  <si>
    <t>Fri, 07 Aug 2020 00:00:00 GMT</t>
  </si>
  <si>
    <t>Thu, 06 Aug 2020 00:00:00 GMT</t>
  </si>
  <si>
    <t>Wed, 05 Aug 2020 00:00:00 GMT</t>
  </si>
  <si>
    <t>Tue, 04 Aug 2020 00:00:00 GMT</t>
  </si>
  <si>
    <t>Mon, 03 Aug 2020 00:00:00 GMT</t>
  </si>
  <si>
    <t>Fri, 31 Jul 2020 00:00:00 GMT</t>
  </si>
  <si>
    <t>Thu, 30 Jul 2020 00:00:00 GMT</t>
  </si>
  <si>
    <t>Wed, 29 Jul 2020 00:00:00 GMT</t>
  </si>
  <si>
    <t>Tue, 28 Jul 2020 00:00:00 GMT</t>
  </si>
  <si>
    <t>Mon, 27 Jul 2020 00:00:00 GMT</t>
  </si>
  <si>
    <t>Fri, 24 Jul 2020 00:00:00 GMT</t>
  </si>
  <si>
    <t>Thu, 23 Jul 2020 00:00:00 GMT</t>
  </si>
  <si>
    <t>Wed, 22 Jul 2020 00:00:00 GMT</t>
  </si>
  <si>
    <t>Tue, 21 Jul 2020 00:00:00 GMT</t>
  </si>
  <si>
    <t>Mon, 20 Jul 2020 00:00:00 GMT</t>
  </si>
  <si>
    <t>Fri, 17 Jul 2020 00:00:00 GMT</t>
  </si>
  <si>
    <t>Thu, 16 Jul 2020 00:00:00 GMT</t>
  </si>
  <si>
    <t>Wed, 15 Jul 2020 00:00:00 GMT</t>
  </si>
  <si>
    <t>Tue, 14 Jul 2020 00:00:00 GMT</t>
  </si>
  <si>
    <t>Mon, 13 Jul 2020 00:00:00 GMT</t>
  </si>
  <si>
    <t>Fri, 10 Jul 2020 00:00:00 GMT</t>
  </si>
  <si>
    <t>Thu, 09 Jul 2020 00:00:00 GMT</t>
  </si>
  <si>
    <t>Wed, 08 Jul 2020 00:00:00 GMT</t>
  </si>
  <si>
    <t>Tue, 07 Jul 2020 00:00:00 GMT</t>
  </si>
  <si>
    <t>Mon, 06 Jul 2020 00:00:00 GMT</t>
  </si>
  <si>
    <t>Thu, 02 Jul 2020 00:00:00 GMT</t>
  </si>
  <si>
    <t>Wed, 01 Jul 2020 00:00:00 GMT</t>
  </si>
  <si>
    <t>Tue, 30 Jun 2020 00:00:00 GMT</t>
  </si>
  <si>
    <t>Mon, 29 Jun 2020 00:00:00 GMT</t>
  </si>
  <si>
    <t>Fri, 26 Jun 2020 00:00:00 GMT</t>
  </si>
  <si>
    <t>Thu, 25 Jun 2020 00:00:00 GMT</t>
  </si>
  <si>
    <t>Wed, 24 Jun 2020 00:00:00 GMT</t>
  </si>
  <si>
    <t>Tue, 23 Jun 2020 00:00:00 GMT</t>
  </si>
  <si>
    <r>
      <rPr>
        <i/>
        <sz val="11"/>
        <color theme="1"/>
        <rFont val="Calibre"/>
      </rPr>
      <t xml:space="preserve">1254 </t>
    </r>
    <r>
      <rPr>
        <sz val="11"/>
        <color theme="1"/>
        <rFont val="Calibre"/>
      </rPr>
      <t xml:space="preserve">Trading Days? (From: </t>
    </r>
    <r>
      <rPr>
        <i/>
        <sz val="11"/>
        <color theme="1"/>
        <rFont val="Calibre"/>
      </rPr>
      <t>6/22/2020 - 6/22/2025</t>
    </r>
    <r>
      <rPr>
        <sz val="11"/>
        <color theme="1"/>
        <rFont val="Calibre"/>
      </rPr>
      <t>)</t>
    </r>
  </si>
  <si>
    <t>More</t>
  </si>
  <si>
    <t xml:space="preserve">META Historical Return Histogram (6/22/25) </t>
  </si>
  <si>
    <t>Institutional Ownership Snapshot (6/22/2025)</t>
  </si>
  <si>
    <t>ROIC:</t>
  </si>
  <si>
    <t>Invested Capital</t>
  </si>
  <si>
    <t>AVG Invested Capital</t>
  </si>
  <si>
    <t>ROIC</t>
  </si>
  <si>
    <t>2023-2024</t>
  </si>
  <si>
    <t>Terminal</t>
  </si>
  <si>
    <t>RFR (10-year yield)</t>
  </si>
  <si>
    <t>ERP 
(Avg. market return - (less) RFR)</t>
  </si>
  <si>
    <t>Equity β (1-year avg.)</t>
  </si>
  <si>
    <t>Discount (Cost of Equity)</t>
  </si>
  <si>
    <t>NPV</t>
  </si>
  <si>
    <t>FV</t>
  </si>
  <si>
    <t>CP</t>
  </si>
  <si>
    <t>Change Δ:</t>
  </si>
  <si>
    <t>Resources:</t>
  </si>
  <si>
    <t>Founder(s): Mark Zuckerberg, Eduardo Saverin, Andrew McCollum, Dustin Moskovitz, and Chris Hughes</t>
  </si>
  <si>
    <t>Q3'25</t>
  </si>
  <si>
    <t>12/24/25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</si>
</sst>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
  </numFmts>
  <fonts count="19">
    <font>
      <sz val="11"/>
      <color theme="1"/>
      <name val="Calibri"/>
      <family val="2"/>
      <scheme val="minor"/>
    </font>
    <font>
      <sz val="11"/>
      <color theme="1"/>
      <name val="Calibri"/>
      <family val="2"/>
      <scheme val="minor"/>
    </font>
    <font>
      <sz val="11"/>
      <color theme="1"/>
      <name val="Calibre"/>
    </font>
    <font>
      <b/>
      <sz val="11"/>
      <color theme="1"/>
      <name val="Calibre"/>
    </font>
    <font>
      <b/>
      <sz val="11"/>
      <color theme="0"/>
      <name val="Calibre"/>
    </font>
    <font>
      <sz val="11"/>
      <color theme="0"/>
      <name val="Calibre"/>
    </font>
    <font>
      <b/>
      <sz val="10"/>
      <name val="Arial"/>
      <family val="2"/>
    </font>
    <font>
      <i/>
      <sz val="11"/>
      <color theme="1"/>
      <name val="Calibre"/>
    </font>
    <font>
      <b/>
      <sz val="10"/>
      <name val="Calibre"/>
    </font>
    <font>
      <i/>
      <sz val="11"/>
      <color theme="1"/>
      <name val="Calibri"/>
      <family val="2"/>
      <scheme val="minor"/>
    </font>
    <font>
      <b/>
      <i/>
      <sz val="11"/>
      <color theme="1"/>
      <name val="Calibri"/>
      <family val="2"/>
      <scheme val="minor"/>
    </font>
    <font>
      <b/>
      <sz val="11"/>
      <name val="Calibre"/>
    </font>
    <font>
      <b/>
      <sz val="11"/>
      <color rgb="FF0070C0"/>
      <name val="Calibre"/>
    </font>
    <font>
      <sz val="11"/>
      <color rgb="FF0070C0"/>
      <name val="Calibre"/>
    </font>
    <font>
      <sz val="11"/>
      <name val="Calibre"/>
    </font>
    <font>
      <u/>
      <sz val="11"/>
      <color theme="10"/>
      <name val="Calibri"/>
      <family val="2"/>
      <scheme val="minor"/>
    </font>
    <font>
      <u/>
      <sz val="11"/>
      <color rgb="FF00B0F0"/>
      <name val="Calibre"/>
    </font>
    <font>
      <sz val="10"/>
      <name val="Arial"/>
      <family val="2"/>
    </font>
    <font>
      <sz val="11"/>
      <color theme="4" tint="-0.249977111117893"/>
      <name val="Calibre"/>
    </font>
  </fonts>
  <fills count="6">
    <fill>
      <patternFill patternType="none"/>
    </fill>
    <fill>
      <patternFill patternType="gray125"/>
    </fill>
    <fill>
      <patternFill patternType="solid">
        <fgColor rgb="FF002060"/>
        <bgColor indexed="64"/>
      </patternFill>
    </fill>
    <fill>
      <patternFill patternType="solid">
        <fgColor theme="8" tint="-0.249977111117893"/>
        <bgColor indexed="64"/>
      </patternFill>
    </fill>
    <fill>
      <patternFill patternType="solid">
        <fgColor theme="4" tint="0.79998168889431442"/>
        <bgColor theme="4" tint="0.79998168889431442"/>
      </patternFill>
    </fill>
    <fill>
      <patternFill patternType="solid">
        <fgColor rgb="FFF5F5F5"/>
      </patternFill>
    </fill>
  </fills>
  <borders count="19">
    <border>
      <left/>
      <right/>
      <top/>
      <bottom/>
      <diagonal/>
    </border>
    <border>
      <left style="thin">
        <color indexed="64"/>
      </left>
      <right/>
      <top style="thin">
        <color indexed="64"/>
      </top>
      <bottom/>
      <diagonal/>
    </border>
    <border>
      <left/>
      <right/>
      <top style="thin">
        <color indexed="64"/>
      </top>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style="thin">
        <color indexed="64"/>
      </top>
      <bottom/>
      <diagonal/>
    </border>
    <border>
      <left/>
      <right/>
      <top style="thin">
        <color indexed="64"/>
      </top>
      <bottom style="thin">
        <color theme="4" tint="0.39997558519241921"/>
      </bottom>
      <diagonal/>
    </border>
    <border>
      <left/>
      <right style="thin">
        <color indexed="64"/>
      </right>
      <top style="thin">
        <color indexed="64"/>
      </top>
      <bottom style="thin">
        <color theme="4" tint="0.39997558519241921"/>
      </bottom>
      <diagonal/>
    </border>
    <border>
      <left style="thin">
        <color indexed="64"/>
      </left>
      <right/>
      <top/>
      <bottom/>
      <diagonal/>
    </border>
    <border>
      <left/>
      <right style="thin">
        <color indexed="64"/>
      </right>
      <top/>
      <bottom/>
      <diagonal/>
    </border>
    <border>
      <left/>
      <right/>
      <top style="thin">
        <color theme="4" tint="0.39997558519241921"/>
      </top>
      <bottom style="thin">
        <color theme="4" tint="0.39997558519241921"/>
      </bottom>
      <diagonal/>
    </border>
    <border>
      <left/>
      <right style="thin">
        <color indexed="64"/>
      </right>
      <top style="thin">
        <color theme="4" tint="0.39997558519241921"/>
      </top>
      <bottom style="thin">
        <color theme="4" tint="0.39997558519241921"/>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style="thin">
        <color theme="4" tint="0.39997558519241921"/>
      </top>
      <bottom style="thin">
        <color indexed="64"/>
      </bottom>
      <diagonal/>
    </border>
    <border>
      <left/>
      <right style="thin">
        <color indexed="64"/>
      </right>
      <top style="thin">
        <color theme="4" tint="0.39997558519241921"/>
      </top>
      <bottom style="thin">
        <color indexed="64"/>
      </bottom>
      <diagonal/>
    </border>
    <border>
      <left/>
      <right/>
      <top style="medium">
        <color indexed="64"/>
      </top>
      <bottom style="thin">
        <color indexed="64"/>
      </bottom>
      <diagonal/>
    </border>
    <border>
      <left/>
      <right/>
      <top/>
      <bottom style="medium">
        <color indexed="64"/>
      </bottom>
      <diagonal/>
    </border>
  </borders>
  <cellStyleXfs count="4">
    <xf numFmtId="0" fontId="0" fillId="0" borderId="0"/>
    <xf numFmtId="9" fontId="1" fillId="0" borderId="0" applyFont="0" applyFill="0" applyBorder="0" applyAlignment="0" applyProtection="0"/>
    <xf numFmtId="0" fontId="15" fillId="0" borderId="0" applyNumberFormat="0" applyFill="0" applyBorder="0" applyAlignment="0" applyProtection="0"/>
    <xf numFmtId="43" fontId="1" fillId="0" borderId="0" applyFont="0" applyFill="0" applyBorder="0" applyAlignment="0" applyProtection="0"/>
  </cellStyleXfs>
  <cellXfs count="71">
    <xf numFmtId="0" fontId="0" fillId="0" borderId="0" xfId="0"/>
    <xf numFmtId="0" fontId="2" fillId="0" borderId="0" xfId="0" applyFont="1"/>
    <xf numFmtId="0" fontId="3" fillId="0" borderId="0" xfId="0" applyFont="1"/>
    <xf numFmtId="0" fontId="4" fillId="2" borderId="1" xfId="0" applyFont="1" applyFill="1" applyBorder="1"/>
    <xf numFmtId="0" fontId="5" fillId="2" borderId="2" xfId="0" applyFont="1" applyFill="1" applyBorder="1"/>
    <xf numFmtId="0" fontId="5" fillId="2" borderId="3" xfId="0" applyFont="1" applyFill="1" applyBorder="1"/>
    <xf numFmtId="0" fontId="5" fillId="2" borderId="4" xfId="0" applyFont="1" applyFill="1" applyBorder="1"/>
    <xf numFmtId="0" fontId="4" fillId="3" borderId="1" xfId="0" applyFont="1" applyFill="1" applyBorder="1" applyAlignment="1">
      <alignment horizontal="left"/>
    </xf>
    <xf numFmtId="0" fontId="5" fillId="3" borderId="2" xfId="0" applyFont="1" applyFill="1" applyBorder="1" applyAlignment="1">
      <alignment horizontal="center"/>
    </xf>
    <xf numFmtId="0" fontId="5" fillId="3" borderId="5" xfId="0" applyFont="1" applyFill="1" applyBorder="1" applyAlignment="1">
      <alignment horizontal="center"/>
    </xf>
    <xf numFmtId="10" fontId="2" fillId="4" borderId="6" xfId="0" applyNumberFormat="1" applyFont="1" applyFill="1" applyBorder="1"/>
    <xf numFmtId="10" fontId="2" fillId="4" borderId="7" xfId="0" applyNumberFormat="1" applyFont="1" applyFill="1" applyBorder="1"/>
    <xf numFmtId="0" fontId="4" fillId="3" borderId="8" xfId="0" applyFont="1" applyFill="1" applyBorder="1" applyAlignment="1">
      <alignment horizontal="left"/>
    </xf>
    <xf numFmtId="0" fontId="5" fillId="3" borderId="0" xfId="0" applyFont="1" applyFill="1" applyAlignment="1">
      <alignment horizontal="center"/>
    </xf>
    <xf numFmtId="0" fontId="5" fillId="3" borderId="9" xfId="0" applyFont="1" applyFill="1" applyBorder="1" applyAlignment="1">
      <alignment horizontal="center"/>
    </xf>
    <xf numFmtId="10" fontId="2" fillId="0" borderId="10" xfId="0" applyNumberFormat="1" applyFont="1" applyBorder="1"/>
    <xf numFmtId="10" fontId="2" fillId="0" borderId="11" xfId="0" applyNumberFormat="1" applyFont="1" applyBorder="1"/>
    <xf numFmtId="10" fontId="2" fillId="4" borderId="10" xfId="0" applyNumberFormat="1" applyFont="1" applyFill="1" applyBorder="1"/>
    <xf numFmtId="10" fontId="2" fillId="4" borderId="11" xfId="0" applyNumberFormat="1" applyFont="1" applyFill="1" applyBorder="1"/>
    <xf numFmtId="0" fontId="4" fillId="3" borderId="12" xfId="0" applyFont="1" applyFill="1" applyBorder="1" applyAlignment="1">
      <alignment horizontal="left"/>
    </xf>
    <xf numFmtId="0" fontId="5" fillId="3" borderId="13" xfId="0" applyFont="1" applyFill="1" applyBorder="1" applyAlignment="1">
      <alignment horizontal="center"/>
    </xf>
    <xf numFmtId="0" fontId="5" fillId="3" borderId="14" xfId="0" applyFont="1" applyFill="1" applyBorder="1" applyAlignment="1">
      <alignment horizontal="center"/>
    </xf>
    <xf numFmtId="10" fontId="2" fillId="0" borderId="15" xfId="0" applyNumberFormat="1" applyFont="1" applyBorder="1"/>
    <xf numFmtId="10" fontId="2" fillId="0" borderId="16" xfId="0" applyNumberFormat="1" applyFont="1" applyBorder="1"/>
    <xf numFmtId="0" fontId="6" fillId="5" borderId="0" xfId="0" applyFont="1" applyFill="1" applyAlignment="1">
      <alignment horizontal="center" vertical="center"/>
    </xf>
    <xf numFmtId="10" fontId="2" fillId="0" borderId="0" xfId="0" applyNumberFormat="1" applyFont="1"/>
    <xf numFmtId="0" fontId="8" fillId="5" borderId="0" xfId="0" applyFont="1" applyFill="1" applyAlignment="1">
      <alignment horizontal="center" vertical="center"/>
    </xf>
    <xf numFmtId="10" fontId="8" fillId="5" borderId="0" xfId="0" applyNumberFormat="1" applyFont="1" applyFill="1" applyAlignment="1">
      <alignment horizontal="center" vertical="center"/>
    </xf>
    <xf numFmtId="0" fontId="8" fillId="5" borderId="0" xfId="0" applyFont="1" applyFill="1" applyAlignment="1">
      <alignment horizontal="right" vertical="center"/>
    </xf>
    <xf numFmtId="0" fontId="2" fillId="0" borderId="0" xfId="0" applyFont="1" applyAlignment="1">
      <alignment horizontal="right"/>
    </xf>
    <xf numFmtId="3" fontId="2" fillId="0" borderId="0" xfId="0" applyNumberFormat="1" applyFont="1" applyAlignment="1">
      <alignment horizontal="left"/>
    </xf>
    <xf numFmtId="0" fontId="9" fillId="0" borderId="17" xfId="0" applyFont="1" applyBorder="1" applyAlignment="1">
      <alignment horizontal="left"/>
    </xf>
    <xf numFmtId="0" fontId="9" fillId="0" borderId="17" xfId="0" applyFont="1" applyBorder="1" applyAlignment="1">
      <alignment horizontal="center" wrapText="1"/>
    </xf>
    <xf numFmtId="0" fontId="11" fillId="0" borderId="0" xfId="0" applyFont="1"/>
    <xf numFmtId="0" fontId="12" fillId="0" borderId="0" xfId="0" applyFont="1"/>
    <xf numFmtId="0" fontId="13" fillId="0" borderId="0" xfId="0" applyFont="1"/>
    <xf numFmtId="0" fontId="14" fillId="0" borderId="0" xfId="0" applyFont="1" applyAlignment="1">
      <alignment horizontal="left" indent="1"/>
    </xf>
    <xf numFmtId="0" fontId="14" fillId="0" borderId="0" xfId="0" applyFont="1"/>
    <xf numFmtId="2" fontId="2" fillId="0" borderId="0" xfId="1" quotePrefix="1" applyNumberFormat="1" applyFont="1"/>
    <xf numFmtId="2" fontId="2" fillId="0" borderId="0" xfId="0" applyNumberFormat="1" applyFont="1"/>
    <xf numFmtId="2" fontId="2" fillId="0" borderId="0" xfId="0" quotePrefix="1" applyNumberFormat="1" applyFont="1"/>
    <xf numFmtId="0" fontId="2" fillId="0" borderId="0" xfId="1" applyNumberFormat="1" applyFont="1"/>
    <xf numFmtId="49" fontId="2" fillId="0" borderId="0" xfId="0" applyNumberFormat="1" applyFont="1"/>
    <xf numFmtId="0" fontId="16" fillId="0" borderId="0" xfId="2" applyFont="1"/>
    <xf numFmtId="14" fontId="2" fillId="0" borderId="0" xfId="0" applyNumberFormat="1" applyFont="1"/>
    <xf numFmtId="0" fontId="2" fillId="0" borderId="0" xfId="0" applyFont="1" applyAlignment="1">
      <alignment horizontal="left"/>
    </xf>
    <xf numFmtId="0" fontId="2" fillId="0" borderId="0" xfId="0" applyFont="1" applyAlignment="1">
      <alignment horizontal="left" indent="1"/>
    </xf>
    <xf numFmtId="164" fontId="2" fillId="0" borderId="0" xfId="1" applyNumberFormat="1" applyFont="1"/>
    <xf numFmtId="10" fontId="2" fillId="0" borderId="0" xfId="1" applyNumberFormat="1" applyFont="1"/>
    <xf numFmtId="9" fontId="2" fillId="0" borderId="0" xfId="1" applyFont="1"/>
    <xf numFmtId="164" fontId="3" fillId="0" borderId="0" xfId="1" applyNumberFormat="1" applyFont="1"/>
    <xf numFmtId="2" fontId="2" fillId="0" borderId="0" xfId="1" applyNumberFormat="1" applyFont="1"/>
    <xf numFmtId="0" fontId="17" fillId="0" borderId="0" xfId="0" applyFont="1"/>
    <xf numFmtId="0" fontId="0" fillId="0" borderId="18" xfId="0" applyBorder="1"/>
    <xf numFmtId="0" fontId="9" fillId="0" borderId="17" xfId="0" applyFont="1" applyBorder="1" applyAlignment="1">
      <alignment horizontal="center"/>
    </xf>
    <xf numFmtId="2" fontId="13" fillId="0" borderId="0" xfId="0" applyNumberFormat="1" applyFont="1"/>
    <xf numFmtId="1" fontId="13" fillId="0" borderId="0" xfId="0" applyNumberFormat="1" applyFont="1"/>
    <xf numFmtId="164" fontId="13" fillId="0" borderId="0" xfId="1" applyNumberFormat="1" applyFont="1"/>
    <xf numFmtId="1" fontId="12" fillId="0" borderId="0" xfId="0" applyNumberFormat="1" applyFont="1"/>
    <xf numFmtId="0" fontId="13" fillId="0" borderId="0" xfId="0" applyFont="1" applyAlignment="1">
      <alignment horizontal="right"/>
    </xf>
    <xf numFmtId="0" fontId="13" fillId="0" borderId="0" xfId="0" applyFont="1" applyAlignment="1">
      <alignment horizontal="center"/>
    </xf>
    <xf numFmtId="0" fontId="13" fillId="0" borderId="0" xfId="0" applyFont="1" applyAlignment="1">
      <alignment vertical="top" wrapText="1"/>
    </xf>
    <xf numFmtId="10" fontId="13" fillId="0" borderId="0" xfId="1" applyNumberFormat="1" applyFont="1"/>
    <xf numFmtId="10" fontId="13" fillId="0" borderId="0" xfId="0" applyNumberFormat="1" applyFont="1"/>
    <xf numFmtId="0" fontId="13" fillId="0" borderId="0" xfId="0" applyFont="1" applyAlignment="1">
      <alignment horizontal="left"/>
    </xf>
    <xf numFmtId="165" fontId="2" fillId="0" borderId="0" xfId="3" applyNumberFormat="1" applyFont="1"/>
    <xf numFmtId="164" fontId="12" fillId="0" borderId="0" xfId="1" applyNumberFormat="1" applyFont="1"/>
    <xf numFmtId="166" fontId="2" fillId="0" borderId="0" xfId="0" applyNumberFormat="1" applyFont="1"/>
    <xf numFmtId="43" fontId="2" fillId="0" borderId="0" xfId="3" applyFont="1"/>
    <xf numFmtId="0" fontId="18" fillId="0" borderId="0" xfId="0" applyFont="1" applyAlignment="1">
      <alignment horizontal="center"/>
    </xf>
    <xf numFmtId="166" fontId="13" fillId="0" borderId="0" xfId="0" applyNumberFormat="1" applyFont="1"/>
  </cellXfs>
  <cellStyles count="4">
    <cellStyle name="Comma" xfId="3" builtinId="3"/>
    <cellStyle name="Hyperlink" xfId="2" builtinId="8"/>
    <cellStyle name="Normal" xfId="0" builtinId="0"/>
    <cellStyle name="Percent" xfId="1" builtinId="5"/>
  </cellStyles>
  <dxfs count="5">
    <dxf>
      <font>
        <b/>
        <i val="0"/>
        <color theme="0"/>
      </font>
      <fill>
        <patternFill>
          <bgColor rgb="FF5A8C38"/>
        </patternFill>
      </fill>
    </dxf>
    <dxf>
      <font>
        <b/>
        <i val="0"/>
        <color theme="0"/>
      </font>
      <fill>
        <patternFill>
          <bgColor theme="9" tint="0.39994506668294322"/>
        </patternFill>
      </fill>
    </dxf>
    <dxf>
      <font>
        <b/>
        <i val="0"/>
        <color theme="1"/>
      </font>
      <fill>
        <patternFill>
          <bgColor theme="7" tint="0.39994506668294322"/>
        </patternFill>
      </fill>
    </dxf>
    <dxf>
      <font>
        <b/>
        <i val="0"/>
        <color theme="0"/>
      </font>
      <fill>
        <patternFill>
          <bgColor rgb="FFFF6D6D"/>
        </patternFill>
      </fill>
    </dxf>
    <dxf>
      <font>
        <b/>
        <i val="0"/>
        <color theme="0"/>
      </font>
      <fill>
        <patternFill>
          <bgColor rgb="FFF20000"/>
        </patternFill>
      </fill>
    </dxf>
  </dxfs>
  <tableStyles count="0" defaultTableStyle="TableStyleMedium2" defaultPivotStyle="PivotStyleLight16"/>
  <colors>
    <mruColors>
      <color rgb="FF7CAFDE"/>
      <color rgb="FF009EF6"/>
      <color rgb="FF63A0D7"/>
      <color rgb="FF008CDA"/>
      <color rgb="FF62983E"/>
      <color rgb="FF89C064"/>
      <color rgb="FFA9CBE9"/>
      <color rgb="FFE87C7F"/>
      <color rgb="FFE25C5F"/>
      <color rgb="FFCE70A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externalLink" Target="externalLinks/externalLink2.xml"/><Relationship Id="rId13"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externalLink" Target="externalLinks/externalLink1.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3" Type="http://schemas.openxmlformats.org/officeDocument/2006/relationships/themeOverride" Target="../theme/themeOverride4.xml"/><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(META) Historical Return Histogram + Normal Distribution Overlay</a:t>
            </a:r>
          </a:p>
        </c:rich>
      </c:tx>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scatterChart>
        <c:scatterStyle val="smoothMarker"/>
        <c:varyColors val="0"/>
        <c:ser>
          <c:idx val="0"/>
          <c:order val="0"/>
          <c:tx>
            <c:strRef>
              <c:f>'Notes | Quant Analysis'!$I$214</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203200" cap="flat" cmpd="sng" algn="ctr">
                <a:solidFill>
                  <a:srgbClr val="00B0F0"/>
                </a:solidFill>
                <a:round/>
              </a:ln>
              <a:effectLst/>
            </c:spPr>
          </c:errBars>
          <c:xVal>
            <c:numRef>
              <c:f>'Notes | Quant Analysis'!$I$216:$I$264</c:f>
              <c:numCache>
                <c:formatCode>0.00%</c:formatCode>
                <c:ptCount val="49"/>
                <c:pt idx="0">
                  <c:v>-0.06</c:v>
                </c:pt>
                <c:pt idx="1">
                  <c:v>-5.7500000000000002E-2</c:v>
                </c:pt>
                <c:pt idx="2">
                  <c:v>-5.5E-2</c:v>
                </c:pt>
                <c:pt idx="3">
                  <c:v>-5.2499999999999998E-2</c:v>
                </c:pt>
                <c:pt idx="4">
                  <c:v>-0.05</c:v>
                </c:pt>
                <c:pt idx="5">
                  <c:v>-4.7500000000000001E-2</c:v>
                </c:pt>
                <c:pt idx="6">
                  <c:v>-4.4999999999999998E-2</c:v>
                </c:pt>
                <c:pt idx="7">
                  <c:v>-4.2500000000000003E-2</c:v>
                </c:pt>
                <c:pt idx="8">
                  <c:v>-0.04</c:v>
                </c:pt>
                <c:pt idx="9">
                  <c:v>-3.7499999999999999E-2</c:v>
                </c:pt>
                <c:pt idx="10">
                  <c:v>-3.5000000000000003E-2</c:v>
                </c:pt>
                <c:pt idx="11">
                  <c:v>-3.2500000000000001E-2</c:v>
                </c:pt>
                <c:pt idx="12">
                  <c:v>-0.03</c:v>
                </c:pt>
                <c:pt idx="13">
                  <c:v>-2.75E-2</c:v>
                </c:pt>
                <c:pt idx="14">
                  <c:v>-2.5000000000000001E-2</c:v>
                </c:pt>
                <c:pt idx="15">
                  <c:v>-2.2499999999999999E-2</c:v>
                </c:pt>
                <c:pt idx="16">
                  <c:v>-0.02</c:v>
                </c:pt>
                <c:pt idx="17">
                  <c:v>-1.7500000000000002E-2</c:v>
                </c:pt>
                <c:pt idx="18">
                  <c:v>-1.4999999999999999E-2</c:v>
                </c:pt>
                <c:pt idx="19">
                  <c:v>-1.2500000000000001E-2</c:v>
                </c:pt>
                <c:pt idx="20">
                  <c:v>-0.01</c:v>
                </c:pt>
                <c:pt idx="21">
                  <c:v>-7.4999999999999997E-3</c:v>
                </c:pt>
                <c:pt idx="22">
                  <c:v>-5.0000000000000001E-3</c:v>
                </c:pt>
                <c:pt idx="23">
                  <c:v>-2.5000000000000001E-3</c:v>
                </c:pt>
                <c:pt idx="24">
                  <c:v>0</c:v>
                </c:pt>
                <c:pt idx="25">
                  <c:v>2.5000000000000001E-3</c:v>
                </c:pt>
                <c:pt idx="26">
                  <c:v>5.0000000000000001E-3</c:v>
                </c:pt>
                <c:pt idx="27">
                  <c:v>7.4999999999999997E-3</c:v>
                </c:pt>
                <c:pt idx="28">
                  <c:v>0.01</c:v>
                </c:pt>
                <c:pt idx="29">
                  <c:v>1.2500000000000001E-2</c:v>
                </c:pt>
                <c:pt idx="30">
                  <c:v>1.4999999999999999E-2</c:v>
                </c:pt>
                <c:pt idx="31">
                  <c:v>1.7500000000000002E-2</c:v>
                </c:pt>
                <c:pt idx="32">
                  <c:v>0.02</c:v>
                </c:pt>
                <c:pt idx="33">
                  <c:v>2.2499999999999999E-2</c:v>
                </c:pt>
                <c:pt idx="34">
                  <c:v>2.5000000000000001E-2</c:v>
                </c:pt>
                <c:pt idx="35">
                  <c:v>2.75E-2</c:v>
                </c:pt>
                <c:pt idx="36">
                  <c:v>0.03</c:v>
                </c:pt>
                <c:pt idx="37">
                  <c:v>3.2500000000000001E-2</c:v>
                </c:pt>
                <c:pt idx="38">
                  <c:v>3.5000000000000003E-2</c:v>
                </c:pt>
                <c:pt idx="39">
                  <c:v>3.7499999999999999E-2</c:v>
                </c:pt>
                <c:pt idx="40">
                  <c:v>0.04</c:v>
                </c:pt>
                <c:pt idx="41">
                  <c:v>4.2500000000000003E-2</c:v>
                </c:pt>
                <c:pt idx="42">
                  <c:v>4.4999999999999998E-2</c:v>
                </c:pt>
                <c:pt idx="43">
                  <c:v>4.7500000000000001E-2</c:v>
                </c:pt>
                <c:pt idx="44">
                  <c:v>0.05</c:v>
                </c:pt>
                <c:pt idx="45">
                  <c:v>5.2499999999999998E-2</c:v>
                </c:pt>
                <c:pt idx="46">
                  <c:v>5.5E-2</c:v>
                </c:pt>
                <c:pt idx="47">
                  <c:v>5.7500000000000002E-2</c:v>
                </c:pt>
                <c:pt idx="48">
                  <c:v>0.06</c:v>
                </c:pt>
              </c:numCache>
            </c:numRef>
          </c:xVal>
          <c:yVal>
            <c:numRef>
              <c:f>'Notes | Quant Analysis'!$J$216:$J$264</c:f>
              <c:numCache>
                <c:formatCode>General</c:formatCode>
                <c:ptCount val="49"/>
                <c:pt idx="0">
                  <c:v>1</c:v>
                </c:pt>
                <c:pt idx="1">
                  <c:v>1</c:v>
                </c:pt>
                <c:pt idx="2">
                  <c:v>0</c:v>
                </c:pt>
                <c:pt idx="3">
                  <c:v>4</c:v>
                </c:pt>
                <c:pt idx="4">
                  <c:v>3</c:v>
                </c:pt>
                <c:pt idx="5">
                  <c:v>3</c:v>
                </c:pt>
                <c:pt idx="6">
                  <c:v>0</c:v>
                </c:pt>
                <c:pt idx="7">
                  <c:v>6</c:v>
                </c:pt>
                <c:pt idx="8">
                  <c:v>7</c:v>
                </c:pt>
                <c:pt idx="9">
                  <c:v>12</c:v>
                </c:pt>
                <c:pt idx="10">
                  <c:v>8</c:v>
                </c:pt>
                <c:pt idx="11">
                  <c:v>6</c:v>
                </c:pt>
                <c:pt idx="12">
                  <c:v>12</c:v>
                </c:pt>
                <c:pt idx="13">
                  <c:v>17</c:v>
                </c:pt>
                <c:pt idx="14">
                  <c:v>21</c:v>
                </c:pt>
                <c:pt idx="15">
                  <c:v>19</c:v>
                </c:pt>
                <c:pt idx="16">
                  <c:v>22</c:v>
                </c:pt>
                <c:pt idx="17">
                  <c:v>25</c:v>
                </c:pt>
                <c:pt idx="18">
                  <c:v>45</c:v>
                </c:pt>
                <c:pt idx="19">
                  <c:v>51</c:v>
                </c:pt>
                <c:pt idx="20">
                  <c:v>59</c:v>
                </c:pt>
                <c:pt idx="21">
                  <c:v>59</c:v>
                </c:pt>
                <c:pt idx="22">
                  <c:v>68</c:v>
                </c:pt>
                <c:pt idx="23">
                  <c:v>70</c:v>
                </c:pt>
                <c:pt idx="24">
                  <c:v>91</c:v>
                </c:pt>
                <c:pt idx="25">
                  <c:v>85</c:v>
                </c:pt>
                <c:pt idx="26">
                  <c:v>66</c:v>
                </c:pt>
                <c:pt idx="27">
                  <c:v>49</c:v>
                </c:pt>
                <c:pt idx="28">
                  <c:v>67</c:v>
                </c:pt>
                <c:pt idx="29">
                  <c:v>51</c:v>
                </c:pt>
                <c:pt idx="30">
                  <c:v>60</c:v>
                </c:pt>
                <c:pt idx="31">
                  <c:v>64</c:v>
                </c:pt>
                <c:pt idx="32">
                  <c:v>32</c:v>
                </c:pt>
                <c:pt idx="33">
                  <c:v>38</c:v>
                </c:pt>
                <c:pt idx="34">
                  <c:v>24</c:v>
                </c:pt>
                <c:pt idx="35">
                  <c:v>17</c:v>
                </c:pt>
                <c:pt idx="36">
                  <c:v>19</c:v>
                </c:pt>
                <c:pt idx="37">
                  <c:v>18</c:v>
                </c:pt>
                <c:pt idx="38">
                  <c:v>13</c:v>
                </c:pt>
                <c:pt idx="39">
                  <c:v>5</c:v>
                </c:pt>
                <c:pt idx="40">
                  <c:v>3</c:v>
                </c:pt>
                <c:pt idx="41">
                  <c:v>2</c:v>
                </c:pt>
                <c:pt idx="42">
                  <c:v>3</c:v>
                </c:pt>
                <c:pt idx="43">
                  <c:v>4</c:v>
                </c:pt>
                <c:pt idx="44">
                  <c:v>3</c:v>
                </c:pt>
                <c:pt idx="45">
                  <c:v>4</c:v>
                </c:pt>
                <c:pt idx="46">
                  <c:v>3</c:v>
                </c:pt>
                <c:pt idx="47">
                  <c:v>2</c:v>
                </c:pt>
                <c:pt idx="48">
                  <c:v>1</c:v>
                </c:pt>
              </c:numCache>
            </c:numRef>
          </c:yVal>
          <c:smooth val="1"/>
          <c:extLst>
            <c:ext xmlns:c16="http://schemas.microsoft.com/office/drawing/2014/chart" uri="{C3380CC4-5D6E-409C-BE32-E72D297353CC}">
              <c16:uniqueId val="{00000000-A3E0-4241-B9E2-C6C1132A9B06}"/>
            </c:ext>
          </c:extLst>
        </c:ser>
        <c:ser>
          <c:idx val="1"/>
          <c:order val="1"/>
          <c:tx>
            <c:strRef>
              <c:f>'Notes | Quant Analysis'!$L$214</c:f>
              <c:strCache>
                <c:ptCount val="1"/>
                <c:pt idx="0">
                  <c:v>Distribution Overlay</c:v>
                </c:pt>
              </c:strCache>
            </c:strRef>
          </c:tx>
          <c:spPr>
            <a:ln w="1905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'Notes | Quant Analysis'!$L$216:$L$266</c:f>
              <c:numCache>
                <c:formatCode>0.00%</c:formatCode>
                <c:ptCount val="51"/>
                <c:pt idx="0">
                  <c:v>-6.25E-2</c:v>
                </c:pt>
                <c:pt idx="1">
                  <c:v>-0.06</c:v>
                </c:pt>
                <c:pt idx="2">
                  <c:v>-5.7500000000000002E-2</c:v>
                </c:pt>
                <c:pt idx="3">
                  <c:v>-5.5E-2</c:v>
                </c:pt>
                <c:pt idx="4">
                  <c:v>-5.2499999999999998E-2</c:v>
                </c:pt>
                <c:pt idx="5">
                  <c:v>-0.05</c:v>
                </c:pt>
                <c:pt idx="6">
                  <c:v>-4.7500000000000001E-2</c:v>
                </c:pt>
                <c:pt idx="7">
                  <c:v>-4.4999999999999998E-2</c:v>
                </c:pt>
                <c:pt idx="8">
                  <c:v>-4.2500000000000003E-2</c:v>
                </c:pt>
                <c:pt idx="9">
                  <c:v>-0.04</c:v>
                </c:pt>
                <c:pt idx="10">
                  <c:v>-3.7499999999999999E-2</c:v>
                </c:pt>
                <c:pt idx="11">
                  <c:v>-3.5000000000000003E-2</c:v>
                </c:pt>
                <c:pt idx="12">
                  <c:v>-3.2500000000000001E-2</c:v>
                </c:pt>
                <c:pt idx="13">
                  <c:v>-0.03</c:v>
                </c:pt>
                <c:pt idx="14">
                  <c:v>-2.75E-2</c:v>
                </c:pt>
                <c:pt idx="15">
                  <c:v>-2.5000000000000001E-2</c:v>
                </c:pt>
                <c:pt idx="16">
                  <c:v>-2.2499999999999999E-2</c:v>
                </c:pt>
                <c:pt idx="17">
                  <c:v>-0.02</c:v>
                </c:pt>
                <c:pt idx="18">
                  <c:v>-1.7500000000000002E-2</c:v>
                </c:pt>
                <c:pt idx="19">
                  <c:v>-1.4999999999999999E-2</c:v>
                </c:pt>
                <c:pt idx="20">
                  <c:v>-1.2500000000000001E-2</c:v>
                </c:pt>
                <c:pt idx="21">
                  <c:v>-0.01</c:v>
                </c:pt>
                <c:pt idx="22">
                  <c:v>-7.4999999999999997E-3</c:v>
                </c:pt>
                <c:pt idx="23">
                  <c:v>-5.0000000000000001E-3</c:v>
                </c:pt>
                <c:pt idx="24">
                  <c:v>-2.5000000000000001E-3</c:v>
                </c:pt>
                <c:pt idx="25">
                  <c:v>0</c:v>
                </c:pt>
                <c:pt idx="26">
                  <c:v>2.5000000000000001E-3</c:v>
                </c:pt>
                <c:pt idx="27">
                  <c:v>5.0000000000000001E-3</c:v>
                </c:pt>
                <c:pt idx="28">
                  <c:v>7.4999999999999997E-3</c:v>
                </c:pt>
                <c:pt idx="29">
                  <c:v>0.01</c:v>
                </c:pt>
                <c:pt idx="30">
                  <c:v>1.2500000000000001E-2</c:v>
                </c:pt>
                <c:pt idx="31">
                  <c:v>1.4999999999999999E-2</c:v>
                </c:pt>
                <c:pt idx="32">
                  <c:v>1.7500000000000002E-2</c:v>
                </c:pt>
                <c:pt idx="33">
                  <c:v>0.02</c:v>
                </c:pt>
                <c:pt idx="34">
                  <c:v>2.2499999999999999E-2</c:v>
                </c:pt>
                <c:pt idx="35">
                  <c:v>2.5000000000000001E-2</c:v>
                </c:pt>
                <c:pt idx="36">
                  <c:v>2.75E-2</c:v>
                </c:pt>
                <c:pt idx="37">
                  <c:v>0.03</c:v>
                </c:pt>
                <c:pt idx="38">
                  <c:v>3.2500000000000001E-2</c:v>
                </c:pt>
                <c:pt idx="39">
                  <c:v>3.5000000000000003E-2</c:v>
                </c:pt>
                <c:pt idx="40">
                  <c:v>3.7499999999999999E-2</c:v>
                </c:pt>
                <c:pt idx="41">
                  <c:v>0.04</c:v>
                </c:pt>
                <c:pt idx="42">
                  <c:v>4.2500000000000003E-2</c:v>
                </c:pt>
                <c:pt idx="43">
                  <c:v>4.4999999999999998E-2</c:v>
                </c:pt>
                <c:pt idx="44">
                  <c:v>4.7500000000000001E-2</c:v>
                </c:pt>
                <c:pt idx="45">
                  <c:v>0.05</c:v>
                </c:pt>
                <c:pt idx="46">
                  <c:v>5.2499999999999998E-2</c:v>
                </c:pt>
                <c:pt idx="47">
                  <c:v>5.5E-2</c:v>
                </c:pt>
                <c:pt idx="48">
                  <c:v>5.7500000000000002E-2</c:v>
                </c:pt>
                <c:pt idx="49">
                  <c:v>0.06</c:v>
                </c:pt>
                <c:pt idx="50">
                  <c:v>6.25E-2</c:v>
                </c:pt>
              </c:numCache>
            </c:numRef>
          </c:xVal>
          <c:yVal>
            <c:numRef>
              <c:f>'Notes | Quant Analysis'!$M$216:$M$266</c:f>
              <c:numCache>
                <c:formatCode>General</c:formatCode>
                <c:ptCount val="51"/>
                <c:pt idx="0">
                  <c:v>0.10742058138663263</c:v>
                </c:pt>
                <c:pt idx="1">
                  <c:v>0.16125636353555861</c:v>
                </c:pt>
                <c:pt idx="2">
                  <c:v>0.23814348650257758</c:v>
                </c:pt>
                <c:pt idx="3">
                  <c:v>0.34598162617598838</c:v>
                </c:pt>
                <c:pt idx="4">
                  <c:v>0.49449265600178138</c:v>
                </c:pt>
                <c:pt idx="5">
                  <c:v>0.69527904245272742</c:v>
                </c:pt>
                <c:pt idx="6">
                  <c:v>0.96172501834519741</c:v>
                </c:pt>
                <c:pt idx="7">
                  <c:v>1.308685141161726</c:v>
                </c:pt>
                <c:pt idx="8">
                  <c:v>1.7519104829192778</c:v>
                </c:pt>
                <c:pt idx="9">
                  <c:v>2.3071781684149686</c:v>
                </c:pt>
                <c:pt idx="10">
                  <c:v>2.989116474458442</c:v>
                </c:pt>
                <c:pt idx="11">
                  <c:v>3.8097548020139715</c:v>
                </c:pt>
                <c:pt idx="12">
                  <c:v>4.7768729930836615</c:v>
                </c:pt>
                <c:pt idx="13">
                  <c:v>5.8922728080984283</c:v>
                </c:pt>
                <c:pt idx="14">
                  <c:v>7.1501389272634208</c:v>
                </c:pt>
                <c:pt idx="15">
                  <c:v>8.5356892669345932</c:v>
                </c:pt>
                <c:pt idx="16">
                  <c:v>10.024326313685666</c:v>
                </c:pt>
                <c:pt idx="17">
                  <c:v>11.58148573551728</c:v>
                </c:pt>
                <c:pt idx="18">
                  <c:v>13.163332154636409</c:v>
                </c:pt>
                <c:pt idx="19">
                  <c:v>14.718375751520579</c:v>
                </c:pt>
                <c:pt idx="20">
                  <c:v>16.189983802875343</c:v>
                </c:pt>
                <c:pt idx="21">
                  <c:v>17.519649964229057</c:v>
                </c:pt>
                <c:pt idx="22">
                  <c:v>18.650776503363478</c:v>
                </c:pt>
                <c:pt idx="23">
                  <c:v>19.532637635128481</c:v>
                </c:pt>
                <c:pt idx="24">
                  <c:v>20.124140970864751</c:v>
                </c:pt>
                <c:pt idx="25">
                  <c:v>20.39699977019454</c:v>
                </c:pt>
                <c:pt idx="26">
                  <c:v>20.337975200910474</c:v>
                </c:pt>
                <c:pt idx="27">
                  <c:v>19.949941119754655</c:v>
                </c:pt>
                <c:pt idx="28">
                  <c:v>19.251652124607908</c:v>
                </c:pt>
                <c:pt idx="29">
                  <c:v>18.276240945343826</c:v>
                </c:pt>
                <c:pt idx="30">
                  <c:v>17.068612811022497</c:v>
                </c:pt>
                <c:pt idx="31">
                  <c:v>15.682022084413369</c:v>
                </c:pt>
                <c:pt idx="32">
                  <c:v>14.174194168556841</c:v>
                </c:pt>
                <c:pt idx="33">
                  <c:v>12.603384237987036</c:v>
                </c:pt>
                <c:pt idx="34">
                  <c:v>11.024742588144736</c:v>
                </c:pt>
                <c:pt idx="35">
                  <c:v>9.4872910022214594</c:v>
                </c:pt>
                <c:pt idx="36">
                  <c:v>8.0317183010541413</c:v>
                </c:pt>
                <c:pt idx="37">
                  <c:v>6.6890924191400467</c:v>
                </c:pt>
                <c:pt idx="38">
                  <c:v>5.4804776021720452</c:v>
                </c:pt>
                <c:pt idx="39">
                  <c:v>4.4173529425200817</c:v>
                </c:pt>
                <c:pt idx="40">
                  <c:v>3.5026623641956487</c:v>
                </c:pt>
                <c:pt idx="41">
                  <c:v>2.7322908884020212</c:v>
                </c:pt>
                <c:pt idx="42">
                  <c:v>2.0967568674562269</c:v>
                </c:pt>
                <c:pt idx="43">
                  <c:v>1.5829299517533759</c:v>
                </c:pt>
                <c:pt idx="44">
                  <c:v>1.1756222629377588</c:v>
                </c:pt>
                <c:pt idx="45">
                  <c:v>0.85894704344517292</c:v>
                </c:pt>
                <c:pt idx="46">
                  <c:v>0.61738696924369429</c:v>
                </c:pt>
                <c:pt idx="47">
                  <c:v>0.43655705494721142</c:v>
                </c:pt>
                <c:pt idx="48">
                  <c:v>0.30368059766070521</c:v>
                </c:pt>
                <c:pt idx="49">
                  <c:v>0.20781914909728022</c:v>
                </c:pt>
                <c:pt idx="50">
                  <c:v>0.13990929284185369</c:v>
                </c:pt>
              </c:numCache>
            </c:numRef>
          </c:yVal>
          <c:smooth val="1"/>
          <c:extLst>
            <c:ext xmlns:c16="http://schemas.microsoft.com/office/drawing/2014/chart" uri="{C3380CC4-5D6E-409C-BE32-E72D297353CC}">
              <c16:uniqueId val="{00000001-A3E0-4241-B9E2-C6C1132A9B06}"/>
            </c:ext>
          </c:extLst>
        </c:ser>
        <c:ser>
          <c:idx val="2"/>
          <c:order val="2"/>
          <c:tx>
            <c:strRef>
              <c:f>'Notes | Quant Analysis'!$O$216</c:f>
              <c:strCache>
                <c:ptCount val="1"/>
                <c:pt idx="0">
                  <c:v>Mean</c:v>
                </c:pt>
              </c:strCache>
            </c:strRef>
          </c:tx>
          <c:spPr>
            <a:ln w="19050" cap="rnd">
              <a:solidFill>
                <a:srgbClr val="FFC000"/>
              </a:solidFill>
              <a:round/>
            </a:ln>
            <a:effectLst/>
          </c:spPr>
          <c:marker>
            <c:symbol val="none"/>
          </c:marker>
          <c:dLbls>
            <c:dLbl>
              <c:idx val="1"/>
              <c:layout>
                <c:manualLayout>
                  <c:x val="-5.1627542716246491E-2"/>
                  <c:y val="-2.0398514778953988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0292354219669371E-2"/>
                      <c:h val="0.12464571115213467"/>
                    </c:manualLayout>
                  </c15:layout>
                </c:ext>
                <c:ext xmlns:c16="http://schemas.microsoft.com/office/drawing/2014/chart" uri="{C3380CC4-5D6E-409C-BE32-E72D297353CC}">
                  <c16:uniqueId val="{0000000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LeaderLines val="0"/>
              </c:ext>
            </c:extLst>
          </c:dLbls>
          <c:xVal>
            <c:numRef>
              <c:f>'Notes | Quant Analysis'!$P$216:$P$217</c:f>
              <c:numCache>
                <c:formatCode>0.00%</c:formatCode>
                <c:ptCount val="2"/>
                <c:pt idx="0">
                  <c:v>8.0730762013572278E-4</c:v>
                </c:pt>
                <c:pt idx="1">
                  <c:v>8.0730762013572278E-4</c:v>
                </c:pt>
              </c:numCache>
            </c:numRef>
          </c:xVal>
          <c:yVal>
            <c:numRef>
              <c:f>'Notes | Quant Analysis'!$Q$216:$Q$217</c:f>
              <c:numCache>
                <c:formatCode>General</c:formatCode>
                <c:ptCount val="2"/>
                <c:pt idx="0">
                  <c:v>0</c:v>
                </c:pt>
                <c:pt idx="1">
                  <c:v>20.5</c:v>
                </c:pt>
              </c:numCache>
            </c:numRef>
          </c:yVal>
          <c:smooth val="1"/>
          <c:extLst>
            <c:ext xmlns:c16="http://schemas.microsoft.com/office/drawing/2014/chart" uri="{C3380CC4-5D6E-409C-BE32-E72D297353CC}">
              <c16:uniqueId val="{00000002-A3E0-4241-B9E2-C6C1132A9B06}"/>
            </c:ext>
          </c:extLst>
        </c:ser>
        <c:ser>
          <c:idx val="3"/>
          <c:order val="3"/>
          <c:tx>
            <c:strRef>
              <c:f>'Notes | Quant Analysis'!$O$218</c:f>
              <c:strCache>
                <c:ptCount val="1"/>
                <c:pt idx="0">
                  <c:v>-3σ</c:v>
                </c:pt>
              </c:strCache>
            </c:strRef>
          </c:tx>
          <c:spPr>
            <a:ln w="19050" cap="rnd">
              <a:solidFill>
                <a:schemeClr val="accent4"/>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2-A3E0-4241-B9E2-C6C1132A9B06}"/>
                </c:ext>
              </c:extLst>
            </c:dLbl>
            <c:dLbl>
              <c:idx val="1"/>
              <c:layout>
                <c:manualLayout>
                  <c:x val="-5.492500599273429E-2"/>
                  <c:y val="-1.9479502861185414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6355413555374724E-2"/>
                      <c:h val="6.726547968844146E-2"/>
                    </c:manualLayout>
                  </c15:layout>
                </c:ext>
                <c:ext xmlns:c16="http://schemas.microsoft.com/office/drawing/2014/chart" uri="{C3380CC4-5D6E-409C-BE32-E72D297353CC}">
                  <c16:uniqueId val="{00000013-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-5.7819256971462292E-2</c:v>
                </c:pt>
                <c:pt idx="1">
                  <c:v>-5.7819256971462292E-2</c:v>
                </c:pt>
              </c:numCache>
            </c:numRef>
          </c:xVal>
          <c:yVal>
            <c:numRef>
              <c:f>'Notes | Quant Analysis'!$Q$218:$Q$219</c:f>
              <c:numCache>
                <c:formatCode>General</c:formatCode>
                <c:ptCount val="2"/>
                <c:pt idx="0">
                  <c:v>0</c:v>
                </c:pt>
                <c:pt idx="1">
                  <c:v>1</c:v>
                </c:pt>
              </c:numCache>
            </c:numRef>
          </c:yVal>
          <c:smooth val="1"/>
          <c:extLst>
            <c:ext xmlns:c16="http://schemas.microsoft.com/office/drawing/2014/chart" uri="{C3380CC4-5D6E-409C-BE32-E72D297353CC}">
              <c16:uniqueId val="{00000004-A3E0-4241-B9E2-C6C1132A9B06}"/>
            </c:ext>
          </c:extLst>
        </c:ser>
        <c:ser>
          <c:idx val="4"/>
          <c:order val="4"/>
          <c:tx>
            <c:strRef>
              <c:f>'Notes | Quant Analysis'!$O$220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A3E0-4241-B9E2-C6C1132A9B06}"/>
                </c:ext>
              </c:extLst>
            </c:dLbl>
            <c:dLbl>
              <c:idx val="1"/>
              <c:layout>
                <c:manualLayout>
                  <c:x val="-4.7524207180408506E-2"/>
                  <c:y val="-3.453364980095191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F-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-3.8277068774262957E-2</c:v>
                </c:pt>
                <c:pt idx="1">
                  <c:v>-3.8277068774262957E-2</c:v>
                </c:pt>
              </c:numCache>
            </c:numRef>
          </c:xVal>
          <c:yVal>
            <c:numRef>
              <c:f>'Notes | Quant Analysis'!$Q$220:$Q$221</c:f>
              <c:numCache>
                <c:formatCode>General</c:formatCode>
                <c:ptCount val="2"/>
                <c:pt idx="0">
                  <c:v>0</c:v>
                </c:pt>
                <c:pt idx="1">
                  <c:v>3</c:v>
                </c:pt>
              </c:numCache>
            </c:numRef>
          </c:yVal>
          <c:smooth val="1"/>
          <c:extLst>
            <c:ext xmlns:c16="http://schemas.microsoft.com/office/drawing/2014/chart" uri="{C3380CC4-5D6E-409C-BE32-E72D297353CC}">
              <c16:uniqueId val="{00000005-A3E0-4241-B9E2-C6C1132A9B06}"/>
            </c:ext>
          </c:extLst>
        </c:ser>
        <c:ser>
          <c:idx val="5"/>
          <c:order val="5"/>
          <c:tx>
            <c:strRef>
              <c:f>'Notes | Quant Analysis'!$O$222</c:f>
              <c:strCache>
                <c:ptCount val="1"/>
                <c:pt idx="0">
                  <c:v>-1σ</c:v>
                </c:pt>
              </c:strCache>
            </c:strRef>
          </c:tx>
          <c:spPr>
            <a:ln w="19050" cap="rnd">
              <a:solidFill>
                <a:schemeClr val="accent6"/>
              </a:solidFill>
              <a:round/>
            </a:ln>
            <a:effectLst/>
          </c:spPr>
          <c:marker>
            <c:symbol val="none"/>
          </c:marker>
          <c:dPt>
            <c:idx val="1"/>
            <c:marker>
              <c:symbol val="none"/>
            </c:marker>
            <c:bubble3D val="0"/>
            <c:spPr>
              <a:ln w="19050" cap="rnd">
                <a:solidFill>
                  <a:srgbClr val="FFC000"/>
                </a:solidFill>
                <a:round/>
              </a:ln>
              <a:effectLst/>
            </c:spPr>
            <c:extLst>
              <c:ext xmlns:c16="http://schemas.microsoft.com/office/drawing/2014/chart" uri="{C3380CC4-5D6E-409C-BE32-E72D297353CC}">
                <c16:uniqueId val="{0000000A-A3E0-4241-B9E2-C6C1132A9B06}"/>
              </c:ext>
            </c:extLst>
          </c:dPt>
          <c:dLbls>
            <c:dLbl>
              <c:idx val="0"/>
              <c:delete val="1"/>
              <c:extLst>
                <c:ext xmlns:c15="http://schemas.microsoft.com/office/drawing/2012/chart" uri="{CE6537A1-D6FC-4f65-9D91-7224C49458BB}"/>
                <c:ext xmlns:c16="http://schemas.microsoft.com/office/drawing/2014/chart" uri="{C3380CC4-5D6E-409C-BE32-E72D297353CC}">
                  <c16:uniqueId val="{0000000D-A3E0-4241-B9E2-C6C1132A9B06}"/>
                </c:ext>
              </c:extLst>
            </c:dLbl>
            <c:dLbl>
              <c:idx val="1"/>
              <c:layout>
                <c:manualLayout>
                  <c:x val="-5.7698675104047407E-2"/>
                  <c:y val="-2.08727975988648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0942421259842504E-2"/>
                      <c:h val="7.8289082285766906E-2"/>
                    </c:manualLayout>
                  </c15:layout>
                </c:ext>
                <c:ext xmlns:c16="http://schemas.microsoft.com/office/drawing/2014/chart" uri="{C3380CC4-5D6E-409C-BE32-E72D297353CC}">
                  <c16:uniqueId val="{0000000A-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-1.8734880577063615E-2</c:v>
                </c:pt>
                <c:pt idx="1">
                  <c:v>-1.8734880577063615E-2</c:v>
                </c:pt>
              </c:numCache>
            </c:numRef>
          </c:xVal>
          <c:yVal>
            <c:numRef>
              <c:f>'Notes | Quant Analysis'!$Q$222:$Q$223</c:f>
              <c:numCache>
                <c:formatCode>General</c:formatCode>
                <c:ptCount val="2"/>
                <c:pt idx="0">
                  <c:v>0</c:v>
                </c:pt>
                <c:pt idx="1">
                  <c:v>13</c:v>
                </c:pt>
              </c:numCache>
            </c:numRef>
          </c:yVal>
          <c:smooth val="1"/>
          <c:extLst>
            <c:ext xmlns:c16="http://schemas.microsoft.com/office/drawing/2014/chart" uri="{C3380CC4-5D6E-409C-BE32-E72D297353CC}">
              <c16:uniqueId val="{00000006-A3E0-4241-B9E2-C6C1132A9B06}"/>
            </c:ext>
          </c:extLst>
        </c:ser>
        <c:ser>
          <c:idx val="6"/>
          <c:order val="6"/>
          <c:tx>
            <c:strRef>
              <c:f>'Notes | Quant Analysis'!$O$224</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A3E0-4241-B9E2-C6C1132A9B06}"/>
                </c:ext>
              </c:extLst>
            </c:dLbl>
            <c:dLbl>
              <c:idx val="1"/>
              <c:layout>
                <c:manualLayout>
                  <c:x val="-4.6316128500276825E-2"/>
                  <c:y val="-2.5861934722274549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8.9604834875401149E-2"/>
                      <c:h val="0.11406682764981506"/>
                    </c:manualLayout>
                  </c15:layout>
                </c:ext>
                <c:ext xmlns:c16="http://schemas.microsoft.com/office/drawing/2014/chart" uri="{C3380CC4-5D6E-409C-BE32-E72D297353CC}">
                  <c16:uniqueId val="{0000000C-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Analysis'!$P$224:$P$225</c:f>
              <c:numCache>
                <c:formatCode>0.00%</c:formatCode>
                <c:ptCount val="2"/>
                <c:pt idx="0">
                  <c:v>2.0349495817335063E-2</c:v>
                </c:pt>
                <c:pt idx="1">
                  <c:v>2.0349495817335063E-2</c:v>
                </c:pt>
              </c:numCache>
            </c:numRef>
          </c:xVal>
          <c:yVal>
            <c:numRef>
              <c:f>'Notes | Quant Analysis'!$Q$224:$Q$225</c:f>
              <c:numCache>
                <c:formatCode>General</c:formatCode>
                <c:ptCount val="2"/>
                <c:pt idx="0">
                  <c:v>0</c:v>
                </c:pt>
                <c:pt idx="1">
                  <c:v>13</c:v>
                </c:pt>
              </c:numCache>
            </c:numRef>
          </c:yVal>
          <c:smooth val="1"/>
          <c:extLst>
            <c:ext xmlns:c16="http://schemas.microsoft.com/office/drawing/2014/chart" uri="{C3380CC4-5D6E-409C-BE32-E72D297353CC}">
              <c16:uniqueId val="{00000007-A3E0-4241-B9E2-C6C1132A9B06}"/>
            </c:ext>
          </c:extLst>
        </c:ser>
        <c:ser>
          <c:idx val="7"/>
          <c:order val="7"/>
          <c:tx>
            <c:strRef>
              <c:f>'Notes | Quant Analysis'!$O$226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1-A3E0-4241-B9E2-C6C1132A9B06}"/>
                </c:ext>
              </c:extLst>
            </c:dLbl>
            <c:dLbl>
              <c:idx val="1"/>
              <c:layout>
                <c:manualLayout>
                  <c:x val="-3.1433578795243236E-2"/>
                  <c:y val="-3.4515231050664119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5-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Analysis'!$P$226:$P$227</c:f>
              <c:numCache>
                <c:formatCode>0.00%</c:formatCode>
                <c:ptCount val="2"/>
                <c:pt idx="0">
                  <c:v>3.9891684014534398E-2</c:v>
                </c:pt>
                <c:pt idx="1">
                  <c:v>3.9891684014534398E-2</c:v>
                </c:pt>
              </c:numCache>
            </c:numRef>
          </c:xVal>
          <c:yVal>
            <c:numRef>
              <c:f>'Notes | Quant Analysis'!$Q$226:$Q$227</c:f>
              <c:numCache>
                <c:formatCode>General</c:formatCode>
                <c:ptCount val="2"/>
                <c:pt idx="0">
                  <c:v>0</c:v>
                </c:pt>
                <c:pt idx="1">
                  <c:v>3</c:v>
                </c:pt>
              </c:numCache>
            </c:numRef>
          </c:yVal>
          <c:smooth val="1"/>
          <c:extLst>
            <c:ext xmlns:c16="http://schemas.microsoft.com/office/drawing/2014/chart" uri="{C3380CC4-5D6E-409C-BE32-E72D297353CC}">
              <c16:uniqueId val="{00000008-A3E0-4241-B9E2-C6C1132A9B06}"/>
            </c:ext>
          </c:extLst>
        </c:ser>
        <c:ser>
          <c:idx val="8"/>
          <c:order val="8"/>
          <c:tx>
            <c:strRef>
              <c:f>'Notes | Quant Analysis'!$O$228</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A3E0-4241-B9E2-C6C1132A9B06}"/>
                </c:ext>
              </c:extLst>
            </c:dLbl>
            <c:dLbl>
              <c:idx val="1"/>
              <c:layout>
                <c:manualLayout>
                  <c:x val="-3.2997618595025792E-2"/>
                  <c:y val="-2.703956263840225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A3E0-4241-B9E2-C6C1132A9B06}"/>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Analysis'!$P$228:$P$229</c:f>
              <c:numCache>
                <c:formatCode>0.00%</c:formatCode>
                <c:ptCount val="2"/>
                <c:pt idx="0">
                  <c:v>5.9433872211733733E-2</c:v>
                </c:pt>
                <c:pt idx="1">
                  <c:v>5.9433872211733733E-2</c:v>
                </c:pt>
              </c:numCache>
            </c:numRef>
          </c:xVal>
          <c:yVal>
            <c:numRef>
              <c:f>'Notes | Quant Analysis'!$Q$228:$Q$229</c:f>
              <c:numCache>
                <c:formatCode>General</c:formatCode>
                <c:ptCount val="2"/>
                <c:pt idx="0">
                  <c:v>0</c:v>
                </c:pt>
                <c:pt idx="1">
                  <c:v>1</c:v>
                </c:pt>
              </c:numCache>
            </c:numRef>
          </c:yVal>
          <c:smooth val="1"/>
          <c:extLst>
            <c:ext xmlns:c16="http://schemas.microsoft.com/office/drawing/2014/chart" uri="{C3380CC4-5D6E-409C-BE32-E72D297353CC}">
              <c16:uniqueId val="{00000009-A3E0-4241-B9E2-C6C1132A9B06}"/>
            </c:ext>
          </c:extLst>
        </c:ser>
        <c:dLbls>
          <c:showLegendKey val="0"/>
          <c:showVal val="0"/>
          <c:showCatName val="0"/>
          <c:showSerName val="0"/>
          <c:showPercent val="0"/>
          <c:showBubbleSize val="0"/>
        </c:dLbls>
        <c:axId val="1953242783"/>
        <c:axId val="1953240383"/>
      </c:scatterChart>
      <c:valAx>
        <c:axId val="1953242783"/>
        <c:scaling>
          <c:orientation val="minMax"/>
          <c:max val="6.5000000000000016E-2"/>
          <c:min val="-6.5000000000000016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crossAx val="1953240383"/>
        <c:crosses val="autoZero"/>
        <c:crossBetween val="midCat"/>
        <c:majorUnit val="5.000000000000001E-3"/>
      </c:valAx>
      <c:valAx>
        <c:axId val="19532403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53242783"/>
        <c:crosses val="autoZero"/>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(META)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7"/>
          <c:order val="0"/>
          <c:tx>
            <c:strRef>
              <c:f>Model!$B$4</c:f>
              <c:strCache>
                <c:ptCount val="1"/>
                <c:pt idx="0">
                  <c:v>Advertising </c:v>
                </c:pt>
              </c:strCache>
            </c:strRef>
          </c:tx>
          <c:spPr>
            <a:solidFill>
              <a:srgbClr val="CE70A8"/>
            </a:solidFill>
            <a:ln>
              <a:noFill/>
            </a:ln>
            <a:effectLst/>
          </c:spPr>
          <c:invertIfNegative val="0"/>
          <c:cat>
            <c:strRef>
              <c:f>Model!$AI$1:$BC$1</c:f>
              <c:strCache>
                <c:ptCount val="21"/>
                <c:pt idx="0">
                  <c:v>Q1 2020</c:v>
                </c:pt>
                <c:pt idx="4">
                  <c:v>Q1 2021</c:v>
                </c:pt>
                <c:pt idx="8">
                  <c:v>Q1 2022</c:v>
                </c:pt>
                <c:pt idx="12">
                  <c:v>Q1 2023</c:v>
                </c:pt>
                <c:pt idx="16">
                  <c:v>Q1 2024</c:v>
                </c:pt>
                <c:pt idx="20">
                  <c:v>Q1 2025</c:v>
                </c:pt>
              </c:strCache>
            </c:strRef>
          </c:cat>
          <c:val>
            <c:numRef>
              <c:f>Model!$AI$4:$BC$4</c:f>
              <c:numCache>
                <c:formatCode>General</c:formatCode>
                <c:ptCount val="21"/>
                <c:pt idx="0">
                  <c:v>17440</c:v>
                </c:pt>
                <c:pt idx="1">
                  <c:v>18321</c:v>
                </c:pt>
                <c:pt idx="2">
                  <c:v>21221</c:v>
                </c:pt>
                <c:pt idx="3">
                  <c:v>27187</c:v>
                </c:pt>
                <c:pt idx="4">
                  <c:v>25439</c:v>
                </c:pt>
                <c:pt idx="5">
                  <c:v>28580</c:v>
                </c:pt>
                <c:pt idx="6">
                  <c:v>28276</c:v>
                </c:pt>
                <c:pt idx="7">
                  <c:v>32639</c:v>
                </c:pt>
                <c:pt idx="8">
                  <c:v>26998</c:v>
                </c:pt>
                <c:pt idx="9">
                  <c:v>28152</c:v>
                </c:pt>
                <c:pt idx="10">
                  <c:v>27237</c:v>
                </c:pt>
                <c:pt idx="11">
                  <c:v>31255</c:v>
                </c:pt>
                <c:pt idx="12">
                  <c:v>28101</c:v>
                </c:pt>
                <c:pt idx="13">
                  <c:v>31498</c:v>
                </c:pt>
                <c:pt idx="14">
                  <c:v>33643</c:v>
                </c:pt>
                <c:pt idx="15">
                  <c:v>38706</c:v>
                </c:pt>
                <c:pt idx="16">
                  <c:v>35635</c:v>
                </c:pt>
                <c:pt idx="17">
                  <c:v>38329</c:v>
                </c:pt>
                <c:pt idx="18">
                  <c:v>39885</c:v>
                </c:pt>
                <c:pt idx="19">
                  <c:v>46784</c:v>
                </c:pt>
                <c:pt idx="20">
                  <c:v>41392</c:v>
                </c:pt>
              </c:numCache>
            </c:numRef>
          </c:val>
          <c:extLst>
            <c:ext xmlns:c16="http://schemas.microsoft.com/office/drawing/2014/chart" uri="{C3380CC4-5D6E-409C-BE32-E72D297353CC}">
              <c16:uniqueId val="{00000000-1C05-4AEB-B715-EDC2987346A6}"/>
            </c:ext>
          </c:extLst>
        </c:ser>
        <c:ser>
          <c:idx val="1"/>
          <c:order val="1"/>
          <c:tx>
            <c:strRef>
              <c:f>Model!$B$5</c:f>
              <c:strCache>
                <c:ptCount val="1"/>
                <c:pt idx="0">
                  <c:v>Other Revenues</c:v>
                </c:pt>
              </c:strCache>
            </c:strRef>
          </c:tx>
          <c:spPr>
            <a:solidFill>
              <a:srgbClr val="D890BB"/>
            </a:solidFill>
            <a:ln>
              <a:noFill/>
            </a:ln>
            <a:effectLst/>
          </c:spPr>
          <c:invertIfNegative val="0"/>
          <c:cat>
            <c:strRef>
              <c:f>Model!$AI$1:$BC$1</c:f>
              <c:strCache>
                <c:ptCount val="21"/>
                <c:pt idx="0">
                  <c:v>Q1 2020</c:v>
                </c:pt>
                <c:pt idx="4">
                  <c:v>Q1 2021</c:v>
                </c:pt>
                <c:pt idx="8">
                  <c:v>Q1 2022</c:v>
                </c:pt>
                <c:pt idx="12">
                  <c:v>Q1 2023</c:v>
                </c:pt>
                <c:pt idx="16">
                  <c:v>Q1 2024</c:v>
                </c:pt>
                <c:pt idx="20">
                  <c:v>Q1 2025</c:v>
                </c:pt>
              </c:strCache>
            </c:strRef>
          </c:cat>
          <c:val>
            <c:numRef>
              <c:f>Model!$AI$5:$BC$5</c:f>
              <c:numCache>
                <c:formatCode>General</c:formatCode>
                <c:ptCount val="21"/>
                <c:pt idx="0">
                  <c:v>297</c:v>
                </c:pt>
                <c:pt idx="1">
                  <c:v>366</c:v>
                </c:pt>
                <c:pt idx="2">
                  <c:v>249</c:v>
                </c:pt>
                <c:pt idx="3">
                  <c:v>155</c:v>
                </c:pt>
                <c:pt idx="4">
                  <c:v>198</c:v>
                </c:pt>
                <c:pt idx="5">
                  <c:v>192</c:v>
                </c:pt>
                <c:pt idx="6">
                  <c:v>176</c:v>
                </c:pt>
                <c:pt idx="7">
                  <c:v>155</c:v>
                </c:pt>
                <c:pt idx="8">
                  <c:v>215</c:v>
                </c:pt>
                <c:pt idx="9">
                  <c:v>218</c:v>
                </c:pt>
                <c:pt idx="10">
                  <c:v>192</c:v>
                </c:pt>
                <c:pt idx="11">
                  <c:v>183</c:v>
                </c:pt>
                <c:pt idx="12">
                  <c:v>205</c:v>
                </c:pt>
                <c:pt idx="13">
                  <c:v>225</c:v>
                </c:pt>
                <c:pt idx="14">
                  <c:v>293</c:v>
                </c:pt>
                <c:pt idx="15">
                  <c:v>335</c:v>
                </c:pt>
                <c:pt idx="16">
                  <c:v>380</c:v>
                </c:pt>
                <c:pt idx="17">
                  <c:v>389</c:v>
                </c:pt>
                <c:pt idx="18">
                  <c:v>434</c:v>
                </c:pt>
                <c:pt idx="19">
                  <c:v>519</c:v>
                </c:pt>
                <c:pt idx="20">
                  <c:v>510</c:v>
                </c:pt>
              </c:numCache>
            </c:numRef>
          </c:val>
          <c:extLst>
            <c:ext xmlns:c16="http://schemas.microsoft.com/office/drawing/2014/chart" uri="{C3380CC4-5D6E-409C-BE32-E72D297353CC}">
              <c16:uniqueId val="{00000001-1C05-4AEB-B715-EDC2987346A6}"/>
            </c:ext>
          </c:extLst>
        </c:ser>
        <c:ser>
          <c:idx val="5"/>
          <c:order val="2"/>
          <c:tx>
            <c:strRef>
              <c:f>Model!$B$7</c:f>
              <c:strCache>
                <c:ptCount val="1"/>
                <c:pt idx="0">
                  <c:v>Reality Labs</c:v>
                </c:pt>
              </c:strCache>
            </c:strRef>
          </c:tx>
          <c:spPr>
            <a:solidFill>
              <a:srgbClr val="A9CBE9"/>
            </a:solidFill>
            <a:ln>
              <a:noFill/>
            </a:ln>
            <a:effectLst/>
          </c:spPr>
          <c:invertIfNegative val="0"/>
          <c:cat>
            <c:strRef>
              <c:f>Model!$AI$1:$BC$1</c:f>
              <c:strCache>
                <c:ptCount val="21"/>
                <c:pt idx="0">
                  <c:v>Q1 2020</c:v>
                </c:pt>
                <c:pt idx="4">
                  <c:v>Q1 2021</c:v>
                </c:pt>
                <c:pt idx="8">
                  <c:v>Q1 2022</c:v>
                </c:pt>
                <c:pt idx="12">
                  <c:v>Q1 2023</c:v>
                </c:pt>
                <c:pt idx="16">
                  <c:v>Q1 2024</c:v>
                </c:pt>
                <c:pt idx="20">
                  <c:v>Q1 2025</c:v>
                </c:pt>
              </c:strCache>
            </c:strRef>
          </c:cat>
          <c:val>
            <c:numRef>
              <c:f>Model!$AI$7:$BC$7</c:f>
              <c:numCache>
                <c:formatCode>General</c:formatCode>
                <c:ptCount val="21"/>
                <c:pt idx="0">
                  <c:v>0</c:v>
                </c:pt>
                <c:pt idx="1">
                  <c:v>0</c:v>
                </c:pt>
                <c:pt idx="2">
                  <c:v>0</c:v>
                </c:pt>
                <c:pt idx="3">
                  <c:v>729</c:v>
                </c:pt>
                <c:pt idx="4">
                  <c:v>534</c:v>
                </c:pt>
                <c:pt idx="5">
                  <c:v>305</c:v>
                </c:pt>
                <c:pt idx="6">
                  <c:v>558</c:v>
                </c:pt>
                <c:pt idx="7">
                  <c:v>877</c:v>
                </c:pt>
                <c:pt idx="8">
                  <c:v>695</c:v>
                </c:pt>
                <c:pt idx="9">
                  <c:v>452</c:v>
                </c:pt>
                <c:pt idx="10">
                  <c:v>285</c:v>
                </c:pt>
                <c:pt idx="11">
                  <c:v>727</c:v>
                </c:pt>
                <c:pt idx="12">
                  <c:v>339</c:v>
                </c:pt>
                <c:pt idx="13">
                  <c:v>276</c:v>
                </c:pt>
                <c:pt idx="14">
                  <c:v>210</c:v>
                </c:pt>
                <c:pt idx="15">
                  <c:v>1071</c:v>
                </c:pt>
                <c:pt idx="16">
                  <c:v>440</c:v>
                </c:pt>
                <c:pt idx="17">
                  <c:v>353</c:v>
                </c:pt>
                <c:pt idx="18">
                  <c:v>270</c:v>
                </c:pt>
                <c:pt idx="19">
                  <c:v>1083</c:v>
                </c:pt>
                <c:pt idx="20">
                  <c:v>412</c:v>
                </c:pt>
              </c:numCache>
            </c:numRef>
          </c:val>
          <c:extLst>
            <c:ext xmlns:c16="http://schemas.microsoft.com/office/drawing/2014/chart" uri="{C3380CC4-5D6E-409C-BE32-E72D297353CC}">
              <c16:uniqueId val="{00000002-1C05-4AEB-B715-EDC2987346A6}"/>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max val="5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(META)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Model!$AI$48:$BC$48</c:f>
              <c:numCache>
                <c:formatCode>General</c:formatCode>
                <c:ptCount val="21"/>
                <c:pt idx="0">
                  <c:v>4902</c:v>
                </c:pt>
                <c:pt idx="1">
                  <c:v>5178</c:v>
                </c:pt>
                <c:pt idx="2">
                  <c:v>7846</c:v>
                </c:pt>
                <c:pt idx="3">
                  <c:v>11220</c:v>
                </c:pt>
                <c:pt idx="4">
                  <c:v>9497</c:v>
                </c:pt>
                <c:pt idx="5">
                  <c:v>10394</c:v>
                </c:pt>
                <c:pt idx="6">
                  <c:v>9194</c:v>
                </c:pt>
                <c:pt idx="7">
                  <c:v>10285</c:v>
                </c:pt>
                <c:pt idx="8">
                  <c:v>7465</c:v>
                </c:pt>
                <c:pt idx="9">
                  <c:v>6687</c:v>
                </c:pt>
                <c:pt idx="10">
                  <c:v>4395</c:v>
                </c:pt>
                <c:pt idx="11">
                  <c:v>4653</c:v>
                </c:pt>
                <c:pt idx="12">
                  <c:v>5709</c:v>
                </c:pt>
                <c:pt idx="13">
                  <c:v>7788</c:v>
                </c:pt>
                <c:pt idx="14">
                  <c:v>11583</c:v>
                </c:pt>
                <c:pt idx="15">
                  <c:v>14018</c:v>
                </c:pt>
                <c:pt idx="16">
                  <c:v>12369</c:v>
                </c:pt>
                <c:pt idx="17">
                  <c:v>13465</c:v>
                </c:pt>
                <c:pt idx="18">
                  <c:v>15688</c:v>
                </c:pt>
                <c:pt idx="19">
                  <c:v>20838</c:v>
                </c:pt>
                <c:pt idx="20">
                  <c:v>16644</c:v>
                </c:pt>
              </c:numCache>
            </c:numRef>
          </c:val>
          <c:extLst>
            <c:ext xmlns:c16="http://schemas.microsoft.com/office/drawing/2014/chart" uri="{C3380CC4-5D6E-409C-BE32-E72D297353CC}">
              <c16:uniqueId val="{00000000-B32E-4293-B68E-9C01DC6501E8}"/>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Model!$AI$93:$BC$93</c:f>
              <c:numCache>
                <c:formatCode>General</c:formatCode>
                <c:ptCount val="21"/>
                <c:pt idx="0">
                  <c:v>7443</c:v>
                </c:pt>
                <c:pt idx="1">
                  <c:v>622</c:v>
                </c:pt>
                <c:pt idx="2">
                  <c:v>6140</c:v>
                </c:pt>
                <c:pt idx="3">
                  <c:v>9427</c:v>
                </c:pt>
                <c:pt idx="4">
                  <c:v>7939</c:v>
                </c:pt>
                <c:pt idx="5">
                  <c:v>8635</c:v>
                </c:pt>
                <c:pt idx="6">
                  <c:v>9776</c:v>
                </c:pt>
                <c:pt idx="7">
                  <c:v>12735</c:v>
                </c:pt>
                <c:pt idx="8">
                  <c:v>8761</c:v>
                </c:pt>
                <c:pt idx="9">
                  <c:v>4668</c:v>
                </c:pt>
                <c:pt idx="10">
                  <c:v>337</c:v>
                </c:pt>
                <c:pt idx="11">
                  <c:v>5523</c:v>
                </c:pt>
                <c:pt idx="12">
                  <c:v>7175</c:v>
                </c:pt>
                <c:pt idx="13">
                  <c:v>11175</c:v>
                </c:pt>
                <c:pt idx="14">
                  <c:v>13906</c:v>
                </c:pt>
                <c:pt idx="15">
                  <c:v>11812</c:v>
                </c:pt>
                <c:pt idx="16">
                  <c:v>12846</c:v>
                </c:pt>
                <c:pt idx="17">
                  <c:v>11197</c:v>
                </c:pt>
                <c:pt idx="18">
                  <c:v>16466</c:v>
                </c:pt>
                <c:pt idx="19">
                  <c:v>13563</c:v>
                </c:pt>
                <c:pt idx="20">
                  <c:v>11085</c:v>
                </c:pt>
              </c:numCache>
            </c:numRef>
          </c:val>
          <c:extLst>
            <c:ext xmlns:c16="http://schemas.microsoft.com/office/drawing/2014/chart" uri="{C3380CC4-5D6E-409C-BE32-E72D297353CC}">
              <c16:uniqueId val="{00000001-B32E-4293-B68E-9C01DC6501E8}"/>
            </c:ext>
          </c:extLst>
        </c:ser>
        <c:dLbls>
          <c:showLegendKey val="0"/>
          <c:showVal val="0"/>
          <c:showCatName val="0"/>
          <c:showSerName val="0"/>
          <c:showPercent val="0"/>
          <c:showBubbleSize val="0"/>
        </c:dLbls>
        <c:gapWidth val="57"/>
        <c:overlap val="-2"/>
        <c:axId val="1243124976"/>
        <c:axId val="1243123056"/>
      </c:barChart>
      <c:lineChart>
        <c:grouping val="standard"/>
        <c:varyColors val="0"/>
        <c:ser>
          <c:idx val="0"/>
          <c:order val="0"/>
          <c:tx>
            <c:v>Revenues</c:v>
          </c:tx>
          <c:spPr>
            <a:ln w="25400">
              <a:solidFill>
                <a:srgbClr val="00B0F0"/>
              </a:solidFill>
            </a:ln>
          </c:spPr>
          <c:marker>
            <c:symbol val="none"/>
          </c:marker>
          <c:cat>
            <c:strRef>
              <c:f>Model!$AI$1:$BC$1</c:f>
              <c:strCache>
                <c:ptCount val="21"/>
                <c:pt idx="0">
                  <c:v>Q1 2020</c:v>
                </c:pt>
                <c:pt idx="4">
                  <c:v>Q1 2021</c:v>
                </c:pt>
                <c:pt idx="8">
                  <c:v>Q1 2022</c:v>
                </c:pt>
                <c:pt idx="12">
                  <c:v>Q1 2023</c:v>
                </c:pt>
                <c:pt idx="16">
                  <c:v>Q1 2024</c:v>
                </c:pt>
                <c:pt idx="20">
                  <c:v>Q1 2025</c:v>
                </c:pt>
              </c:strCache>
            </c:strRef>
          </c:cat>
          <c:val>
            <c:numRef>
              <c:f>Model!$AI$37:$BC$37</c:f>
              <c:numCache>
                <c:formatCode>General</c:formatCode>
                <c:ptCount val="21"/>
                <c:pt idx="0">
                  <c:v>17737</c:v>
                </c:pt>
                <c:pt idx="1">
                  <c:v>18687</c:v>
                </c:pt>
                <c:pt idx="2">
                  <c:v>21470</c:v>
                </c:pt>
                <c:pt idx="3">
                  <c:v>28071</c:v>
                </c:pt>
                <c:pt idx="4">
                  <c:v>26171</c:v>
                </c:pt>
                <c:pt idx="5">
                  <c:v>29077</c:v>
                </c:pt>
                <c:pt idx="6">
                  <c:v>29010</c:v>
                </c:pt>
                <c:pt idx="7">
                  <c:v>33671</c:v>
                </c:pt>
                <c:pt idx="8">
                  <c:v>27908</c:v>
                </c:pt>
                <c:pt idx="9">
                  <c:v>28822</c:v>
                </c:pt>
                <c:pt idx="10">
                  <c:v>27714</c:v>
                </c:pt>
                <c:pt idx="11">
                  <c:v>32165</c:v>
                </c:pt>
                <c:pt idx="12">
                  <c:v>28645</c:v>
                </c:pt>
                <c:pt idx="13">
                  <c:v>31999</c:v>
                </c:pt>
                <c:pt idx="14">
                  <c:v>34146</c:v>
                </c:pt>
                <c:pt idx="15">
                  <c:v>40112</c:v>
                </c:pt>
                <c:pt idx="16">
                  <c:v>36455</c:v>
                </c:pt>
                <c:pt idx="17">
                  <c:v>39071</c:v>
                </c:pt>
                <c:pt idx="18">
                  <c:v>40589</c:v>
                </c:pt>
                <c:pt idx="19">
                  <c:v>48386</c:v>
                </c:pt>
                <c:pt idx="20">
                  <c:v>42314</c:v>
                </c:pt>
              </c:numCache>
            </c:numRef>
          </c:val>
          <c:smooth val="0"/>
          <c:extLst>
            <c:ext xmlns:c16="http://schemas.microsoft.com/office/drawing/2014/chart" uri="{C3380CC4-5D6E-409C-BE32-E72D297353CC}">
              <c16:uniqueId val="{00000002-B32E-4293-B68E-9C01DC6501E8}"/>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(META)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Model!$BO$48:$CA$48</c:f>
              <c:numCache>
                <c:formatCode>General</c:formatCode>
                <c:ptCount val="13"/>
                <c:pt idx="0">
                  <c:v>53</c:v>
                </c:pt>
                <c:pt idx="1">
                  <c:v>1500</c:v>
                </c:pt>
                <c:pt idx="2">
                  <c:v>2940</c:v>
                </c:pt>
                <c:pt idx="3">
                  <c:v>3688</c:v>
                </c:pt>
                <c:pt idx="4">
                  <c:v>10217</c:v>
                </c:pt>
                <c:pt idx="5">
                  <c:v>15934</c:v>
                </c:pt>
                <c:pt idx="6">
                  <c:v>22112</c:v>
                </c:pt>
                <c:pt idx="7">
                  <c:v>18485</c:v>
                </c:pt>
                <c:pt idx="8">
                  <c:v>29146</c:v>
                </c:pt>
                <c:pt idx="9">
                  <c:v>39370</c:v>
                </c:pt>
                <c:pt idx="10">
                  <c:v>23200</c:v>
                </c:pt>
                <c:pt idx="11">
                  <c:v>39098</c:v>
                </c:pt>
                <c:pt idx="12">
                  <c:v>62360</c:v>
                </c:pt>
              </c:numCache>
            </c:numRef>
          </c:val>
          <c:extLst>
            <c:ext xmlns:c16="http://schemas.microsoft.com/office/drawing/2014/chart" uri="{C3380CC4-5D6E-409C-BE32-E72D297353CC}">
              <c16:uniqueId val="{00000000-25C7-4774-9135-A44551C8E2EF}"/>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Model!$BO$93:$CA$93</c:f>
              <c:numCache>
                <c:formatCode>General</c:formatCode>
                <c:ptCount val="13"/>
                <c:pt idx="0">
                  <c:v>377</c:v>
                </c:pt>
                <c:pt idx="1">
                  <c:v>2860</c:v>
                </c:pt>
                <c:pt idx="2">
                  <c:v>5495</c:v>
                </c:pt>
                <c:pt idx="3">
                  <c:v>7797</c:v>
                </c:pt>
                <c:pt idx="4">
                  <c:v>11617</c:v>
                </c:pt>
                <c:pt idx="5">
                  <c:v>17483</c:v>
                </c:pt>
                <c:pt idx="6">
                  <c:v>15359</c:v>
                </c:pt>
                <c:pt idx="7">
                  <c:v>21212</c:v>
                </c:pt>
                <c:pt idx="8">
                  <c:v>23632</c:v>
                </c:pt>
                <c:pt idx="9">
                  <c:v>39085</c:v>
                </c:pt>
                <c:pt idx="10">
                  <c:v>19289</c:v>
                </c:pt>
                <c:pt idx="11">
                  <c:v>44068</c:v>
                </c:pt>
                <c:pt idx="12">
                  <c:v>54072</c:v>
                </c:pt>
              </c:numCache>
            </c:numRef>
          </c:val>
          <c:extLst>
            <c:ext xmlns:c16="http://schemas.microsoft.com/office/drawing/2014/chart" uri="{C3380CC4-5D6E-409C-BE32-E72D297353CC}">
              <c16:uniqueId val="{00000001-25C7-4774-9135-A44551C8E2EF}"/>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marker>
            <c:symbol val="none"/>
          </c:marker>
          <c:cat>
            <c:numRef>
              <c:f>Model!$BO$3:$CA$3</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Model!$BO$37:$CA$37</c:f>
              <c:numCache>
                <c:formatCode>General</c:formatCode>
                <c:ptCount val="13"/>
                <c:pt idx="0">
                  <c:v>5089</c:v>
                </c:pt>
                <c:pt idx="1">
                  <c:v>7872</c:v>
                </c:pt>
                <c:pt idx="2">
                  <c:v>12466</c:v>
                </c:pt>
                <c:pt idx="3">
                  <c:v>17928</c:v>
                </c:pt>
                <c:pt idx="4">
                  <c:v>27638</c:v>
                </c:pt>
                <c:pt idx="5">
                  <c:v>40653</c:v>
                </c:pt>
                <c:pt idx="6">
                  <c:v>55838</c:v>
                </c:pt>
                <c:pt idx="7">
                  <c:v>70697</c:v>
                </c:pt>
                <c:pt idx="8">
                  <c:v>85965</c:v>
                </c:pt>
                <c:pt idx="9">
                  <c:v>117929</c:v>
                </c:pt>
                <c:pt idx="10">
                  <c:v>116609</c:v>
                </c:pt>
                <c:pt idx="11">
                  <c:v>134902</c:v>
                </c:pt>
                <c:pt idx="12">
                  <c:v>164501</c:v>
                </c:pt>
              </c:numCache>
            </c:numRef>
          </c:val>
          <c:smooth val="0"/>
          <c:extLst>
            <c:ext xmlns:c16="http://schemas.microsoft.com/office/drawing/2014/chart" uri="{C3380CC4-5D6E-409C-BE32-E72D297353CC}">
              <c16:uniqueId val="{00000002-25C7-4774-9135-A44551C8E2EF}"/>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r>
              <a:rPr lang="en-US"/>
              <a:t>(META) Historical Return Histogram + Normal Distribution Overlay</a:t>
            </a:r>
          </a:p>
        </c:rich>
      </c:tx>
      <c:layout>
        <c:manualLayout>
          <c:xMode val="edge"/>
          <c:yMode val="edge"/>
          <c:x val="0.26993827160493827"/>
          <c:y val="9.084836817195378E-3"/>
        </c:manualLayout>
      </c:layout>
      <c:overlay val="0"/>
      <c:spPr>
        <a:noFill/>
        <a:ln>
          <a:noFill/>
        </a:ln>
        <a:effectLst/>
      </c:spPr>
      <c:txPr>
        <a:bodyPr rot="0" spcFirstLastPara="1" vertOverflow="ellipsis" vert="horz" wrap="square" anchor="ctr" anchorCtr="1"/>
        <a:lstStyle/>
        <a:p>
          <a:pPr marL="0" marR="0" lvl="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ysClr val="windowText" lastClr="000000">
                  <a:lumMod val="65000"/>
                  <a:lumOff val="35000"/>
                </a:sysClr>
              </a:solidFill>
              <a:latin typeface="+mn-lt"/>
              <a:ea typeface="+mn-ea"/>
              <a:cs typeface="+mn-cs"/>
            </a:defRPr>
          </a:pPr>
          <a:endParaRPr lang="en-US"/>
        </a:p>
      </c:txPr>
    </c:title>
    <c:autoTitleDeleted val="0"/>
    <c:plotArea>
      <c:layout>
        <c:manualLayout>
          <c:layoutTarget val="inner"/>
          <c:xMode val="edge"/>
          <c:yMode val="edge"/>
          <c:x val="3.5764362787984838E-2"/>
          <c:y val="6.1527057344455703E-2"/>
          <c:w val="0.93313376105764534"/>
          <c:h val="0.87215756826816704"/>
        </c:manualLayout>
      </c:layout>
      <c:scatterChart>
        <c:scatterStyle val="smoothMarker"/>
        <c:varyColors val="0"/>
        <c:ser>
          <c:idx val="0"/>
          <c:order val="0"/>
          <c:tx>
            <c:strRef>
              <c:f>'[2]Notes | Quant Analysis'!$I$216</c:f>
              <c:strCache>
                <c:ptCount val="1"/>
                <c:pt idx="0">
                  <c:v>Histogram Data</c:v>
                </c:pt>
              </c:strCache>
            </c:strRef>
          </c:tx>
          <c:spPr>
            <a:ln w="38100" cap="rnd">
              <a:noFill/>
              <a:round/>
            </a:ln>
            <a:effectLst/>
          </c:spPr>
          <c:marker>
            <c:symbol val="none"/>
          </c:marker>
          <c:errBars>
            <c:errDir val="y"/>
            <c:errBarType val="minus"/>
            <c:errValType val="percentage"/>
            <c:noEndCap val="1"/>
            <c:val val="100"/>
            <c:spPr>
              <a:noFill/>
              <a:ln w="209550" cap="flat" cmpd="sng" algn="ctr">
                <a:solidFill>
                  <a:srgbClr val="00B0F0"/>
                </a:solidFill>
                <a:round/>
              </a:ln>
              <a:effectLst/>
            </c:spPr>
          </c:errBars>
          <c:xVal>
            <c:numRef>
              <c:f>'[2]Notes | Quant Analysis'!$I$218:$I$266</c:f>
              <c:numCache>
                <c:formatCode>General</c:formatCode>
                <c:ptCount val="49"/>
                <c:pt idx="0">
                  <c:v>-0.06</c:v>
                </c:pt>
                <c:pt idx="1">
                  <c:v>-5.7500000000000002E-2</c:v>
                </c:pt>
                <c:pt idx="2">
                  <c:v>-5.5E-2</c:v>
                </c:pt>
                <c:pt idx="3">
                  <c:v>-5.2499999999999998E-2</c:v>
                </c:pt>
                <c:pt idx="4">
                  <c:v>-0.05</c:v>
                </c:pt>
                <c:pt idx="5">
                  <c:v>-4.7500000000000001E-2</c:v>
                </c:pt>
                <c:pt idx="6">
                  <c:v>-4.4999999999999998E-2</c:v>
                </c:pt>
                <c:pt idx="7">
                  <c:v>-4.2500000000000003E-2</c:v>
                </c:pt>
                <c:pt idx="8">
                  <c:v>-0.04</c:v>
                </c:pt>
                <c:pt idx="9">
                  <c:v>-3.7499999999999999E-2</c:v>
                </c:pt>
                <c:pt idx="10">
                  <c:v>-3.5000000000000003E-2</c:v>
                </c:pt>
                <c:pt idx="11">
                  <c:v>-3.2500000000000001E-2</c:v>
                </c:pt>
                <c:pt idx="12">
                  <c:v>-0.03</c:v>
                </c:pt>
                <c:pt idx="13">
                  <c:v>-2.75E-2</c:v>
                </c:pt>
                <c:pt idx="14">
                  <c:v>-2.5000000000000001E-2</c:v>
                </c:pt>
                <c:pt idx="15">
                  <c:v>-2.2499999999999999E-2</c:v>
                </c:pt>
                <c:pt idx="16">
                  <c:v>-0.02</c:v>
                </c:pt>
                <c:pt idx="17">
                  <c:v>-1.7500000000000002E-2</c:v>
                </c:pt>
                <c:pt idx="18">
                  <c:v>-1.4999999999999999E-2</c:v>
                </c:pt>
                <c:pt idx="19">
                  <c:v>-1.2500000000000001E-2</c:v>
                </c:pt>
                <c:pt idx="20">
                  <c:v>-0.01</c:v>
                </c:pt>
                <c:pt idx="21">
                  <c:v>-7.4999999999999997E-3</c:v>
                </c:pt>
                <c:pt idx="22">
                  <c:v>-5.0000000000000001E-3</c:v>
                </c:pt>
                <c:pt idx="23">
                  <c:v>-2.5000000000000001E-3</c:v>
                </c:pt>
                <c:pt idx="24">
                  <c:v>0</c:v>
                </c:pt>
                <c:pt idx="25">
                  <c:v>2.5000000000000001E-3</c:v>
                </c:pt>
                <c:pt idx="26">
                  <c:v>5.0000000000000001E-3</c:v>
                </c:pt>
                <c:pt idx="27">
                  <c:v>7.4999999999999997E-3</c:v>
                </c:pt>
                <c:pt idx="28">
                  <c:v>0.01</c:v>
                </c:pt>
                <c:pt idx="29">
                  <c:v>1.2500000000000001E-2</c:v>
                </c:pt>
                <c:pt idx="30">
                  <c:v>1.4999999999999999E-2</c:v>
                </c:pt>
                <c:pt idx="31">
                  <c:v>1.7500000000000002E-2</c:v>
                </c:pt>
                <c:pt idx="32">
                  <c:v>0.02</c:v>
                </c:pt>
                <c:pt idx="33">
                  <c:v>2.2499999999999999E-2</c:v>
                </c:pt>
                <c:pt idx="34">
                  <c:v>2.5000000000000001E-2</c:v>
                </c:pt>
                <c:pt idx="35">
                  <c:v>2.75E-2</c:v>
                </c:pt>
                <c:pt idx="36">
                  <c:v>0.03</c:v>
                </c:pt>
                <c:pt idx="37">
                  <c:v>3.2500000000000001E-2</c:v>
                </c:pt>
                <c:pt idx="38">
                  <c:v>3.5000000000000003E-2</c:v>
                </c:pt>
                <c:pt idx="39">
                  <c:v>3.7499999999999999E-2</c:v>
                </c:pt>
                <c:pt idx="40">
                  <c:v>0.04</c:v>
                </c:pt>
                <c:pt idx="41">
                  <c:v>4.2500000000000003E-2</c:v>
                </c:pt>
                <c:pt idx="42">
                  <c:v>4.4999999999999998E-2</c:v>
                </c:pt>
                <c:pt idx="43">
                  <c:v>4.7500000000000001E-2</c:v>
                </c:pt>
                <c:pt idx="44">
                  <c:v>0.05</c:v>
                </c:pt>
                <c:pt idx="45">
                  <c:v>5.2499999999999998E-2</c:v>
                </c:pt>
                <c:pt idx="46">
                  <c:v>5.5E-2</c:v>
                </c:pt>
                <c:pt idx="47">
                  <c:v>5.7500000000000002E-2</c:v>
                </c:pt>
                <c:pt idx="48">
                  <c:v>0.06</c:v>
                </c:pt>
              </c:numCache>
            </c:numRef>
          </c:xVal>
          <c:yVal>
            <c:numRef>
              <c:f>'[2]Notes | Quant Analysis'!$J$218:$J$266</c:f>
              <c:numCache>
                <c:formatCode>General</c:formatCode>
                <c:ptCount val="49"/>
                <c:pt idx="0">
                  <c:v>1</c:v>
                </c:pt>
                <c:pt idx="1">
                  <c:v>1</c:v>
                </c:pt>
                <c:pt idx="2">
                  <c:v>0</c:v>
                </c:pt>
                <c:pt idx="3">
                  <c:v>4</c:v>
                </c:pt>
                <c:pt idx="4">
                  <c:v>3</c:v>
                </c:pt>
                <c:pt idx="5">
                  <c:v>3</c:v>
                </c:pt>
                <c:pt idx="6">
                  <c:v>0</c:v>
                </c:pt>
                <c:pt idx="7">
                  <c:v>6</c:v>
                </c:pt>
                <c:pt idx="8">
                  <c:v>7</c:v>
                </c:pt>
                <c:pt idx="9">
                  <c:v>12</c:v>
                </c:pt>
                <c:pt idx="10">
                  <c:v>8</c:v>
                </c:pt>
                <c:pt idx="11">
                  <c:v>6</c:v>
                </c:pt>
                <c:pt idx="12">
                  <c:v>12</c:v>
                </c:pt>
                <c:pt idx="13">
                  <c:v>17</c:v>
                </c:pt>
                <c:pt idx="14">
                  <c:v>21</c:v>
                </c:pt>
                <c:pt idx="15">
                  <c:v>19</c:v>
                </c:pt>
                <c:pt idx="16">
                  <c:v>22</c:v>
                </c:pt>
                <c:pt idx="17">
                  <c:v>25</c:v>
                </c:pt>
                <c:pt idx="18">
                  <c:v>45</c:v>
                </c:pt>
                <c:pt idx="19">
                  <c:v>51</c:v>
                </c:pt>
                <c:pt idx="20">
                  <c:v>59</c:v>
                </c:pt>
                <c:pt idx="21">
                  <c:v>59</c:v>
                </c:pt>
                <c:pt idx="22">
                  <c:v>68</c:v>
                </c:pt>
                <c:pt idx="23">
                  <c:v>70</c:v>
                </c:pt>
                <c:pt idx="24">
                  <c:v>91</c:v>
                </c:pt>
                <c:pt idx="25">
                  <c:v>85</c:v>
                </c:pt>
                <c:pt idx="26">
                  <c:v>66</c:v>
                </c:pt>
                <c:pt idx="27">
                  <c:v>49</c:v>
                </c:pt>
                <c:pt idx="28">
                  <c:v>67</c:v>
                </c:pt>
                <c:pt idx="29">
                  <c:v>51</c:v>
                </c:pt>
                <c:pt idx="30">
                  <c:v>60</c:v>
                </c:pt>
                <c:pt idx="31">
                  <c:v>64</c:v>
                </c:pt>
                <c:pt idx="32">
                  <c:v>32</c:v>
                </c:pt>
                <c:pt idx="33">
                  <c:v>38</c:v>
                </c:pt>
                <c:pt idx="34">
                  <c:v>24</c:v>
                </c:pt>
                <c:pt idx="35">
                  <c:v>17</c:v>
                </c:pt>
                <c:pt idx="36">
                  <c:v>19</c:v>
                </c:pt>
                <c:pt idx="37">
                  <c:v>18</c:v>
                </c:pt>
                <c:pt idx="38">
                  <c:v>13</c:v>
                </c:pt>
                <c:pt idx="39">
                  <c:v>5</c:v>
                </c:pt>
                <c:pt idx="40">
                  <c:v>3</c:v>
                </c:pt>
                <c:pt idx="41">
                  <c:v>2</c:v>
                </c:pt>
                <c:pt idx="42">
                  <c:v>3</c:v>
                </c:pt>
                <c:pt idx="43">
                  <c:v>4</c:v>
                </c:pt>
                <c:pt idx="44">
                  <c:v>3</c:v>
                </c:pt>
                <c:pt idx="45">
                  <c:v>4</c:v>
                </c:pt>
                <c:pt idx="46">
                  <c:v>3</c:v>
                </c:pt>
                <c:pt idx="47">
                  <c:v>2</c:v>
                </c:pt>
                <c:pt idx="48">
                  <c:v>1</c:v>
                </c:pt>
              </c:numCache>
            </c:numRef>
          </c:yVal>
          <c:smooth val="1"/>
          <c:extLst>
            <c:ext xmlns:c16="http://schemas.microsoft.com/office/drawing/2014/chart" uri="{C3380CC4-5D6E-409C-BE32-E72D297353CC}">
              <c16:uniqueId val="{00000000-28C7-4862-86E9-AF862A5BA0AD}"/>
            </c:ext>
          </c:extLst>
        </c:ser>
        <c:ser>
          <c:idx val="1"/>
          <c:order val="1"/>
          <c:tx>
            <c:strRef>
              <c:f>'[2]Notes | Quant Analysis'!$L$216</c:f>
              <c:strCache>
                <c:ptCount val="1"/>
                <c:pt idx="0">
                  <c:v>Distribution Overlay</c:v>
                </c:pt>
              </c:strCache>
            </c:strRef>
          </c:tx>
          <c:spPr>
            <a:ln w="19050" cap="rnd">
              <a:solidFill>
                <a:srgbClr val="FFC000"/>
              </a:solidFill>
              <a:round/>
            </a:ln>
            <a:effectLst/>
          </c:spPr>
          <c:marker>
            <c:symbol val="none"/>
          </c:marker>
          <c:errBars>
            <c:errDir val="y"/>
            <c:errBarType val="minus"/>
            <c:errValType val="percentage"/>
            <c:noEndCap val="1"/>
            <c:val val="100"/>
            <c:spPr>
              <a:noFill/>
              <a:ln w="114300" cap="flat" cmpd="sng" algn="ctr">
                <a:solidFill>
                  <a:srgbClr val="00B0F0"/>
                </a:solidFill>
                <a:round/>
              </a:ln>
              <a:effectLst/>
            </c:spPr>
          </c:errBars>
          <c:xVal>
            <c:numRef>
              <c:f>'[2]Notes | Quant Analysis'!$L$218:$L$268</c:f>
              <c:numCache>
                <c:formatCode>General</c:formatCode>
                <c:ptCount val="51"/>
                <c:pt idx="0">
                  <c:v>-6.25E-2</c:v>
                </c:pt>
                <c:pt idx="1">
                  <c:v>-0.06</c:v>
                </c:pt>
                <c:pt idx="2">
                  <c:v>-5.7500000000000002E-2</c:v>
                </c:pt>
                <c:pt idx="3">
                  <c:v>-5.5E-2</c:v>
                </c:pt>
                <c:pt idx="4">
                  <c:v>-5.2499999999999998E-2</c:v>
                </c:pt>
                <c:pt idx="5">
                  <c:v>-0.05</c:v>
                </c:pt>
                <c:pt idx="6">
                  <c:v>-4.7500000000000001E-2</c:v>
                </c:pt>
                <c:pt idx="7">
                  <c:v>-4.4999999999999998E-2</c:v>
                </c:pt>
                <c:pt idx="8">
                  <c:v>-4.2500000000000003E-2</c:v>
                </c:pt>
                <c:pt idx="9">
                  <c:v>-0.04</c:v>
                </c:pt>
                <c:pt idx="10">
                  <c:v>-3.7499999999999999E-2</c:v>
                </c:pt>
                <c:pt idx="11">
                  <c:v>-3.5000000000000003E-2</c:v>
                </c:pt>
                <c:pt idx="12">
                  <c:v>-3.2500000000000001E-2</c:v>
                </c:pt>
                <c:pt idx="13">
                  <c:v>-0.03</c:v>
                </c:pt>
                <c:pt idx="14">
                  <c:v>-2.75E-2</c:v>
                </c:pt>
                <c:pt idx="15">
                  <c:v>-2.5000000000000001E-2</c:v>
                </c:pt>
                <c:pt idx="16">
                  <c:v>-2.2499999999999999E-2</c:v>
                </c:pt>
                <c:pt idx="17">
                  <c:v>-0.02</c:v>
                </c:pt>
                <c:pt idx="18">
                  <c:v>-1.7500000000000002E-2</c:v>
                </c:pt>
                <c:pt idx="19">
                  <c:v>-1.4999999999999999E-2</c:v>
                </c:pt>
                <c:pt idx="20">
                  <c:v>-1.2500000000000001E-2</c:v>
                </c:pt>
                <c:pt idx="21">
                  <c:v>-0.01</c:v>
                </c:pt>
                <c:pt idx="22">
                  <c:v>-7.4999999999999997E-3</c:v>
                </c:pt>
                <c:pt idx="23">
                  <c:v>-5.0000000000000001E-3</c:v>
                </c:pt>
                <c:pt idx="24">
                  <c:v>-2.5000000000000001E-3</c:v>
                </c:pt>
                <c:pt idx="25">
                  <c:v>0</c:v>
                </c:pt>
                <c:pt idx="26">
                  <c:v>2.5000000000000001E-3</c:v>
                </c:pt>
                <c:pt idx="27">
                  <c:v>5.0000000000000001E-3</c:v>
                </c:pt>
                <c:pt idx="28">
                  <c:v>7.4999999999999997E-3</c:v>
                </c:pt>
                <c:pt idx="29">
                  <c:v>0.01</c:v>
                </c:pt>
                <c:pt idx="30">
                  <c:v>1.2500000000000001E-2</c:v>
                </c:pt>
                <c:pt idx="31">
                  <c:v>1.4999999999999999E-2</c:v>
                </c:pt>
                <c:pt idx="32">
                  <c:v>1.7500000000000002E-2</c:v>
                </c:pt>
                <c:pt idx="33">
                  <c:v>0.02</c:v>
                </c:pt>
                <c:pt idx="34">
                  <c:v>2.2499999999999999E-2</c:v>
                </c:pt>
                <c:pt idx="35">
                  <c:v>2.5000000000000001E-2</c:v>
                </c:pt>
                <c:pt idx="36">
                  <c:v>2.75E-2</c:v>
                </c:pt>
                <c:pt idx="37">
                  <c:v>0.03</c:v>
                </c:pt>
                <c:pt idx="38">
                  <c:v>3.2500000000000001E-2</c:v>
                </c:pt>
                <c:pt idx="39">
                  <c:v>3.5000000000000003E-2</c:v>
                </c:pt>
                <c:pt idx="40">
                  <c:v>3.7499999999999999E-2</c:v>
                </c:pt>
                <c:pt idx="41">
                  <c:v>0.04</c:v>
                </c:pt>
                <c:pt idx="42">
                  <c:v>4.2500000000000003E-2</c:v>
                </c:pt>
                <c:pt idx="43">
                  <c:v>4.4999999999999998E-2</c:v>
                </c:pt>
                <c:pt idx="44">
                  <c:v>4.7500000000000001E-2</c:v>
                </c:pt>
                <c:pt idx="45">
                  <c:v>0.05</c:v>
                </c:pt>
                <c:pt idx="46">
                  <c:v>5.2499999999999998E-2</c:v>
                </c:pt>
                <c:pt idx="47">
                  <c:v>5.5E-2</c:v>
                </c:pt>
                <c:pt idx="48">
                  <c:v>5.7500000000000002E-2</c:v>
                </c:pt>
                <c:pt idx="49">
                  <c:v>0.06</c:v>
                </c:pt>
                <c:pt idx="50">
                  <c:v>6.25E-2</c:v>
                </c:pt>
              </c:numCache>
            </c:numRef>
          </c:xVal>
          <c:yVal>
            <c:numRef>
              <c:f>'[2]Notes | Quant Analysis'!$M$218:$M$268</c:f>
              <c:numCache>
                <c:formatCode>General</c:formatCode>
                <c:ptCount val="51"/>
                <c:pt idx="0">
                  <c:v>0.10742058138663263</c:v>
                </c:pt>
                <c:pt idx="1">
                  <c:v>0.16125636353555861</c:v>
                </c:pt>
                <c:pt idx="2">
                  <c:v>0.23814348650257758</c:v>
                </c:pt>
                <c:pt idx="3">
                  <c:v>0.34598162617598838</c:v>
                </c:pt>
                <c:pt idx="4">
                  <c:v>0.49449265600178138</c:v>
                </c:pt>
                <c:pt idx="5">
                  <c:v>0.69527904245272742</c:v>
                </c:pt>
                <c:pt idx="6">
                  <c:v>0.96172501834519741</c:v>
                </c:pt>
                <c:pt idx="7">
                  <c:v>1.308685141161726</c:v>
                </c:pt>
                <c:pt idx="8">
                  <c:v>1.7519104829192778</c:v>
                </c:pt>
                <c:pt idx="9">
                  <c:v>2.3071781684149686</c:v>
                </c:pt>
                <c:pt idx="10">
                  <c:v>2.989116474458442</c:v>
                </c:pt>
                <c:pt idx="11">
                  <c:v>3.8097548020139715</c:v>
                </c:pt>
                <c:pt idx="12">
                  <c:v>4.7768729930836615</c:v>
                </c:pt>
                <c:pt idx="13">
                  <c:v>5.8922728080984283</c:v>
                </c:pt>
                <c:pt idx="14">
                  <c:v>7.1501389272634208</c:v>
                </c:pt>
                <c:pt idx="15">
                  <c:v>8.5356892669345932</c:v>
                </c:pt>
                <c:pt idx="16">
                  <c:v>10.024326313685666</c:v>
                </c:pt>
                <c:pt idx="17">
                  <c:v>11.58148573551728</c:v>
                </c:pt>
                <c:pt idx="18">
                  <c:v>13.163332154636409</c:v>
                </c:pt>
                <c:pt idx="19">
                  <c:v>14.718375751520579</c:v>
                </c:pt>
                <c:pt idx="20">
                  <c:v>16.189983802875343</c:v>
                </c:pt>
                <c:pt idx="21">
                  <c:v>17.519649964229057</c:v>
                </c:pt>
                <c:pt idx="22">
                  <c:v>18.650776503363478</c:v>
                </c:pt>
                <c:pt idx="23">
                  <c:v>19.532637635128481</c:v>
                </c:pt>
                <c:pt idx="24">
                  <c:v>20.124140970864751</c:v>
                </c:pt>
                <c:pt idx="25">
                  <c:v>20.39699977019454</c:v>
                </c:pt>
                <c:pt idx="26">
                  <c:v>20.337975200910474</c:v>
                </c:pt>
                <c:pt idx="27">
                  <c:v>19.949941119754655</c:v>
                </c:pt>
                <c:pt idx="28">
                  <c:v>19.251652124607908</c:v>
                </c:pt>
                <c:pt idx="29">
                  <c:v>18.276240945343826</c:v>
                </c:pt>
                <c:pt idx="30">
                  <c:v>17.068612811022497</c:v>
                </c:pt>
                <c:pt idx="31">
                  <c:v>15.682022084413369</c:v>
                </c:pt>
                <c:pt idx="32">
                  <c:v>14.174194168556841</c:v>
                </c:pt>
                <c:pt idx="33">
                  <c:v>12.603384237987036</c:v>
                </c:pt>
                <c:pt idx="34">
                  <c:v>11.024742588144736</c:v>
                </c:pt>
                <c:pt idx="35">
                  <c:v>9.4872910022214594</c:v>
                </c:pt>
                <c:pt idx="36">
                  <c:v>8.0317183010541413</c:v>
                </c:pt>
                <c:pt idx="37">
                  <c:v>6.6890924191400467</c:v>
                </c:pt>
                <c:pt idx="38">
                  <c:v>5.4804776021720452</c:v>
                </c:pt>
                <c:pt idx="39">
                  <c:v>4.4173529425200817</c:v>
                </c:pt>
                <c:pt idx="40">
                  <c:v>3.5026623641956487</c:v>
                </c:pt>
                <c:pt idx="41">
                  <c:v>2.7322908884020212</c:v>
                </c:pt>
                <c:pt idx="42">
                  <c:v>2.0967568674562269</c:v>
                </c:pt>
                <c:pt idx="43">
                  <c:v>1.5829299517533759</c:v>
                </c:pt>
                <c:pt idx="44">
                  <c:v>1.1756222629377588</c:v>
                </c:pt>
                <c:pt idx="45">
                  <c:v>0.85894704344517292</c:v>
                </c:pt>
                <c:pt idx="46">
                  <c:v>0.61738696924369429</c:v>
                </c:pt>
                <c:pt idx="47">
                  <c:v>0.43655705494721142</c:v>
                </c:pt>
                <c:pt idx="48">
                  <c:v>0.30368059766070521</c:v>
                </c:pt>
                <c:pt idx="49">
                  <c:v>0.20781914909728022</c:v>
                </c:pt>
                <c:pt idx="50">
                  <c:v>0.13990929284185369</c:v>
                </c:pt>
              </c:numCache>
            </c:numRef>
          </c:yVal>
          <c:smooth val="1"/>
          <c:extLst>
            <c:ext xmlns:c16="http://schemas.microsoft.com/office/drawing/2014/chart" uri="{C3380CC4-5D6E-409C-BE32-E72D297353CC}">
              <c16:uniqueId val="{00000001-28C7-4862-86E9-AF862A5BA0AD}"/>
            </c:ext>
          </c:extLst>
        </c:ser>
        <c:ser>
          <c:idx val="2"/>
          <c:order val="2"/>
          <c:tx>
            <c:strRef>
              <c:f>'Notes | Quant Analysis'!$O$216</c:f>
              <c:strCache>
                <c:ptCount val="1"/>
                <c:pt idx="0">
                  <c:v>Mean</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2-28C7-4862-86E9-AF862A5BA0AD}"/>
                </c:ext>
              </c:extLst>
            </c:dLbl>
            <c:dLbl>
              <c:idx val="1"/>
              <c:layout>
                <c:manualLayout>
                  <c:x val="-5.3073368695663162E-2"/>
                  <c:y val="-2.7103188664998154E-2"/>
                </c:manualLayout>
              </c:layout>
              <c:spPr>
                <a:noFill/>
                <a:ln>
                  <a:noFill/>
                </a:ln>
                <a:effectLst/>
              </c:spPr>
              <c:txPr>
                <a:bodyPr rot="0" spcFirstLastPara="1" vertOverflow="ellipsis" vert="horz" wrap="square" lIns="38100" tIns="19050" rIns="38100" bIns="19050" anchor="ctr" anchorCtr="1">
                  <a:no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15:layout>
                    <c:manualLayout>
                      <c:w val="9.7926326628355251E-2"/>
                      <c:h val="7.7448362996124329E-2"/>
                    </c:manualLayout>
                  </c15:layout>
                </c:ext>
                <c:ext xmlns:c16="http://schemas.microsoft.com/office/drawing/2014/chart" uri="{C3380CC4-5D6E-409C-BE32-E72D297353CC}">
                  <c16:uniqueId val="{00000003-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Analysis'!$P$216:$P$217</c:f>
              <c:numCache>
                <c:formatCode>0.00%</c:formatCode>
                <c:ptCount val="2"/>
                <c:pt idx="0">
                  <c:v>8.0730762013572278E-4</c:v>
                </c:pt>
                <c:pt idx="1">
                  <c:v>8.0730762013572278E-4</c:v>
                </c:pt>
              </c:numCache>
            </c:numRef>
          </c:xVal>
          <c:yVal>
            <c:numRef>
              <c:f>'Notes | Quant Analysis'!$Q$216:$Q$217</c:f>
              <c:numCache>
                <c:formatCode>General</c:formatCode>
                <c:ptCount val="2"/>
                <c:pt idx="0">
                  <c:v>0</c:v>
                </c:pt>
                <c:pt idx="1">
                  <c:v>20.5</c:v>
                </c:pt>
              </c:numCache>
            </c:numRef>
          </c:yVal>
          <c:smooth val="1"/>
          <c:extLst>
            <c:ext xmlns:c16="http://schemas.microsoft.com/office/drawing/2014/chart" uri="{C3380CC4-5D6E-409C-BE32-E72D297353CC}">
              <c16:uniqueId val="{00000004-28C7-4862-86E9-AF862A5BA0AD}"/>
            </c:ext>
          </c:extLst>
        </c:ser>
        <c:ser>
          <c:idx val="3"/>
          <c:order val="3"/>
          <c:tx>
            <c:strRef>
              <c:f>'Notes | Quant Analysis'!$O$218</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5-28C7-4862-86E9-AF862A5BA0AD}"/>
                </c:ext>
              </c:extLst>
            </c:dLbl>
            <c:dLbl>
              <c:idx val="1"/>
              <c:layout>
                <c:manualLayout>
                  <c:x val="-3.948002333041703E-2"/>
                  <c:y val="-2.937692862769784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6-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Analysis'!$P$218:$P$219</c:f>
              <c:numCache>
                <c:formatCode>0.00%</c:formatCode>
                <c:ptCount val="2"/>
                <c:pt idx="0">
                  <c:v>-5.7819256971462292E-2</c:v>
                </c:pt>
                <c:pt idx="1">
                  <c:v>-5.7819256971462292E-2</c:v>
                </c:pt>
              </c:numCache>
            </c:numRef>
          </c:xVal>
          <c:yVal>
            <c:numRef>
              <c:f>'Notes | Quant Analysis'!$Q$218:$Q$219</c:f>
              <c:numCache>
                <c:formatCode>General</c:formatCode>
                <c:ptCount val="2"/>
                <c:pt idx="0">
                  <c:v>0</c:v>
                </c:pt>
                <c:pt idx="1">
                  <c:v>1</c:v>
                </c:pt>
              </c:numCache>
            </c:numRef>
          </c:yVal>
          <c:smooth val="1"/>
          <c:extLst>
            <c:ext xmlns:c16="http://schemas.microsoft.com/office/drawing/2014/chart" uri="{C3380CC4-5D6E-409C-BE32-E72D297353CC}">
              <c16:uniqueId val="{00000007-28C7-4862-86E9-AF862A5BA0AD}"/>
            </c:ext>
          </c:extLst>
        </c:ser>
        <c:ser>
          <c:idx val="4"/>
          <c:order val="4"/>
          <c:tx>
            <c:strRef>
              <c:f>'Notes | Quant Analysis'!$O$220</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8-28C7-4862-86E9-AF862A5BA0AD}"/>
                </c:ext>
              </c:extLst>
            </c:dLbl>
            <c:dLbl>
              <c:idx val="1"/>
              <c:layout>
                <c:manualLayout>
                  <c:x val="-2.6476985965284923E-2"/>
                  <c:y val="-4.9240378515253432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9-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Analysis'!$P$220:$P$221</c:f>
              <c:numCache>
                <c:formatCode>0.00%</c:formatCode>
                <c:ptCount val="2"/>
                <c:pt idx="0">
                  <c:v>-3.8277068774262957E-2</c:v>
                </c:pt>
                <c:pt idx="1">
                  <c:v>-3.8277068774262957E-2</c:v>
                </c:pt>
              </c:numCache>
            </c:numRef>
          </c:xVal>
          <c:yVal>
            <c:numRef>
              <c:f>'Notes | Quant Analysis'!$Q$220:$Q$221</c:f>
              <c:numCache>
                <c:formatCode>General</c:formatCode>
                <c:ptCount val="2"/>
                <c:pt idx="0">
                  <c:v>0</c:v>
                </c:pt>
                <c:pt idx="1">
                  <c:v>3</c:v>
                </c:pt>
              </c:numCache>
            </c:numRef>
          </c:yVal>
          <c:smooth val="1"/>
          <c:extLst>
            <c:ext xmlns:c16="http://schemas.microsoft.com/office/drawing/2014/chart" uri="{C3380CC4-5D6E-409C-BE32-E72D297353CC}">
              <c16:uniqueId val="{0000000A-28C7-4862-86E9-AF862A5BA0AD}"/>
            </c:ext>
          </c:extLst>
        </c:ser>
        <c:ser>
          <c:idx val="5"/>
          <c:order val="5"/>
          <c:tx>
            <c:strRef>
              <c:f>'Notes | Quant Analysis'!$O$222</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B-28C7-4862-86E9-AF862A5BA0AD}"/>
                </c:ext>
              </c:extLst>
            </c:dLbl>
            <c:dLbl>
              <c:idx val="1"/>
              <c:layout>
                <c:manualLayout>
                  <c:x val="-4.8110558889884046E-2"/>
                  <c:y val="-4.0055435684031443E-2"/>
                </c:manualLayout>
              </c:layout>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C-28C7-4862-86E9-AF862A5BA0AD}"/>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Analysis'!$P$222:$P$223</c:f>
              <c:numCache>
                <c:formatCode>0.00%</c:formatCode>
                <c:ptCount val="2"/>
                <c:pt idx="0">
                  <c:v>-1.8734880577063615E-2</c:v>
                </c:pt>
                <c:pt idx="1">
                  <c:v>-1.8734880577063615E-2</c:v>
                </c:pt>
              </c:numCache>
            </c:numRef>
          </c:xVal>
          <c:yVal>
            <c:numRef>
              <c:f>'Notes | Quant Analysis'!$Q$222:$Q$223</c:f>
              <c:numCache>
                <c:formatCode>General</c:formatCode>
                <c:ptCount val="2"/>
                <c:pt idx="0">
                  <c:v>0</c:v>
                </c:pt>
                <c:pt idx="1">
                  <c:v>13</c:v>
                </c:pt>
              </c:numCache>
            </c:numRef>
          </c:yVal>
          <c:smooth val="1"/>
          <c:extLst>
            <c:ext xmlns:c16="http://schemas.microsoft.com/office/drawing/2014/chart" uri="{C3380CC4-5D6E-409C-BE32-E72D297353CC}">
              <c16:uniqueId val="{0000000D-28C7-4862-86E9-AF862A5BA0AD}"/>
            </c:ext>
          </c:extLst>
        </c:ser>
        <c:ser>
          <c:idx val="6"/>
          <c:order val="6"/>
          <c:tx>
            <c:strRef>
              <c:f>'Notes | Quant Analysis'!$O$224</c:f>
              <c:strCache>
                <c:ptCount val="1"/>
                <c:pt idx="0">
                  <c:v>1σ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0E-28C7-4862-86E9-AF862A5BA0AD}"/>
                </c:ext>
              </c:extLst>
            </c:dLbl>
            <c:dLbl>
              <c:idx val="1"/>
              <c:layout>
                <c:manualLayout>
                  <c:x val="-4.2560802582794495E-2"/>
                  <c:y val="-4.0055435684031443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00-EE2D-40A7-A22D-BAD8FA8D64DC}"/>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Analysis'!$P$224:$P$225</c:f>
              <c:numCache>
                <c:formatCode>0.00%</c:formatCode>
                <c:ptCount val="2"/>
                <c:pt idx="0">
                  <c:v>2.0349495817335063E-2</c:v>
                </c:pt>
                <c:pt idx="1">
                  <c:v>2.0349495817335063E-2</c:v>
                </c:pt>
              </c:numCache>
            </c:numRef>
          </c:xVal>
          <c:yVal>
            <c:numRef>
              <c:f>'Notes | Quant Analysis'!$Q$224:$Q$225</c:f>
              <c:numCache>
                <c:formatCode>General</c:formatCode>
                <c:ptCount val="2"/>
                <c:pt idx="0">
                  <c:v>0</c:v>
                </c:pt>
                <c:pt idx="1">
                  <c:v>13</c:v>
                </c:pt>
              </c:numCache>
            </c:numRef>
          </c:yVal>
          <c:smooth val="1"/>
          <c:extLst>
            <c:ext xmlns:c16="http://schemas.microsoft.com/office/drawing/2014/chart" uri="{C3380CC4-5D6E-409C-BE32-E72D297353CC}">
              <c16:uniqueId val="{0000000F-28C7-4862-86E9-AF862A5BA0AD}"/>
            </c:ext>
          </c:extLst>
        </c:ser>
        <c:ser>
          <c:idx val="7"/>
          <c:order val="7"/>
          <c:tx>
            <c:strRef>
              <c:f>'Notes | Quant Analysis'!$O$226</c:f>
              <c:strCache>
                <c:ptCount val="1"/>
                <c:pt idx="0">
                  <c:v>2σ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0-28C7-4862-86E9-AF862A5BA0AD}"/>
                </c:ext>
              </c:extLst>
            </c:dLbl>
            <c:dLbl>
              <c:idx val="1"/>
              <c:layout>
                <c:manualLayout>
                  <c:x val="-3.1034430865451882E-2"/>
                  <c:y val="-4.7216988613368628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1-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Analysis'!$P$226:$P$227</c:f>
              <c:numCache>
                <c:formatCode>0.00%</c:formatCode>
                <c:ptCount val="2"/>
                <c:pt idx="0">
                  <c:v>3.9891684014534398E-2</c:v>
                </c:pt>
                <c:pt idx="1">
                  <c:v>3.9891684014534398E-2</c:v>
                </c:pt>
              </c:numCache>
            </c:numRef>
          </c:xVal>
          <c:yVal>
            <c:numRef>
              <c:f>'Notes | Quant Analysis'!$Q$226:$Q$227</c:f>
              <c:numCache>
                <c:formatCode>General</c:formatCode>
                <c:ptCount val="2"/>
                <c:pt idx="0">
                  <c:v>0</c:v>
                </c:pt>
                <c:pt idx="1">
                  <c:v>3</c:v>
                </c:pt>
              </c:numCache>
            </c:numRef>
          </c:yVal>
          <c:smooth val="1"/>
          <c:extLst>
            <c:ext xmlns:c16="http://schemas.microsoft.com/office/drawing/2014/chart" uri="{C3380CC4-5D6E-409C-BE32-E72D297353CC}">
              <c16:uniqueId val="{00000012-28C7-4862-86E9-AF862A5BA0AD}"/>
            </c:ext>
          </c:extLst>
        </c:ser>
        <c:ser>
          <c:idx val="8"/>
          <c:order val="8"/>
          <c:tx>
            <c:strRef>
              <c:f>'Notes | Quant Analysis'!$O$228</c:f>
              <c:strCache>
                <c:ptCount val="1"/>
                <c:pt idx="0">
                  <c:v>3σ</c:v>
                </c:pt>
              </c:strCache>
            </c:strRef>
          </c:tx>
          <c:spPr>
            <a:ln w="19050" cap="rnd">
              <a:solidFill>
                <a:srgbClr val="FFC000"/>
              </a:solidFill>
              <a:round/>
            </a:ln>
            <a:effectLst/>
          </c:spPr>
          <c:marker>
            <c:symbol val="none"/>
          </c:marker>
          <c:dLbls>
            <c:dLbl>
              <c:idx val="0"/>
              <c:delete val="1"/>
              <c:extLst>
                <c:ext xmlns:c15="http://schemas.microsoft.com/office/drawing/2012/chart" uri="{CE6537A1-D6FC-4f65-9D91-7224C49458BB}"/>
                <c:ext xmlns:c16="http://schemas.microsoft.com/office/drawing/2014/chart" uri="{C3380CC4-5D6E-409C-BE32-E72D297353CC}">
                  <c16:uniqueId val="{00000013-28C7-4862-86E9-AF862A5BA0AD}"/>
                </c:ext>
              </c:extLst>
            </c:dLbl>
            <c:dLbl>
              <c:idx val="1"/>
              <c:layout>
                <c:manualLayout>
                  <c:x val="-2.8868863129629385E-2"/>
                  <c:y val="-2.665773659886865E-2"/>
                </c:manualLayout>
              </c:layout>
              <c:showLegendKey val="0"/>
              <c:showVal val="0"/>
              <c:showCatName val="1"/>
              <c:showSerName val="1"/>
              <c:showPercent val="0"/>
              <c:showBubbleSize val="0"/>
              <c:extLst>
                <c:ext xmlns:c15="http://schemas.microsoft.com/office/drawing/2012/chart" uri="{CE6537A1-D6FC-4f65-9D91-7224C49458BB}"/>
                <c:ext xmlns:c16="http://schemas.microsoft.com/office/drawing/2014/chart" uri="{C3380CC4-5D6E-409C-BE32-E72D297353CC}">
                  <c16:uniqueId val="{00000014-28C7-4862-86E9-AF862A5BA0AD}"/>
                </c:ext>
              </c:extLst>
            </c:dLbl>
            <c:spPr>
              <a:noFill/>
              <a:ln>
                <a:noFill/>
              </a:ln>
              <a:effectLst/>
            </c:spPr>
            <c:txPr>
              <a:bodyPr rot="0" spcFirstLastPara="1" vertOverflow="ellipsis" vert="horz" wrap="square" lIns="38100" tIns="19050" rIns="38100" bIns="19050" anchor="ctr" anchorCtr="1">
                <a:spAutoFit/>
              </a:bodyPr>
              <a:lstStyle/>
              <a:p>
                <a:pPr>
                  <a:defRPr sz="13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1"/>
            <c:showSerName val="1"/>
            <c:showPercent val="0"/>
            <c:showBubbleSize val="0"/>
            <c:showLeaderLines val="0"/>
            <c:extLst>
              <c:ext xmlns:c15="http://schemas.microsoft.com/office/drawing/2012/chart" uri="{CE6537A1-D6FC-4f65-9D91-7224C49458BB}">
                <c15:showLeaderLines val="0"/>
              </c:ext>
            </c:extLst>
          </c:dLbls>
          <c:xVal>
            <c:numRef>
              <c:f>'Notes | Quant Analysis'!$P$228:$P$229</c:f>
              <c:numCache>
                <c:formatCode>0.00%</c:formatCode>
                <c:ptCount val="2"/>
                <c:pt idx="0">
                  <c:v>5.9433872211733733E-2</c:v>
                </c:pt>
                <c:pt idx="1">
                  <c:v>5.9433872211733733E-2</c:v>
                </c:pt>
              </c:numCache>
            </c:numRef>
          </c:xVal>
          <c:yVal>
            <c:numRef>
              <c:f>'Notes | Quant Analysis'!$Q$228:$Q$229</c:f>
              <c:numCache>
                <c:formatCode>General</c:formatCode>
                <c:ptCount val="2"/>
                <c:pt idx="0">
                  <c:v>0</c:v>
                </c:pt>
                <c:pt idx="1">
                  <c:v>1</c:v>
                </c:pt>
              </c:numCache>
            </c:numRef>
          </c:yVal>
          <c:smooth val="1"/>
          <c:extLst>
            <c:ext xmlns:c16="http://schemas.microsoft.com/office/drawing/2014/chart" uri="{C3380CC4-5D6E-409C-BE32-E72D297353CC}">
              <c16:uniqueId val="{00000015-28C7-4862-86E9-AF862A5BA0AD}"/>
            </c:ext>
          </c:extLst>
        </c:ser>
        <c:dLbls>
          <c:showLegendKey val="0"/>
          <c:showVal val="0"/>
          <c:showCatName val="0"/>
          <c:showSerName val="0"/>
          <c:showPercent val="0"/>
          <c:showBubbleSize val="0"/>
        </c:dLbls>
        <c:axId val="1274098191"/>
        <c:axId val="1274092911"/>
      </c:scatterChart>
      <c:valAx>
        <c:axId val="1274098191"/>
        <c:scaling>
          <c:orientation val="maxMin"/>
          <c:max val="7.0000000000000007E-2"/>
          <c:min val="-7.0000000000000007E-2"/>
        </c:scaling>
        <c:delete val="0"/>
        <c:axPos val="b"/>
        <c:majorGridlines>
          <c:spPr>
            <a:ln w="9525" cap="flat" cmpd="sng" algn="ctr">
              <a:solidFill>
                <a:schemeClr val="tx1">
                  <a:lumMod val="15000"/>
                  <a:lumOff val="85000"/>
                </a:schemeClr>
              </a:solidFill>
              <a:round/>
            </a:ln>
            <a:effectLst/>
          </c:spPr>
        </c:majorGridlines>
        <c:numFmt formatCode="0.00%" sourceLinked="0"/>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2911"/>
        <c:crossesAt val="0"/>
        <c:crossBetween val="midCat"/>
        <c:majorUnit val="1.0000000000000002E-2"/>
      </c:valAx>
      <c:valAx>
        <c:axId val="1274092911"/>
        <c:scaling>
          <c:orientation val="minMax"/>
          <c:min val="0"/>
        </c:scaling>
        <c:delete val="0"/>
        <c:axPos val="r"/>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74098191"/>
        <c:crossesAt val="-1000"/>
        <c:crossBetween val="midCat"/>
      </c:valAx>
      <c:spPr>
        <a:noFill/>
        <a:ln>
          <a:noFill/>
        </a:ln>
        <a:effectLst/>
      </c:spPr>
    </c:plotArea>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(META) Revenue by Segment (in $ millions)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6.8109587501048507E-2"/>
          <c:y val="0.16630261573867286"/>
          <c:w val="0.91646860416323306"/>
          <c:h val="0.74917903495450422"/>
        </c:manualLayout>
      </c:layout>
      <c:barChart>
        <c:barDir val="col"/>
        <c:grouping val="stacked"/>
        <c:varyColors val="0"/>
        <c:ser>
          <c:idx val="7"/>
          <c:order val="0"/>
          <c:tx>
            <c:strRef>
              <c:f>Model!$B$4</c:f>
              <c:strCache>
                <c:ptCount val="1"/>
                <c:pt idx="0">
                  <c:v>Advertising </c:v>
                </c:pt>
              </c:strCache>
            </c:strRef>
          </c:tx>
          <c:spPr>
            <a:solidFill>
              <a:srgbClr val="7CAFDE"/>
            </a:solidFill>
            <a:ln>
              <a:noFill/>
            </a:ln>
            <a:effectLst/>
          </c:spPr>
          <c:invertIfNegative val="0"/>
          <c:cat>
            <c:strRef>
              <c:f>[2]Model!$AI$1:$BC$1</c:f>
              <c:strCache>
                <c:ptCount val="21"/>
                <c:pt idx="0">
                  <c:v>Q1 2020</c:v>
                </c:pt>
                <c:pt idx="4">
                  <c:v>Q1 2021</c:v>
                </c:pt>
                <c:pt idx="8">
                  <c:v>Q1 2022</c:v>
                </c:pt>
                <c:pt idx="12">
                  <c:v>Q1 2023</c:v>
                </c:pt>
                <c:pt idx="16">
                  <c:v>Q1 2024</c:v>
                </c:pt>
                <c:pt idx="20">
                  <c:v>Q1 2025</c:v>
                </c:pt>
              </c:strCache>
            </c:strRef>
          </c:cat>
          <c:val>
            <c:numRef>
              <c:f>Model!$AI$4:$BE$4</c:f>
              <c:numCache>
                <c:formatCode>General</c:formatCode>
                <c:ptCount val="23"/>
                <c:pt idx="0">
                  <c:v>17440</c:v>
                </c:pt>
                <c:pt idx="1">
                  <c:v>18321</c:v>
                </c:pt>
                <c:pt idx="2">
                  <c:v>21221</c:v>
                </c:pt>
                <c:pt idx="3">
                  <c:v>27187</c:v>
                </c:pt>
                <c:pt idx="4">
                  <c:v>25439</c:v>
                </c:pt>
                <c:pt idx="5">
                  <c:v>28580</c:v>
                </c:pt>
                <c:pt idx="6">
                  <c:v>28276</c:v>
                </c:pt>
                <c:pt idx="7">
                  <c:v>32639</c:v>
                </c:pt>
                <c:pt idx="8">
                  <c:v>26998</c:v>
                </c:pt>
                <c:pt idx="9">
                  <c:v>28152</c:v>
                </c:pt>
                <c:pt idx="10">
                  <c:v>27237</c:v>
                </c:pt>
                <c:pt idx="11">
                  <c:v>31255</c:v>
                </c:pt>
                <c:pt idx="12">
                  <c:v>28101</c:v>
                </c:pt>
                <c:pt idx="13">
                  <c:v>31498</c:v>
                </c:pt>
                <c:pt idx="14">
                  <c:v>33643</c:v>
                </c:pt>
                <c:pt idx="15">
                  <c:v>38706</c:v>
                </c:pt>
                <c:pt idx="16">
                  <c:v>35635</c:v>
                </c:pt>
                <c:pt idx="17">
                  <c:v>38329</c:v>
                </c:pt>
                <c:pt idx="18">
                  <c:v>39885</c:v>
                </c:pt>
                <c:pt idx="19">
                  <c:v>46784</c:v>
                </c:pt>
                <c:pt idx="20">
                  <c:v>41392</c:v>
                </c:pt>
                <c:pt idx="21">
                  <c:v>46563</c:v>
                </c:pt>
                <c:pt idx="22">
                  <c:v>50082</c:v>
                </c:pt>
              </c:numCache>
            </c:numRef>
          </c:val>
          <c:extLst>
            <c:ext xmlns:c16="http://schemas.microsoft.com/office/drawing/2014/chart" uri="{C3380CC4-5D6E-409C-BE32-E72D297353CC}">
              <c16:uniqueId val="{00000000-FB37-4AC6-BB04-282DAF9DC2EA}"/>
            </c:ext>
          </c:extLst>
        </c:ser>
        <c:ser>
          <c:idx val="1"/>
          <c:order val="1"/>
          <c:tx>
            <c:strRef>
              <c:f>Model!$B$5</c:f>
              <c:strCache>
                <c:ptCount val="1"/>
                <c:pt idx="0">
                  <c:v>Other Revenues</c:v>
                </c:pt>
              </c:strCache>
            </c:strRef>
          </c:tx>
          <c:spPr>
            <a:solidFill>
              <a:srgbClr val="0070C0"/>
            </a:solidFill>
            <a:ln>
              <a:noFill/>
            </a:ln>
            <a:effectLst/>
          </c:spPr>
          <c:invertIfNegative val="0"/>
          <c:cat>
            <c:strRef>
              <c:f>[2]Model!$AI$1:$BC$1</c:f>
              <c:strCache>
                <c:ptCount val="21"/>
                <c:pt idx="0">
                  <c:v>Q1 2020</c:v>
                </c:pt>
                <c:pt idx="4">
                  <c:v>Q1 2021</c:v>
                </c:pt>
                <c:pt idx="8">
                  <c:v>Q1 2022</c:v>
                </c:pt>
                <c:pt idx="12">
                  <c:v>Q1 2023</c:v>
                </c:pt>
                <c:pt idx="16">
                  <c:v>Q1 2024</c:v>
                </c:pt>
                <c:pt idx="20">
                  <c:v>Q1 2025</c:v>
                </c:pt>
              </c:strCache>
            </c:strRef>
          </c:cat>
          <c:val>
            <c:numRef>
              <c:f>Model!$AI$5:$BE$5</c:f>
              <c:numCache>
                <c:formatCode>General</c:formatCode>
                <c:ptCount val="23"/>
                <c:pt idx="0">
                  <c:v>297</c:v>
                </c:pt>
                <c:pt idx="1">
                  <c:v>366</c:v>
                </c:pt>
                <c:pt idx="2">
                  <c:v>249</c:v>
                </c:pt>
                <c:pt idx="3">
                  <c:v>155</c:v>
                </c:pt>
                <c:pt idx="4">
                  <c:v>198</c:v>
                </c:pt>
                <c:pt idx="5">
                  <c:v>192</c:v>
                </c:pt>
                <c:pt idx="6">
                  <c:v>176</c:v>
                </c:pt>
                <c:pt idx="7">
                  <c:v>155</c:v>
                </c:pt>
                <c:pt idx="8">
                  <c:v>215</c:v>
                </c:pt>
                <c:pt idx="9">
                  <c:v>218</c:v>
                </c:pt>
                <c:pt idx="10">
                  <c:v>192</c:v>
                </c:pt>
                <c:pt idx="11">
                  <c:v>183</c:v>
                </c:pt>
                <c:pt idx="12">
                  <c:v>205</c:v>
                </c:pt>
                <c:pt idx="13">
                  <c:v>225</c:v>
                </c:pt>
                <c:pt idx="14">
                  <c:v>293</c:v>
                </c:pt>
                <c:pt idx="15">
                  <c:v>335</c:v>
                </c:pt>
                <c:pt idx="16">
                  <c:v>380</c:v>
                </c:pt>
                <c:pt idx="17">
                  <c:v>389</c:v>
                </c:pt>
                <c:pt idx="18">
                  <c:v>434</c:v>
                </c:pt>
                <c:pt idx="19">
                  <c:v>519</c:v>
                </c:pt>
                <c:pt idx="20">
                  <c:v>510</c:v>
                </c:pt>
                <c:pt idx="21">
                  <c:v>583</c:v>
                </c:pt>
                <c:pt idx="22">
                  <c:v>690</c:v>
                </c:pt>
              </c:numCache>
            </c:numRef>
          </c:val>
          <c:extLst>
            <c:ext xmlns:c16="http://schemas.microsoft.com/office/drawing/2014/chart" uri="{C3380CC4-5D6E-409C-BE32-E72D297353CC}">
              <c16:uniqueId val="{00000001-FB37-4AC6-BB04-282DAF9DC2EA}"/>
            </c:ext>
          </c:extLst>
        </c:ser>
        <c:ser>
          <c:idx val="5"/>
          <c:order val="2"/>
          <c:tx>
            <c:strRef>
              <c:f>Model!$B$7</c:f>
              <c:strCache>
                <c:ptCount val="1"/>
                <c:pt idx="0">
                  <c:v>Reality Labs</c:v>
                </c:pt>
              </c:strCache>
            </c:strRef>
          </c:tx>
          <c:spPr>
            <a:solidFill>
              <a:srgbClr val="FF0000"/>
            </a:solidFill>
            <a:ln>
              <a:noFill/>
            </a:ln>
            <a:effectLst/>
          </c:spPr>
          <c:invertIfNegative val="0"/>
          <c:cat>
            <c:strRef>
              <c:f>[2]Model!$AI$1:$BC$1</c:f>
              <c:strCache>
                <c:ptCount val="21"/>
                <c:pt idx="0">
                  <c:v>Q1 2020</c:v>
                </c:pt>
                <c:pt idx="4">
                  <c:v>Q1 2021</c:v>
                </c:pt>
                <c:pt idx="8">
                  <c:v>Q1 2022</c:v>
                </c:pt>
                <c:pt idx="12">
                  <c:v>Q1 2023</c:v>
                </c:pt>
                <c:pt idx="16">
                  <c:v>Q1 2024</c:v>
                </c:pt>
                <c:pt idx="20">
                  <c:v>Q1 2025</c:v>
                </c:pt>
              </c:strCache>
            </c:strRef>
          </c:cat>
          <c:val>
            <c:numRef>
              <c:f>Model!$AI$7:$BE$7</c:f>
              <c:numCache>
                <c:formatCode>General</c:formatCode>
                <c:ptCount val="23"/>
                <c:pt idx="0">
                  <c:v>0</c:v>
                </c:pt>
                <c:pt idx="1">
                  <c:v>0</c:v>
                </c:pt>
                <c:pt idx="2">
                  <c:v>0</c:v>
                </c:pt>
                <c:pt idx="3">
                  <c:v>729</c:v>
                </c:pt>
                <c:pt idx="4">
                  <c:v>534</c:v>
                </c:pt>
                <c:pt idx="5">
                  <c:v>305</c:v>
                </c:pt>
                <c:pt idx="6">
                  <c:v>558</c:v>
                </c:pt>
                <c:pt idx="7">
                  <c:v>877</c:v>
                </c:pt>
                <c:pt idx="8">
                  <c:v>695</c:v>
                </c:pt>
                <c:pt idx="9">
                  <c:v>452</c:v>
                </c:pt>
                <c:pt idx="10">
                  <c:v>285</c:v>
                </c:pt>
                <c:pt idx="11">
                  <c:v>727</c:v>
                </c:pt>
                <c:pt idx="12">
                  <c:v>339</c:v>
                </c:pt>
                <c:pt idx="13">
                  <c:v>276</c:v>
                </c:pt>
                <c:pt idx="14">
                  <c:v>210</c:v>
                </c:pt>
                <c:pt idx="15">
                  <c:v>1071</c:v>
                </c:pt>
                <c:pt idx="16">
                  <c:v>440</c:v>
                </c:pt>
                <c:pt idx="17">
                  <c:v>353</c:v>
                </c:pt>
                <c:pt idx="18">
                  <c:v>270</c:v>
                </c:pt>
                <c:pt idx="19">
                  <c:v>1083</c:v>
                </c:pt>
                <c:pt idx="20">
                  <c:v>412</c:v>
                </c:pt>
                <c:pt idx="21">
                  <c:v>370</c:v>
                </c:pt>
                <c:pt idx="22">
                  <c:v>470</c:v>
                </c:pt>
              </c:numCache>
            </c:numRef>
          </c:val>
          <c:extLst>
            <c:ext xmlns:c16="http://schemas.microsoft.com/office/drawing/2014/chart" uri="{C3380CC4-5D6E-409C-BE32-E72D297353CC}">
              <c16:uniqueId val="{00000002-FB37-4AC6-BB04-282DAF9DC2EA}"/>
            </c:ext>
          </c:extLst>
        </c:ser>
        <c:dLbls>
          <c:showLegendKey val="0"/>
          <c:showVal val="0"/>
          <c:showCatName val="0"/>
          <c:showSerName val="0"/>
          <c:showPercent val="0"/>
          <c:showBubbleSize val="0"/>
        </c:dLbls>
        <c:gapWidth val="46"/>
        <c:overlap val="100"/>
        <c:axId val="826587039"/>
        <c:axId val="826586079"/>
      </c:barChart>
      <c:catAx>
        <c:axId val="82658703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6079"/>
        <c:crossesAt val="-10000"/>
        <c:auto val="1"/>
        <c:lblAlgn val="ctr"/>
        <c:lblOffset val="100"/>
        <c:noMultiLvlLbl val="0"/>
      </c:catAx>
      <c:valAx>
        <c:axId val="826586079"/>
        <c:scaling>
          <c:orientation val="minMax"/>
          <c:max val="60000"/>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crossAx val="826587039"/>
        <c:crosses val="autoZero"/>
        <c:crossBetween val="between"/>
      </c:valAx>
      <c:spPr>
        <a:noFill/>
        <a:ln>
          <a:noFill/>
        </a:ln>
        <a:effectLst/>
      </c:spPr>
    </c:plotArea>
    <c:legend>
      <c:legendPos val="t"/>
      <c:layout>
        <c:manualLayout>
          <c:xMode val="edge"/>
          <c:yMode val="edge"/>
          <c:x val="0.12500001367016772"/>
          <c:y val="5.2058346839546202E-2"/>
          <c:w val="0.79166664388305374"/>
          <c:h val="0.10738353815983699"/>
        </c:manualLayout>
      </c:layout>
      <c:overlay val="0"/>
      <c:spPr>
        <a:noFill/>
        <a:ln>
          <a:noFill/>
        </a:ln>
        <a:effectLst/>
      </c:spPr>
      <c:txPr>
        <a:bodyPr rot="0" spcFirstLastPara="1" vertOverflow="ellipsis" vert="horz" wrap="square" anchor="ctr" anchorCtr="1"/>
        <a:lstStyle/>
        <a:p>
          <a:pPr>
            <a:defRPr sz="105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(META) Quarterly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519156930858311"/>
          <c:h val="0.75563693032380408"/>
        </c:manualLayout>
      </c:layout>
      <c:barChart>
        <c:barDir val="col"/>
        <c:grouping val="clustered"/>
        <c:varyColors val="0"/>
        <c:ser>
          <c:idx val="1"/>
          <c:order val="1"/>
          <c:tx>
            <c:v>Income</c:v>
          </c:tx>
          <c:spPr>
            <a:solidFill>
              <a:srgbClr val="00B050"/>
            </a:solidFill>
            <a:ln>
              <a:solidFill>
                <a:srgbClr val="00B05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Model!$AI$48:$BE$48</c:f>
              <c:numCache>
                <c:formatCode>General</c:formatCode>
                <c:ptCount val="23"/>
                <c:pt idx="0">
                  <c:v>4902</c:v>
                </c:pt>
                <c:pt idx="1">
                  <c:v>5178</c:v>
                </c:pt>
                <c:pt idx="2">
                  <c:v>7846</c:v>
                </c:pt>
                <c:pt idx="3">
                  <c:v>11220</c:v>
                </c:pt>
                <c:pt idx="4">
                  <c:v>9497</c:v>
                </c:pt>
                <c:pt idx="5">
                  <c:v>10394</c:v>
                </c:pt>
                <c:pt idx="6">
                  <c:v>9194</c:v>
                </c:pt>
                <c:pt idx="7">
                  <c:v>10285</c:v>
                </c:pt>
                <c:pt idx="8">
                  <c:v>7465</c:v>
                </c:pt>
                <c:pt idx="9">
                  <c:v>6687</c:v>
                </c:pt>
                <c:pt idx="10">
                  <c:v>4395</c:v>
                </c:pt>
                <c:pt idx="11">
                  <c:v>4653</c:v>
                </c:pt>
                <c:pt idx="12">
                  <c:v>5709</c:v>
                </c:pt>
                <c:pt idx="13">
                  <c:v>7788</c:v>
                </c:pt>
                <c:pt idx="14">
                  <c:v>11583</c:v>
                </c:pt>
                <c:pt idx="15">
                  <c:v>14018</c:v>
                </c:pt>
                <c:pt idx="16">
                  <c:v>12369</c:v>
                </c:pt>
                <c:pt idx="17">
                  <c:v>13465</c:v>
                </c:pt>
                <c:pt idx="18">
                  <c:v>15688</c:v>
                </c:pt>
                <c:pt idx="19">
                  <c:v>20838</c:v>
                </c:pt>
                <c:pt idx="20">
                  <c:v>16644</c:v>
                </c:pt>
                <c:pt idx="21">
                  <c:v>18337</c:v>
                </c:pt>
                <c:pt idx="22">
                  <c:v>2709</c:v>
                </c:pt>
              </c:numCache>
            </c:numRef>
          </c:val>
          <c:extLst>
            <c:ext xmlns:c16="http://schemas.microsoft.com/office/drawing/2014/chart" uri="{C3380CC4-5D6E-409C-BE32-E72D297353CC}">
              <c16:uniqueId val="{00000000-DD80-4694-BDDF-24883820D7AF}"/>
            </c:ext>
          </c:extLst>
        </c:ser>
        <c:ser>
          <c:idx val="2"/>
          <c:order val="2"/>
          <c:tx>
            <c:v>FCF</c:v>
          </c:tx>
          <c:spPr>
            <a:solidFill>
              <a:srgbClr val="FFC000"/>
            </a:solidFill>
            <a:ln>
              <a:solidFill>
                <a:srgbClr val="FFC000"/>
              </a:solidFill>
            </a:ln>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Model!$AI$93:$BE$93</c:f>
              <c:numCache>
                <c:formatCode>General</c:formatCode>
                <c:ptCount val="23"/>
                <c:pt idx="0">
                  <c:v>7443</c:v>
                </c:pt>
                <c:pt idx="1">
                  <c:v>622</c:v>
                </c:pt>
                <c:pt idx="2">
                  <c:v>6140</c:v>
                </c:pt>
                <c:pt idx="3">
                  <c:v>9427</c:v>
                </c:pt>
                <c:pt idx="4">
                  <c:v>7939</c:v>
                </c:pt>
                <c:pt idx="5">
                  <c:v>8635</c:v>
                </c:pt>
                <c:pt idx="6">
                  <c:v>9776</c:v>
                </c:pt>
                <c:pt idx="7">
                  <c:v>12735</c:v>
                </c:pt>
                <c:pt idx="8">
                  <c:v>8761</c:v>
                </c:pt>
                <c:pt idx="9">
                  <c:v>4668</c:v>
                </c:pt>
                <c:pt idx="10">
                  <c:v>337</c:v>
                </c:pt>
                <c:pt idx="11">
                  <c:v>5523</c:v>
                </c:pt>
                <c:pt idx="12">
                  <c:v>7175</c:v>
                </c:pt>
                <c:pt idx="13">
                  <c:v>11175</c:v>
                </c:pt>
                <c:pt idx="14">
                  <c:v>13906</c:v>
                </c:pt>
                <c:pt idx="15">
                  <c:v>11812</c:v>
                </c:pt>
                <c:pt idx="16">
                  <c:v>12846</c:v>
                </c:pt>
                <c:pt idx="17">
                  <c:v>11197</c:v>
                </c:pt>
                <c:pt idx="18">
                  <c:v>16466</c:v>
                </c:pt>
                <c:pt idx="19">
                  <c:v>13563</c:v>
                </c:pt>
                <c:pt idx="20">
                  <c:v>11085</c:v>
                </c:pt>
                <c:pt idx="21">
                  <c:v>9023</c:v>
                </c:pt>
                <c:pt idx="22">
                  <c:v>11170</c:v>
                </c:pt>
              </c:numCache>
            </c:numRef>
          </c:val>
          <c:extLst>
            <c:ext xmlns:c16="http://schemas.microsoft.com/office/drawing/2014/chart" uri="{C3380CC4-5D6E-409C-BE32-E72D297353CC}">
              <c16:uniqueId val="{00000001-DD80-4694-BDDF-24883820D7AF}"/>
            </c:ext>
          </c:extLst>
        </c:ser>
        <c:dLbls>
          <c:showLegendKey val="0"/>
          <c:showVal val="0"/>
          <c:showCatName val="0"/>
          <c:showSerName val="0"/>
          <c:showPercent val="0"/>
          <c:showBubbleSize val="0"/>
        </c:dLbls>
        <c:gapWidth val="57"/>
        <c:overlap val="-5"/>
        <c:axId val="1243124976"/>
        <c:axId val="1243123056"/>
      </c:barChart>
      <c:lineChart>
        <c:grouping val="standard"/>
        <c:varyColors val="0"/>
        <c:ser>
          <c:idx val="0"/>
          <c:order val="0"/>
          <c:tx>
            <c:v>Revenues</c:v>
          </c:tx>
          <c:spPr>
            <a:ln w="25400">
              <a:solidFill>
                <a:srgbClr val="00B0F0"/>
              </a:solidFill>
            </a:ln>
          </c:spPr>
          <c:marker>
            <c:symbol val="none"/>
          </c:marker>
          <c:cat>
            <c:strRef>
              <c:f>[2]Model!$AI$1:$BC$1</c:f>
              <c:strCache>
                <c:ptCount val="21"/>
                <c:pt idx="0">
                  <c:v>Q1 2020</c:v>
                </c:pt>
                <c:pt idx="4">
                  <c:v>Q1 2021</c:v>
                </c:pt>
                <c:pt idx="8">
                  <c:v>Q1 2022</c:v>
                </c:pt>
                <c:pt idx="12">
                  <c:v>Q1 2023</c:v>
                </c:pt>
                <c:pt idx="16">
                  <c:v>Q1 2024</c:v>
                </c:pt>
                <c:pt idx="20">
                  <c:v>Q1 2025</c:v>
                </c:pt>
              </c:strCache>
            </c:strRef>
          </c:cat>
          <c:val>
            <c:numRef>
              <c:f>Model!$AI$37:$BE$37</c:f>
              <c:numCache>
                <c:formatCode>General</c:formatCode>
                <c:ptCount val="23"/>
                <c:pt idx="0">
                  <c:v>17737</c:v>
                </c:pt>
                <c:pt idx="1">
                  <c:v>18687</c:v>
                </c:pt>
                <c:pt idx="2">
                  <c:v>21470</c:v>
                </c:pt>
                <c:pt idx="3">
                  <c:v>28071</c:v>
                </c:pt>
                <c:pt idx="4">
                  <c:v>26171</c:v>
                </c:pt>
                <c:pt idx="5">
                  <c:v>29077</c:v>
                </c:pt>
                <c:pt idx="6">
                  <c:v>29010</c:v>
                </c:pt>
                <c:pt idx="7">
                  <c:v>33671</c:v>
                </c:pt>
                <c:pt idx="8">
                  <c:v>27908</c:v>
                </c:pt>
                <c:pt idx="9">
                  <c:v>28822</c:v>
                </c:pt>
                <c:pt idx="10">
                  <c:v>27714</c:v>
                </c:pt>
                <c:pt idx="11">
                  <c:v>32165</c:v>
                </c:pt>
                <c:pt idx="12">
                  <c:v>28645</c:v>
                </c:pt>
                <c:pt idx="13">
                  <c:v>31999</c:v>
                </c:pt>
                <c:pt idx="14">
                  <c:v>34146</c:v>
                </c:pt>
                <c:pt idx="15">
                  <c:v>40112</c:v>
                </c:pt>
                <c:pt idx="16">
                  <c:v>36455</c:v>
                </c:pt>
                <c:pt idx="17">
                  <c:v>39071</c:v>
                </c:pt>
                <c:pt idx="18">
                  <c:v>40589</c:v>
                </c:pt>
                <c:pt idx="19">
                  <c:v>48386</c:v>
                </c:pt>
                <c:pt idx="20">
                  <c:v>42314</c:v>
                </c:pt>
                <c:pt idx="21">
                  <c:v>47516</c:v>
                </c:pt>
                <c:pt idx="22">
                  <c:v>51242</c:v>
                </c:pt>
              </c:numCache>
            </c:numRef>
          </c:val>
          <c:smooth val="0"/>
          <c:extLst>
            <c:ext xmlns:c16="http://schemas.microsoft.com/office/drawing/2014/chart" uri="{C3380CC4-5D6E-409C-BE32-E72D297353CC}">
              <c16:uniqueId val="{00000002-DD80-4694-BDDF-24883820D7AF}"/>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lgn="ctr" rtl="0">
              <a:defRPr sz="1440" b="0" i="0" u="none" strike="noStrike" kern="1200" spc="0" baseline="0">
                <a:solidFill>
                  <a:schemeClr val="tx1">
                    <a:lumMod val="65000"/>
                    <a:lumOff val="35000"/>
                  </a:schemeClr>
                </a:solidFill>
                <a:latin typeface="Calibre"/>
                <a:ea typeface="+mn-ea"/>
                <a:cs typeface="+mn-cs"/>
              </a:defRPr>
            </a:pPr>
            <a:r>
              <a:rPr lang="en-US" sz="1400" b="0" i="0" u="none" strike="noStrike" kern="1200" spc="0" baseline="0">
                <a:solidFill>
                  <a:sysClr val="windowText" lastClr="000000">
                    <a:lumMod val="65000"/>
                    <a:lumOff val="35000"/>
                  </a:sysClr>
                </a:solidFill>
                <a:latin typeface="Calibre"/>
              </a:rPr>
              <a:t>(META) Annualized Ttl Revenues, Net Income, Free Cash Flows (in $ millions)</a:t>
            </a:r>
            <a:endParaRPr lang="en-US"/>
          </a:p>
        </c:rich>
      </c:tx>
      <c:overlay val="0"/>
      <c:spPr>
        <a:noFill/>
        <a:ln>
          <a:noFill/>
        </a:ln>
        <a:effectLst/>
      </c:spPr>
    </c:title>
    <c:autoTitleDeleted val="0"/>
    <c:plotArea>
      <c:layout>
        <c:manualLayout>
          <c:layoutTarget val="inner"/>
          <c:xMode val="edge"/>
          <c:yMode val="edge"/>
          <c:x val="9.6798377690229573E-2"/>
          <c:y val="0.11478174751218337"/>
          <c:w val="0.88242614721237911"/>
          <c:h val="0.75563693032380408"/>
        </c:manualLayout>
      </c:layout>
      <c:barChart>
        <c:barDir val="col"/>
        <c:grouping val="clustered"/>
        <c:varyColors val="0"/>
        <c:ser>
          <c:idx val="1"/>
          <c:order val="1"/>
          <c:tx>
            <c:v>Income</c:v>
          </c:tx>
          <c:spPr>
            <a:solidFill>
              <a:srgbClr val="00B05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[2]Model!$BS$48:$CE$48</c:f>
              <c:numCache>
                <c:formatCode>General</c:formatCode>
                <c:ptCount val="13"/>
                <c:pt idx="0">
                  <c:v>53</c:v>
                </c:pt>
                <c:pt idx="1">
                  <c:v>1500</c:v>
                </c:pt>
                <c:pt idx="2">
                  <c:v>2940</c:v>
                </c:pt>
                <c:pt idx="3">
                  <c:v>3688</c:v>
                </c:pt>
                <c:pt idx="4">
                  <c:v>10217</c:v>
                </c:pt>
                <c:pt idx="5">
                  <c:v>15934</c:v>
                </c:pt>
                <c:pt idx="6">
                  <c:v>22112</c:v>
                </c:pt>
                <c:pt idx="7">
                  <c:v>18485</c:v>
                </c:pt>
                <c:pt idx="8">
                  <c:v>29146</c:v>
                </c:pt>
                <c:pt idx="9">
                  <c:v>39370</c:v>
                </c:pt>
                <c:pt idx="10">
                  <c:v>23200</c:v>
                </c:pt>
                <c:pt idx="11">
                  <c:v>39098</c:v>
                </c:pt>
                <c:pt idx="12">
                  <c:v>62360</c:v>
                </c:pt>
              </c:numCache>
            </c:numRef>
          </c:val>
          <c:extLst>
            <c:ext xmlns:c16="http://schemas.microsoft.com/office/drawing/2014/chart" uri="{C3380CC4-5D6E-409C-BE32-E72D297353CC}">
              <c16:uniqueId val="{00000000-5F1D-4FCE-9EE7-7856C7607CA5}"/>
            </c:ext>
          </c:extLst>
        </c:ser>
        <c:ser>
          <c:idx val="2"/>
          <c:order val="2"/>
          <c:tx>
            <c:v>FCF</c:v>
          </c:tx>
          <c:spPr>
            <a:solidFill>
              <a:srgbClr val="FFC000"/>
            </a:solidFill>
          </c:spPr>
          <c:invertIfNegative val="0"/>
          <c:cat>
            <c:strRef>
              <c:f>[1]Model!$AW$3:$BQ$3</c:f>
              <c:strCache>
                <c:ptCount val="21"/>
                <c:pt idx="0">
                  <c:v>Q1 2020</c:v>
                </c:pt>
                <c:pt idx="1">
                  <c:v>Q2 2020</c:v>
                </c:pt>
                <c:pt idx="2">
                  <c:v>Q3 2020</c:v>
                </c:pt>
                <c:pt idx="3">
                  <c:v>Q4 2020</c:v>
                </c:pt>
                <c:pt idx="4">
                  <c:v>Q1 2021</c:v>
                </c:pt>
                <c:pt idx="5">
                  <c:v>Q2 2021</c:v>
                </c:pt>
                <c:pt idx="6">
                  <c:v>Q3 2021</c:v>
                </c:pt>
                <c:pt idx="7">
                  <c:v>Q4 2021</c:v>
                </c:pt>
                <c:pt idx="8">
                  <c:v>Q1 2022</c:v>
                </c:pt>
                <c:pt idx="9">
                  <c:v>Q2 2022</c:v>
                </c:pt>
                <c:pt idx="10">
                  <c:v>Q3 2022</c:v>
                </c:pt>
                <c:pt idx="11">
                  <c:v>Q4 2022</c:v>
                </c:pt>
                <c:pt idx="12">
                  <c:v>Q1 2023</c:v>
                </c:pt>
                <c:pt idx="13">
                  <c:v>Q2 2023</c:v>
                </c:pt>
                <c:pt idx="14">
                  <c:v>Q3 2023</c:v>
                </c:pt>
                <c:pt idx="15">
                  <c:v>Q4 2023</c:v>
                </c:pt>
                <c:pt idx="16">
                  <c:v>Q1 2024</c:v>
                </c:pt>
                <c:pt idx="17">
                  <c:v>Q2 2024</c:v>
                </c:pt>
                <c:pt idx="18">
                  <c:v>Q3 2024</c:v>
                </c:pt>
                <c:pt idx="19">
                  <c:v>Q4 2024</c:v>
                </c:pt>
                <c:pt idx="20">
                  <c:v>Q1 2025</c:v>
                </c:pt>
              </c:strCache>
            </c:strRef>
          </c:cat>
          <c:val>
            <c:numRef>
              <c:f>[2]Model!$BS$93:$CE$93</c:f>
              <c:numCache>
                <c:formatCode>General</c:formatCode>
                <c:ptCount val="13"/>
                <c:pt idx="0">
                  <c:v>377</c:v>
                </c:pt>
                <c:pt idx="1">
                  <c:v>2860</c:v>
                </c:pt>
                <c:pt idx="2">
                  <c:v>5495</c:v>
                </c:pt>
                <c:pt idx="3">
                  <c:v>7797</c:v>
                </c:pt>
                <c:pt idx="4">
                  <c:v>11617</c:v>
                </c:pt>
                <c:pt idx="5">
                  <c:v>17483</c:v>
                </c:pt>
                <c:pt idx="6">
                  <c:v>15359</c:v>
                </c:pt>
                <c:pt idx="7">
                  <c:v>21212</c:v>
                </c:pt>
                <c:pt idx="8">
                  <c:v>23632</c:v>
                </c:pt>
                <c:pt idx="9">
                  <c:v>39085</c:v>
                </c:pt>
                <c:pt idx="10">
                  <c:v>19289</c:v>
                </c:pt>
                <c:pt idx="11">
                  <c:v>44068</c:v>
                </c:pt>
                <c:pt idx="12">
                  <c:v>54072</c:v>
                </c:pt>
              </c:numCache>
            </c:numRef>
          </c:val>
          <c:extLst>
            <c:ext xmlns:c16="http://schemas.microsoft.com/office/drawing/2014/chart" uri="{C3380CC4-5D6E-409C-BE32-E72D297353CC}">
              <c16:uniqueId val="{00000001-5F1D-4FCE-9EE7-7856C7607CA5}"/>
            </c:ext>
          </c:extLst>
        </c:ser>
        <c:dLbls>
          <c:showLegendKey val="0"/>
          <c:showVal val="0"/>
          <c:showCatName val="0"/>
          <c:showSerName val="0"/>
          <c:showPercent val="0"/>
          <c:showBubbleSize val="0"/>
        </c:dLbls>
        <c:gapWidth val="57"/>
        <c:axId val="1243124976"/>
        <c:axId val="1243123056"/>
      </c:barChart>
      <c:lineChart>
        <c:grouping val="standard"/>
        <c:varyColors val="0"/>
        <c:ser>
          <c:idx val="0"/>
          <c:order val="0"/>
          <c:tx>
            <c:v>Revenues</c:v>
          </c:tx>
          <c:marker>
            <c:symbol val="none"/>
          </c:marker>
          <c:cat>
            <c:numRef>
              <c:f>[2]Model!$BS$3:$CE$3</c:f>
              <c:numCache>
                <c:formatCode>General</c:formatCode>
                <c:ptCount val="13"/>
                <c:pt idx="0">
                  <c:v>2012</c:v>
                </c:pt>
                <c:pt idx="1">
                  <c:v>2013</c:v>
                </c:pt>
                <c:pt idx="2">
                  <c:v>2014</c:v>
                </c:pt>
                <c:pt idx="3">
                  <c:v>2015</c:v>
                </c:pt>
                <c:pt idx="4">
                  <c:v>2016</c:v>
                </c:pt>
                <c:pt idx="5">
                  <c:v>2017</c:v>
                </c:pt>
                <c:pt idx="6">
                  <c:v>2018</c:v>
                </c:pt>
                <c:pt idx="7">
                  <c:v>2019</c:v>
                </c:pt>
                <c:pt idx="8">
                  <c:v>2020</c:v>
                </c:pt>
                <c:pt idx="9">
                  <c:v>2021</c:v>
                </c:pt>
                <c:pt idx="10">
                  <c:v>2022</c:v>
                </c:pt>
                <c:pt idx="11">
                  <c:v>2023</c:v>
                </c:pt>
                <c:pt idx="12">
                  <c:v>2024</c:v>
                </c:pt>
              </c:numCache>
            </c:numRef>
          </c:cat>
          <c:val>
            <c:numRef>
              <c:f>[2]Model!$BS$37:$CE$37</c:f>
              <c:numCache>
                <c:formatCode>General</c:formatCode>
                <c:ptCount val="13"/>
                <c:pt idx="0">
                  <c:v>5089</c:v>
                </c:pt>
                <c:pt idx="1">
                  <c:v>7872</c:v>
                </c:pt>
                <c:pt idx="2">
                  <c:v>12466</c:v>
                </c:pt>
                <c:pt idx="3">
                  <c:v>17928</c:v>
                </c:pt>
                <c:pt idx="4">
                  <c:v>27638</c:v>
                </c:pt>
                <c:pt idx="5">
                  <c:v>40653</c:v>
                </c:pt>
                <c:pt idx="6">
                  <c:v>55838</c:v>
                </c:pt>
                <c:pt idx="7">
                  <c:v>70697</c:v>
                </c:pt>
                <c:pt idx="8">
                  <c:v>85965</c:v>
                </c:pt>
                <c:pt idx="9">
                  <c:v>117929</c:v>
                </c:pt>
                <c:pt idx="10">
                  <c:v>116609</c:v>
                </c:pt>
                <c:pt idx="11">
                  <c:v>134902</c:v>
                </c:pt>
                <c:pt idx="12">
                  <c:v>164501</c:v>
                </c:pt>
              </c:numCache>
            </c:numRef>
          </c:val>
          <c:smooth val="0"/>
          <c:extLst>
            <c:ext xmlns:c16="http://schemas.microsoft.com/office/drawing/2014/chart" uri="{C3380CC4-5D6E-409C-BE32-E72D297353CC}">
              <c16:uniqueId val="{00000002-5F1D-4FCE-9EE7-7856C7607CA5}"/>
            </c:ext>
          </c:extLst>
        </c:ser>
        <c:dLbls>
          <c:showLegendKey val="0"/>
          <c:showVal val="0"/>
          <c:showCatName val="0"/>
          <c:showSerName val="0"/>
          <c:showPercent val="0"/>
          <c:showBubbleSize val="0"/>
        </c:dLbls>
        <c:marker val="1"/>
        <c:smooth val="0"/>
        <c:axId val="1243124976"/>
        <c:axId val="1243123056"/>
      </c:lineChart>
      <c:dateAx>
        <c:axId val="12431249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low"/>
        <c:spPr>
          <a:noFill/>
          <a:ln w="9525" cap="flat" cmpd="sng" algn="ctr">
            <a:solidFill>
              <a:sysClr val="windowText" lastClr="000000"/>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3056"/>
        <c:crosses val="autoZero"/>
        <c:auto val="0"/>
        <c:lblOffset val="100"/>
        <c:baseTimeUnit val="days"/>
        <c:majorUnit val="1"/>
      </c:dateAx>
      <c:valAx>
        <c:axId val="1243123056"/>
        <c:scaling>
          <c:orientation val="minMax"/>
        </c:scaling>
        <c:delete val="0"/>
        <c:axPos val="l"/>
        <c:majorGridlines>
          <c:spPr>
            <a:ln w="9525" cap="flat" cmpd="sng" algn="ctr">
              <a:solidFill>
                <a:schemeClr val="tx1">
                  <a:lumMod val="15000"/>
                  <a:lumOff val="85000"/>
                </a:schemeClr>
              </a:solidFill>
              <a:round/>
            </a:ln>
            <a:effectLst/>
          </c:spPr>
        </c:majorGridlines>
        <c:numFmt formatCode="&quot;$&quot;#,##0" sourceLinked="0"/>
        <c:majorTickMark val="none"/>
        <c:minorTickMark val="none"/>
        <c:tickLblPos val="nextTo"/>
        <c:spPr>
          <a:noFill/>
          <a:ln>
            <a:noFill/>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crossAx val="1243124976"/>
        <c:crosses val="autoZero"/>
        <c:crossBetween val="between"/>
      </c:valAx>
      <c:spPr>
        <a:noFill/>
        <a:ln>
          <a:noFill/>
        </a:ln>
        <a:effectLst/>
      </c:spPr>
    </c:plotArea>
    <c:legend>
      <c:legendPos val="t"/>
      <c:layout>
        <c:manualLayout>
          <c:xMode val="edge"/>
          <c:yMode val="edge"/>
          <c:x val="0.23601803088279277"/>
          <c:y val="6.8226667462544965E-2"/>
          <c:w val="0.53831279215259631"/>
          <c:h val="3.4184204239573995E-2"/>
        </c:manualLayout>
      </c:layout>
      <c:overlay val="0"/>
      <c:spPr>
        <a:noFill/>
        <a:ln>
          <a:noFill/>
        </a:ln>
        <a:effectLst/>
      </c:spPr>
      <c:txPr>
        <a:bodyPr rot="0" spcFirstLastPara="1" vertOverflow="ellipsis" vert="horz" wrap="square" anchor="ctr" anchorCtr="1"/>
        <a:lstStyle/>
        <a:p>
          <a:pPr>
            <a:defRPr sz="1200" b="0" i="0" u="none" strike="noStrike" kern="1200" baseline="0">
              <a:solidFill>
                <a:schemeClr val="tx1">
                  <a:lumMod val="65000"/>
                  <a:lumOff val="35000"/>
                </a:schemeClr>
              </a:solidFill>
              <a:latin typeface="Calibre"/>
              <a:ea typeface="+mn-ea"/>
              <a:cs typeface="+mn-cs"/>
            </a:defRPr>
          </a:pPr>
          <a:endParaRPr lang="en-US"/>
        </a:p>
      </c:txPr>
    </c:legend>
    <c:plotVisOnly val="1"/>
    <c:dispBlanksAs val="gap"/>
    <c:showDLblsOverMax val="0"/>
    <c:extLst/>
  </c:chart>
  <c:spPr>
    <a:solidFill>
      <a:schemeClr val="bg1"/>
    </a:solidFill>
    <a:ln w="9525" cap="flat" cmpd="sng" algn="ctr">
      <a:solidFill>
        <a:schemeClr val="tx1">
          <a:lumMod val="15000"/>
          <a:lumOff val="85000"/>
        </a:schemeClr>
      </a:solidFill>
      <a:round/>
    </a:ln>
    <a:effectLst/>
  </c:spPr>
  <c:txPr>
    <a:bodyPr/>
    <a:lstStyle/>
    <a:p>
      <a:pPr>
        <a:defRPr sz="1200">
          <a:latin typeface="Calibre"/>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8" Type="http://schemas.openxmlformats.org/officeDocument/2006/relationships/image" Target="../media/image5.png"/><Relationship Id="rId13" Type="http://schemas.openxmlformats.org/officeDocument/2006/relationships/image" Target="../media/image10.png"/><Relationship Id="rId1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image" Target="../media/image4.png"/><Relationship Id="rId12" Type="http://schemas.openxmlformats.org/officeDocument/2006/relationships/image" Target="../media/image9.png"/><Relationship Id="rId17" Type="http://schemas.openxmlformats.org/officeDocument/2006/relationships/chart" Target="../charts/chart6.xml"/><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image" Target="../media/image13.png"/><Relationship Id="rId1" Type="http://schemas.openxmlformats.org/officeDocument/2006/relationships/chart" Target="../charts/chart1.xml"/><Relationship Id="rId6" Type="http://schemas.openxmlformats.org/officeDocument/2006/relationships/image" Target="../media/image3.png"/><Relationship Id="rId11" Type="http://schemas.openxmlformats.org/officeDocument/2006/relationships/image" Target="../media/image8.png"/><Relationship Id="rId5" Type="http://schemas.openxmlformats.org/officeDocument/2006/relationships/chart" Target="../charts/chart4.xml"/><Relationship Id="rId15" Type="http://schemas.openxmlformats.org/officeDocument/2006/relationships/image" Target="../media/image12.png"/><Relationship Id="rId10" Type="http://schemas.openxmlformats.org/officeDocument/2006/relationships/image" Target="../media/image7.png"/><Relationship Id="rId19" Type="http://schemas.openxmlformats.org/officeDocument/2006/relationships/chart" Target="../charts/chart8.xml"/><Relationship Id="rId4" Type="http://schemas.openxmlformats.org/officeDocument/2006/relationships/chart" Target="../charts/chart3.xml"/><Relationship Id="rId9" Type="http://schemas.openxmlformats.org/officeDocument/2006/relationships/image" Target="../media/image6.png"/><Relationship Id="rId14" Type="http://schemas.openxmlformats.org/officeDocument/2006/relationships/image" Target="../media/image11.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6</xdr:col>
      <xdr:colOff>6569</xdr:colOff>
      <xdr:row>2</xdr:row>
      <xdr:rowOff>6569</xdr:rowOff>
    </xdr:from>
    <xdr:to>
      <xdr:col>9</xdr:col>
      <xdr:colOff>5795</xdr:colOff>
      <xdr:row>7</xdr:row>
      <xdr:rowOff>178593</xdr:rowOff>
    </xdr:to>
    <xdr:pic>
      <xdr:nvPicPr>
        <xdr:cNvPr id="3" name="Picture 2">
          <a:extLst>
            <a:ext uri="{FF2B5EF4-FFF2-40B4-BE49-F238E27FC236}">
              <a16:creationId xmlns:a16="http://schemas.microsoft.com/office/drawing/2014/main" id="{A5F163E6-95E2-4B74-BF71-CFBEDA849B6A}"/>
            </a:ext>
          </a:extLst>
        </xdr:cNvPr>
        <xdr:cNvPicPr>
          <a:picLocks noChangeAspect="1"/>
        </xdr:cNvPicPr>
      </xdr:nvPicPr>
      <xdr:blipFill>
        <a:blip xmlns:r="http://schemas.openxmlformats.org/officeDocument/2006/relationships" r:embed="rId1"/>
        <a:stretch>
          <a:fillRect/>
        </a:stretch>
      </xdr:blipFill>
      <xdr:spPr>
        <a:xfrm>
          <a:off x="3685190" y="381000"/>
          <a:ext cx="1826171" cy="1098248"/>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57</xdr:col>
      <xdr:colOff>4482</xdr:colOff>
      <xdr:row>0</xdr:row>
      <xdr:rowOff>0</xdr:rowOff>
    </xdr:from>
    <xdr:to>
      <xdr:col>57</xdr:col>
      <xdr:colOff>4482</xdr:colOff>
      <xdr:row>121</xdr:row>
      <xdr:rowOff>152400</xdr:rowOff>
    </xdr:to>
    <xdr:cxnSp macro="">
      <xdr:nvCxnSpPr>
        <xdr:cNvPr id="2" name="Straight Connector 1">
          <a:extLst>
            <a:ext uri="{FF2B5EF4-FFF2-40B4-BE49-F238E27FC236}">
              <a16:creationId xmlns:a16="http://schemas.microsoft.com/office/drawing/2014/main" id="{1D82459E-58B3-42DB-9684-9D533E1F9712}"/>
            </a:ext>
          </a:extLst>
        </xdr:cNvPr>
        <xdr:cNvCxnSpPr/>
      </xdr:nvCxnSpPr>
      <xdr:spPr>
        <a:xfrm>
          <a:off x="36625306" y="0"/>
          <a:ext cx="0" cy="2212713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twoCellAnchor>
    <xdr:from>
      <xdr:col>79</xdr:col>
      <xdr:colOff>0</xdr:colOff>
      <xdr:row>0</xdr:row>
      <xdr:rowOff>0</xdr:rowOff>
    </xdr:from>
    <xdr:to>
      <xdr:col>79</xdr:col>
      <xdr:colOff>0</xdr:colOff>
      <xdr:row>120</xdr:row>
      <xdr:rowOff>76200</xdr:rowOff>
    </xdr:to>
    <xdr:cxnSp macro="">
      <xdr:nvCxnSpPr>
        <xdr:cNvPr id="3" name="Straight Connector 2">
          <a:extLst>
            <a:ext uri="{FF2B5EF4-FFF2-40B4-BE49-F238E27FC236}">
              <a16:creationId xmlns:a16="http://schemas.microsoft.com/office/drawing/2014/main" id="{1001E5F4-1B9E-487D-83F1-747CF5EB542B}"/>
            </a:ext>
          </a:extLst>
        </xdr:cNvPr>
        <xdr:cNvCxnSpPr/>
      </xdr:nvCxnSpPr>
      <xdr:spPr>
        <a:xfrm>
          <a:off x="64208025" y="0"/>
          <a:ext cx="0" cy="23517225"/>
        </a:xfrm>
        <a:prstGeom prst="line">
          <a:avLst/>
        </a:prstGeom>
      </xdr:spPr>
      <xdr:style>
        <a:lnRef idx="1">
          <a:schemeClr val="accent1"/>
        </a:lnRef>
        <a:fillRef idx="0">
          <a:schemeClr val="accent1"/>
        </a:fillRef>
        <a:effectRef idx="0">
          <a:schemeClr val="accent1"/>
        </a:effectRef>
        <a:fontRef idx="minor">
          <a:schemeClr val="tx1"/>
        </a:fontRef>
      </xdr:style>
    </xdr:cxnSp>
    <xdr:clientData/>
  </xdr:twoCellAnchor>
</xdr:wsDr>
</file>

<file path=xl/drawings/drawing3.xml><?xml version="1.0" encoding="utf-8"?>
<xdr:wsDr xmlns:xdr="http://schemas.openxmlformats.org/drawingml/2006/spreadsheetDrawing" xmlns:a="http://schemas.openxmlformats.org/drawingml/2006/main">
  <xdr:twoCellAnchor>
    <xdr:from>
      <xdr:col>7</xdr:col>
      <xdr:colOff>209549</xdr:colOff>
      <xdr:row>170</xdr:row>
      <xdr:rowOff>0</xdr:rowOff>
    </xdr:from>
    <xdr:to>
      <xdr:col>25</xdr:col>
      <xdr:colOff>600075</xdr:colOff>
      <xdr:row>203</xdr:row>
      <xdr:rowOff>0</xdr:rowOff>
    </xdr:to>
    <xdr:graphicFrame macro="">
      <xdr:nvGraphicFramePr>
        <xdr:cNvPr id="4" name="Chart 3">
          <a:extLst>
            <a:ext uri="{FF2B5EF4-FFF2-40B4-BE49-F238E27FC236}">
              <a16:creationId xmlns:a16="http://schemas.microsoft.com/office/drawing/2014/main" id="{DD74BBAA-4B76-40FC-A8E5-A62056E8DD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8</xdr:col>
      <xdr:colOff>19050</xdr:colOff>
      <xdr:row>2</xdr:row>
      <xdr:rowOff>9526</xdr:rowOff>
    </xdr:from>
    <xdr:to>
      <xdr:col>17</xdr:col>
      <xdr:colOff>517842</xdr:colOff>
      <xdr:row>28</xdr:row>
      <xdr:rowOff>1</xdr:rowOff>
    </xdr:to>
    <xdr:pic>
      <xdr:nvPicPr>
        <xdr:cNvPr id="5" name="Picture 4">
          <a:extLst>
            <a:ext uri="{FF2B5EF4-FFF2-40B4-BE49-F238E27FC236}">
              <a16:creationId xmlns:a16="http://schemas.microsoft.com/office/drawing/2014/main" id="{C4688900-B049-437A-AD69-702B96C6E26C}"/>
            </a:ext>
          </a:extLst>
        </xdr:cNvPr>
        <xdr:cNvPicPr>
          <a:picLocks noChangeAspect="1"/>
        </xdr:cNvPicPr>
      </xdr:nvPicPr>
      <xdr:blipFill>
        <a:blip xmlns:r="http://schemas.openxmlformats.org/officeDocument/2006/relationships" r:embed="rId2"/>
        <a:stretch>
          <a:fillRect/>
        </a:stretch>
      </xdr:blipFill>
      <xdr:spPr>
        <a:xfrm>
          <a:off x="231962" y="379320"/>
          <a:ext cx="5944851" cy="4652122"/>
        </a:xfrm>
        <a:prstGeom prst="rect">
          <a:avLst/>
        </a:prstGeom>
      </xdr:spPr>
    </xdr:pic>
    <xdr:clientData/>
  </xdr:twoCellAnchor>
  <xdr:twoCellAnchor>
    <xdr:from>
      <xdr:col>8</xdr:col>
      <xdr:colOff>0</xdr:colOff>
      <xdr:row>68</xdr:row>
      <xdr:rowOff>0</xdr:rowOff>
    </xdr:from>
    <xdr:to>
      <xdr:col>23</xdr:col>
      <xdr:colOff>0</xdr:colOff>
      <xdr:row>99</xdr:row>
      <xdr:rowOff>0</xdr:rowOff>
    </xdr:to>
    <xdr:graphicFrame macro="">
      <xdr:nvGraphicFramePr>
        <xdr:cNvPr id="6" name="Chart 5">
          <a:extLst>
            <a:ext uri="{FF2B5EF4-FFF2-40B4-BE49-F238E27FC236}">
              <a16:creationId xmlns:a16="http://schemas.microsoft.com/office/drawing/2014/main" id="{21A23E0C-400F-42AF-A89B-66AA1E4D3BF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8</xdr:col>
      <xdr:colOff>0</xdr:colOff>
      <xdr:row>104</xdr:row>
      <xdr:rowOff>0</xdr:rowOff>
    </xdr:from>
    <xdr:to>
      <xdr:col>23</xdr:col>
      <xdr:colOff>0</xdr:colOff>
      <xdr:row>132</xdr:row>
      <xdr:rowOff>0</xdr:rowOff>
    </xdr:to>
    <xdr:graphicFrame macro="">
      <xdr:nvGraphicFramePr>
        <xdr:cNvPr id="8" name="Chart 7">
          <a:extLst>
            <a:ext uri="{FF2B5EF4-FFF2-40B4-BE49-F238E27FC236}">
              <a16:creationId xmlns:a16="http://schemas.microsoft.com/office/drawing/2014/main" id="{93237053-E34C-441F-82BE-82CB5F197C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8</xdr:col>
      <xdr:colOff>0</xdr:colOff>
      <xdr:row>137</xdr:row>
      <xdr:rowOff>0</xdr:rowOff>
    </xdr:from>
    <xdr:to>
      <xdr:col>23</xdr:col>
      <xdr:colOff>0</xdr:colOff>
      <xdr:row>165</xdr:row>
      <xdr:rowOff>0</xdr:rowOff>
    </xdr:to>
    <xdr:graphicFrame macro="">
      <xdr:nvGraphicFramePr>
        <xdr:cNvPr id="9" name="Chart 8">
          <a:extLst>
            <a:ext uri="{FF2B5EF4-FFF2-40B4-BE49-F238E27FC236}">
              <a16:creationId xmlns:a16="http://schemas.microsoft.com/office/drawing/2014/main" id="{14A0C676-89FD-4856-A001-F5DC2BDC39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7</xdr:col>
      <xdr:colOff>209549</xdr:colOff>
      <xdr:row>31</xdr:row>
      <xdr:rowOff>190499</xdr:rowOff>
    </xdr:from>
    <xdr:to>
      <xdr:col>18</xdr:col>
      <xdr:colOff>9525</xdr:colOff>
      <xdr:row>62</xdr:row>
      <xdr:rowOff>163656</xdr:rowOff>
    </xdr:to>
    <xdr:pic>
      <xdr:nvPicPr>
        <xdr:cNvPr id="10" name="Picture 9">
          <a:extLst>
            <a:ext uri="{FF2B5EF4-FFF2-40B4-BE49-F238E27FC236}">
              <a16:creationId xmlns:a16="http://schemas.microsoft.com/office/drawing/2014/main" id="{6B2EB4F6-079F-3A41-F245-6F6BDEB6AC1F}"/>
            </a:ext>
          </a:extLst>
        </xdr:cNvPr>
        <xdr:cNvPicPr>
          <a:picLocks noChangeAspect="1"/>
        </xdr:cNvPicPr>
      </xdr:nvPicPr>
      <xdr:blipFill>
        <a:blip xmlns:r="http://schemas.openxmlformats.org/officeDocument/2006/relationships" r:embed="rId6"/>
        <a:stretch>
          <a:fillRect/>
        </a:stretch>
      </xdr:blipFill>
      <xdr:spPr>
        <a:xfrm>
          <a:off x="209549" y="5991224"/>
          <a:ext cx="6105526" cy="5610225"/>
        </a:xfrm>
        <a:prstGeom prst="rect">
          <a:avLst/>
        </a:prstGeom>
      </xdr:spPr>
    </xdr:pic>
    <xdr:clientData/>
  </xdr:twoCellAnchor>
  <xdr:twoCellAnchor editAs="oneCell">
    <xdr:from>
      <xdr:col>29</xdr:col>
      <xdr:colOff>0</xdr:colOff>
      <xdr:row>202</xdr:row>
      <xdr:rowOff>190499</xdr:rowOff>
    </xdr:from>
    <xdr:to>
      <xdr:col>44</xdr:col>
      <xdr:colOff>0</xdr:colOff>
      <xdr:row>234</xdr:row>
      <xdr:rowOff>0</xdr:rowOff>
    </xdr:to>
    <xdr:pic>
      <xdr:nvPicPr>
        <xdr:cNvPr id="12" name="Picture 11">
          <a:extLst>
            <a:ext uri="{FF2B5EF4-FFF2-40B4-BE49-F238E27FC236}">
              <a16:creationId xmlns:a16="http://schemas.microsoft.com/office/drawing/2014/main" id="{1CC28776-E145-DF65-3F5D-34AD98B87F02}"/>
            </a:ext>
          </a:extLst>
        </xdr:cNvPr>
        <xdr:cNvPicPr>
          <a:picLocks noChangeAspect="1"/>
        </xdr:cNvPicPr>
      </xdr:nvPicPr>
      <xdr:blipFill>
        <a:blip xmlns:r="http://schemas.openxmlformats.org/officeDocument/2006/relationships" r:embed="rId7"/>
        <a:stretch>
          <a:fillRect/>
        </a:stretch>
      </xdr:blipFill>
      <xdr:spPr>
        <a:xfrm>
          <a:off x="12505765" y="36688058"/>
          <a:ext cx="9076764" cy="5827059"/>
        </a:xfrm>
        <a:prstGeom prst="rect">
          <a:avLst/>
        </a:prstGeom>
      </xdr:spPr>
    </xdr:pic>
    <xdr:clientData/>
  </xdr:twoCellAnchor>
  <xdr:twoCellAnchor editAs="oneCell">
    <xdr:from>
      <xdr:col>29</xdr:col>
      <xdr:colOff>13607</xdr:colOff>
      <xdr:row>33</xdr:row>
      <xdr:rowOff>1</xdr:rowOff>
    </xdr:from>
    <xdr:to>
      <xdr:col>41</xdr:col>
      <xdr:colOff>7078</xdr:colOff>
      <xdr:row>62</xdr:row>
      <xdr:rowOff>0</xdr:rowOff>
    </xdr:to>
    <xdr:pic>
      <xdr:nvPicPr>
        <xdr:cNvPr id="13" name="Picture 12">
          <a:extLst>
            <a:ext uri="{FF2B5EF4-FFF2-40B4-BE49-F238E27FC236}">
              <a16:creationId xmlns:a16="http://schemas.microsoft.com/office/drawing/2014/main" id="{9FAFBE6E-F607-D817-1761-9EA97ECD5B44}"/>
            </a:ext>
          </a:extLst>
        </xdr:cNvPr>
        <xdr:cNvPicPr>
          <a:picLocks noChangeAspect="1"/>
        </xdr:cNvPicPr>
      </xdr:nvPicPr>
      <xdr:blipFill>
        <a:blip xmlns:r="http://schemas.openxmlformats.org/officeDocument/2006/relationships" r:embed="rId8"/>
        <a:stretch>
          <a:fillRect/>
        </a:stretch>
      </xdr:blipFill>
      <xdr:spPr>
        <a:xfrm>
          <a:off x="12654643" y="5878287"/>
          <a:ext cx="7341328" cy="5129892"/>
        </a:xfrm>
        <a:prstGeom prst="rect">
          <a:avLst/>
        </a:prstGeom>
      </xdr:spPr>
    </xdr:pic>
    <xdr:clientData/>
  </xdr:twoCellAnchor>
  <xdr:twoCellAnchor editAs="oneCell">
    <xdr:from>
      <xdr:col>29</xdr:col>
      <xdr:colOff>0</xdr:colOff>
      <xdr:row>104</xdr:row>
      <xdr:rowOff>0</xdr:rowOff>
    </xdr:from>
    <xdr:to>
      <xdr:col>39</xdr:col>
      <xdr:colOff>0</xdr:colOff>
      <xdr:row>128</xdr:row>
      <xdr:rowOff>174316</xdr:rowOff>
    </xdr:to>
    <xdr:pic>
      <xdr:nvPicPr>
        <xdr:cNvPr id="14" name="Picture 13">
          <a:extLst>
            <a:ext uri="{FF2B5EF4-FFF2-40B4-BE49-F238E27FC236}">
              <a16:creationId xmlns:a16="http://schemas.microsoft.com/office/drawing/2014/main" id="{972AD47A-1785-7724-1991-849961CCB830}"/>
            </a:ext>
          </a:extLst>
        </xdr:cNvPr>
        <xdr:cNvPicPr>
          <a:picLocks noChangeAspect="1"/>
        </xdr:cNvPicPr>
      </xdr:nvPicPr>
      <xdr:blipFill>
        <a:blip xmlns:r="http://schemas.openxmlformats.org/officeDocument/2006/relationships" r:embed="rId9"/>
        <a:stretch>
          <a:fillRect/>
        </a:stretch>
      </xdr:blipFill>
      <xdr:spPr>
        <a:xfrm>
          <a:off x="12505765" y="18904324"/>
          <a:ext cx="6051176" cy="4477375"/>
        </a:xfrm>
        <a:prstGeom prst="rect">
          <a:avLst/>
        </a:prstGeom>
      </xdr:spPr>
    </xdr:pic>
    <xdr:clientData/>
  </xdr:twoCellAnchor>
  <xdr:twoCellAnchor editAs="oneCell">
    <xdr:from>
      <xdr:col>39</xdr:col>
      <xdr:colOff>0</xdr:colOff>
      <xdr:row>104</xdr:row>
      <xdr:rowOff>0</xdr:rowOff>
    </xdr:from>
    <xdr:to>
      <xdr:col>48</xdr:col>
      <xdr:colOff>603160</xdr:colOff>
      <xdr:row>129</xdr:row>
      <xdr:rowOff>2400</xdr:rowOff>
    </xdr:to>
    <xdr:pic>
      <xdr:nvPicPr>
        <xdr:cNvPr id="15" name="Picture 14">
          <a:extLst>
            <a:ext uri="{FF2B5EF4-FFF2-40B4-BE49-F238E27FC236}">
              <a16:creationId xmlns:a16="http://schemas.microsoft.com/office/drawing/2014/main" id="{8F282CD9-163F-E45E-8E06-A2DA93E086EE}"/>
            </a:ext>
          </a:extLst>
        </xdr:cNvPr>
        <xdr:cNvPicPr>
          <a:picLocks noChangeAspect="1"/>
        </xdr:cNvPicPr>
      </xdr:nvPicPr>
      <xdr:blipFill>
        <a:blip xmlns:r="http://schemas.openxmlformats.org/officeDocument/2006/relationships" r:embed="rId10"/>
        <a:stretch>
          <a:fillRect/>
        </a:stretch>
      </xdr:blipFill>
      <xdr:spPr>
        <a:xfrm>
          <a:off x="18556941" y="18904324"/>
          <a:ext cx="6049219" cy="4482352"/>
        </a:xfrm>
        <a:prstGeom prst="rect">
          <a:avLst/>
        </a:prstGeom>
      </xdr:spPr>
    </xdr:pic>
    <xdr:clientData/>
  </xdr:twoCellAnchor>
  <xdr:twoCellAnchor editAs="oneCell">
    <xdr:from>
      <xdr:col>49</xdr:col>
      <xdr:colOff>0</xdr:colOff>
      <xdr:row>104</xdr:row>
      <xdr:rowOff>0</xdr:rowOff>
    </xdr:from>
    <xdr:to>
      <xdr:col>59</xdr:col>
      <xdr:colOff>0</xdr:colOff>
      <xdr:row>129</xdr:row>
      <xdr:rowOff>2400</xdr:rowOff>
    </xdr:to>
    <xdr:pic>
      <xdr:nvPicPr>
        <xdr:cNvPr id="16" name="Picture 15">
          <a:extLst>
            <a:ext uri="{FF2B5EF4-FFF2-40B4-BE49-F238E27FC236}">
              <a16:creationId xmlns:a16="http://schemas.microsoft.com/office/drawing/2014/main" id="{1CF22FAD-6A8E-898C-C61E-9311AF894DAC}"/>
            </a:ext>
          </a:extLst>
        </xdr:cNvPr>
        <xdr:cNvPicPr>
          <a:picLocks noChangeAspect="1"/>
        </xdr:cNvPicPr>
      </xdr:nvPicPr>
      <xdr:blipFill>
        <a:blip xmlns:r="http://schemas.openxmlformats.org/officeDocument/2006/relationships" r:embed="rId11"/>
        <a:stretch>
          <a:fillRect/>
        </a:stretch>
      </xdr:blipFill>
      <xdr:spPr>
        <a:xfrm>
          <a:off x="24608118" y="18904324"/>
          <a:ext cx="6051176" cy="4482352"/>
        </a:xfrm>
        <a:prstGeom prst="rect">
          <a:avLst/>
        </a:prstGeom>
      </xdr:spPr>
    </xdr:pic>
    <xdr:clientData/>
  </xdr:twoCellAnchor>
  <xdr:twoCellAnchor editAs="oneCell">
    <xdr:from>
      <xdr:col>40</xdr:col>
      <xdr:colOff>1</xdr:colOff>
      <xdr:row>154</xdr:row>
      <xdr:rowOff>0</xdr:rowOff>
    </xdr:from>
    <xdr:to>
      <xdr:col>51</xdr:col>
      <xdr:colOff>1</xdr:colOff>
      <xdr:row>181</xdr:row>
      <xdr:rowOff>168088</xdr:rowOff>
    </xdr:to>
    <xdr:pic>
      <xdr:nvPicPr>
        <xdr:cNvPr id="18" name="Picture 17">
          <a:extLst>
            <a:ext uri="{FF2B5EF4-FFF2-40B4-BE49-F238E27FC236}">
              <a16:creationId xmlns:a16="http://schemas.microsoft.com/office/drawing/2014/main" id="{F78E5E45-C800-490D-6E07-EA0399A584F3}"/>
            </a:ext>
          </a:extLst>
        </xdr:cNvPr>
        <xdr:cNvPicPr>
          <a:picLocks noChangeAspect="1"/>
        </xdr:cNvPicPr>
      </xdr:nvPicPr>
      <xdr:blipFill>
        <a:blip xmlns:r="http://schemas.openxmlformats.org/officeDocument/2006/relationships" r:embed="rId12"/>
        <a:stretch>
          <a:fillRect/>
        </a:stretch>
      </xdr:blipFill>
      <xdr:spPr>
        <a:xfrm>
          <a:off x="19162060" y="30939441"/>
          <a:ext cx="6656294" cy="5020235"/>
        </a:xfrm>
        <a:prstGeom prst="rect">
          <a:avLst/>
        </a:prstGeom>
      </xdr:spPr>
    </xdr:pic>
    <xdr:clientData/>
  </xdr:twoCellAnchor>
  <xdr:twoCellAnchor editAs="oneCell">
    <xdr:from>
      <xdr:col>29</xdr:col>
      <xdr:colOff>0</xdr:colOff>
      <xdr:row>153</xdr:row>
      <xdr:rowOff>179293</xdr:rowOff>
    </xdr:from>
    <xdr:to>
      <xdr:col>40</xdr:col>
      <xdr:colOff>37322</xdr:colOff>
      <xdr:row>181</xdr:row>
      <xdr:rowOff>168087</xdr:rowOff>
    </xdr:to>
    <xdr:pic>
      <xdr:nvPicPr>
        <xdr:cNvPr id="19" name="Picture 18">
          <a:extLst>
            <a:ext uri="{FF2B5EF4-FFF2-40B4-BE49-F238E27FC236}">
              <a16:creationId xmlns:a16="http://schemas.microsoft.com/office/drawing/2014/main" id="{474E750D-158D-1345-B4E5-BFE11341347C}"/>
            </a:ext>
          </a:extLst>
        </xdr:cNvPr>
        <xdr:cNvPicPr>
          <a:picLocks noChangeAspect="1"/>
        </xdr:cNvPicPr>
      </xdr:nvPicPr>
      <xdr:blipFill>
        <a:blip xmlns:r="http://schemas.openxmlformats.org/officeDocument/2006/relationships" r:embed="rId13"/>
        <a:stretch>
          <a:fillRect/>
        </a:stretch>
      </xdr:blipFill>
      <xdr:spPr>
        <a:xfrm>
          <a:off x="12505765" y="30939440"/>
          <a:ext cx="6693616" cy="5020235"/>
        </a:xfrm>
        <a:prstGeom prst="rect">
          <a:avLst/>
        </a:prstGeom>
      </xdr:spPr>
    </xdr:pic>
    <xdr:clientData/>
  </xdr:twoCellAnchor>
  <xdr:twoCellAnchor editAs="oneCell">
    <xdr:from>
      <xdr:col>51</xdr:col>
      <xdr:colOff>1</xdr:colOff>
      <xdr:row>154</xdr:row>
      <xdr:rowOff>0</xdr:rowOff>
    </xdr:from>
    <xdr:to>
      <xdr:col>62</xdr:col>
      <xdr:colOff>1</xdr:colOff>
      <xdr:row>181</xdr:row>
      <xdr:rowOff>168088</xdr:rowOff>
    </xdr:to>
    <xdr:pic>
      <xdr:nvPicPr>
        <xdr:cNvPr id="20" name="Picture 19">
          <a:extLst>
            <a:ext uri="{FF2B5EF4-FFF2-40B4-BE49-F238E27FC236}">
              <a16:creationId xmlns:a16="http://schemas.microsoft.com/office/drawing/2014/main" id="{16623CA7-43DF-8986-E5BB-DC9DB29497A0}"/>
            </a:ext>
          </a:extLst>
        </xdr:cNvPr>
        <xdr:cNvPicPr>
          <a:picLocks noChangeAspect="1"/>
        </xdr:cNvPicPr>
      </xdr:nvPicPr>
      <xdr:blipFill>
        <a:blip xmlns:r="http://schemas.openxmlformats.org/officeDocument/2006/relationships" r:embed="rId14"/>
        <a:stretch>
          <a:fillRect/>
        </a:stretch>
      </xdr:blipFill>
      <xdr:spPr>
        <a:xfrm>
          <a:off x="25818354" y="30939441"/>
          <a:ext cx="6656294" cy="5020235"/>
        </a:xfrm>
        <a:prstGeom prst="rect">
          <a:avLst/>
        </a:prstGeom>
      </xdr:spPr>
    </xdr:pic>
    <xdr:clientData/>
  </xdr:twoCellAnchor>
  <xdr:twoCellAnchor editAs="oneCell">
    <xdr:from>
      <xdr:col>62</xdr:col>
      <xdr:colOff>0</xdr:colOff>
      <xdr:row>153</xdr:row>
      <xdr:rowOff>179293</xdr:rowOff>
    </xdr:from>
    <xdr:to>
      <xdr:col>73</xdr:col>
      <xdr:colOff>11206</xdr:colOff>
      <xdr:row>181</xdr:row>
      <xdr:rowOff>168087</xdr:rowOff>
    </xdr:to>
    <xdr:pic>
      <xdr:nvPicPr>
        <xdr:cNvPr id="22" name="Picture 21">
          <a:extLst>
            <a:ext uri="{FF2B5EF4-FFF2-40B4-BE49-F238E27FC236}">
              <a16:creationId xmlns:a16="http://schemas.microsoft.com/office/drawing/2014/main" id="{B2B3D8BA-5A66-4A6B-756A-28223B7CEB00}"/>
            </a:ext>
          </a:extLst>
        </xdr:cNvPr>
        <xdr:cNvPicPr>
          <a:picLocks noChangeAspect="1"/>
        </xdr:cNvPicPr>
      </xdr:nvPicPr>
      <xdr:blipFill>
        <a:blip xmlns:r="http://schemas.openxmlformats.org/officeDocument/2006/relationships" r:embed="rId15"/>
        <a:stretch>
          <a:fillRect/>
        </a:stretch>
      </xdr:blipFill>
      <xdr:spPr>
        <a:xfrm>
          <a:off x="32474647" y="30939440"/>
          <a:ext cx="6667500" cy="5020235"/>
        </a:xfrm>
        <a:prstGeom prst="rect">
          <a:avLst/>
        </a:prstGeom>
      </xdr:spPr>
    </xdr:pic>
    <xdr:clientData/>
  </xdr:twoCellAnchor>
  <xdr:twoCellAnchor>
    <xdr:from>
      <xdr:col>7</xdr:col>
      <xdr:colOff>209549</xdr:colOff>
      <xdr:row>170</xdr:row>
      <xdr:rowOff>0</xdr:rowOff>
    </xdr:from>
    <xdr:to>
      <xdr:col>27</xdr:col>
      <xdr:colOff>0</xdr:colOff>
      <xdr:row>203</xdr:row>
      <xdr:rowOff>0</xdr:rowOff>
    </xdr:to>
    <xdr:graphicFrame macro="">
      <xdr:nvGraphicFramePr>
        <xdr:cNvPr id="2" name="Chart 1">
          <a:extLst>
            <a:ext uri="{FF2B5EF4-FFF2-40B4-BE49-F238E27FC236}">
              <a16:creationId xmlns:a16="http://schemas.microsoft.com/office/drawing/2014/main" id="{8D40DB92-47B5-484D-B23E-55ED309A54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8</xdr:col>
      <xdr:colOff>19050</xdr:colOff>
      <xdr:row>2</xdr:row>
      <xdr:rowOff>9526</xdr:rowOff>
    </xdr:from>
    <xdr:to>
      <xdr:col>18</xdr:col>
      <xdr:colOff>597550</xdr:colOff>
      <xdr:row>30</xdr:row>
      <xdr:rowOff>1</xdr:rowOff>
    </xdr:to>
    <xdr:pic>
      <xdr:nvPicPr>
        <xdr:cNvPr id="3" name="Picture 2">
          <a:extLst>
            <a:ext uri="{FF2B5EF4-FFF2-40B4-BE49-F238E27FC236}">
              <a16:creationId xmlns:a16="http://schemas.microsoft.com/office/drawing/2014/main" id="{E5506EFD-359C-4BBF-87F7-EB87AE829DDD}"/>
            </a:ext>
          </a:extLst>
        </xdr:cNvPr>
        <xdr:cNvPicPr>
          <a:picLocks noChangeAspect="1"/>
        </xdr:cNvPicPr>
      </xdr:nvPicPr>
      <xdr:blipFill>
        <a:blip xmlns:r="http://schemas.openxmlformats.org/officeDocument/2006/relationships" r:embed="rId2"/>
        <a:stretch>
          <a:fillRect/>
        </a:stretch>
      </xdr:blipFill>
      <xdr:spPr>
        <a:xfrm>
          <a:off x="231962" y="379320"/>
          <a:ext cx="6629676" cy="5010710"/>
        </a:xfrm>
        <a:prstGeom prst="rect">
          <a:avLst/>
        </a:prstGeom>
      </xdr:spPr>
    </xdr:pic>
    <xdr:clientData/>
  </xdr:twoCellAnchor>
  <xdr:twoCellAnchor>
    <xdr:from>
      <xdr:col>8</xdr:col>
      <xdr:colOff>0</xdr:colOff>
      <xdr:row>68</xdr:row>
      <xdr:rowOff>0</xdr:rowOff>
    </xdr:from>
    <xdr:to>
      <xdr:col>23</xdr:col>
      <xdr:colOff>0</xdr:colOff>
      <xdr:row>99</xdr:row>
      <xdr:rowOff>0</xdr:rowOff>
    </xdr:to>
    <xdr:graphicFrame macro="">
      <xdr:nvGraphicFramePr>
        <xdr:cNvPr id="7" name="Chart 6">
          <a:extLst>
            <a:ext uri="{FF2B5EF4-FFF2-40B4-BE49-F238E27FC236}">
              <a16:creationId xmlns:a16="http://schemas.microsoft.com/office/drawing/2014/main" id="{121CBFAB-3450-4EB4-A795-DD49FB4FC7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xdr:twoCellAnchor>
  <xdr:twoCellAnchor>
    <xdr:from>
      <xdr:col>8</xdr:col>
      <xdr:colOff>0</xdr:colOff>
      <xdr:row>104</xdr:row>
      <xdr:rowOff>0</xdr:rowOff>
    </xdr:from>
    <xdr:to>
      <xdr:col>23</xdr:col>
      <xdr:colOff>0</xdr:colOff>
      <xdr:row>132</xdr:row>
      <xdr:rowOff>0</xdr:rowOff>
    </xdr:to>
    <xdr:graphicFrame macro="">
      <xdr:nvGraphicFramePr>
        <xdr:cNvPr id="11" name="Chart 10">
          <a:extLst>
            <a:ext uri="{FF2B5EF4-FFF2-40B4-BE49-F238E27FC236}">
              <a16:creationId xmlns:a16="http://schemas.microsoft.com/office/drawing/2014/main" id="{C03053EA-D298-4B08-A246-DD102F0DAA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twoCellAnchor>
    <xdr:from>
      <xdr:col>8</xdr:col>
      <xdr:colOff>0</xdr:colOff>
      <xdr:row>137</xdr:row>
      <xdr:rowOff>0</xdr:rowOff>
    </xdr:from>
    <xdr:to>
      <xdr:col>23</xdr:col>
      <xdr:colOff>0</xdr:colOff>
      <xdr:row>165</xdr:row>
      <xdr:rowOff>0</xdr:rowOff>
    </xdr:to>
    <xdr:graphicFrame macro="">
      <xdr:nvGraphicFramePr>
        <xdr:cNvPr id="17" name="Chart 16">
          <a:extLst>
            <a:ext uri="{FF2B5EF4-FFF2-40B4-BE49-F238E27FC236}">
              <a16:creationId xmlns:a16="http://schemas.microsoft.com/office/drawing/2014/main" id="{8E375C93-D4FD-4C9F-805A-31B74CF4F4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oneCell">
    <xdr:from>
      <xdr:col>8</xdr:col>
      <xdr:colOff>5442</xdr:colOff>
      <xdr:row>32</xdr:row>
      <xdr:rowOff>-1</xdr:rowOff>
    </xdr:from>
    <xdr:to>
      <xdr:col>18</xdr:col>
      <xdr:colOff>9525</xdr:colOff>
      <xdr:row>63</xdr:row>
      <xdr:rowOff>13608</xdr:rowOff>
    </xdr:to>
    <xdr:pic>
      <xdr:nvPicPr>
        <xdr:cNvPr id="21" name="Picture 20">
          <a:extLst>
            <a:ext uri="{FF2B5EF4-FFF2-40B4-BE49-F238E27FC236}">
              <a16:creationId xmlns:a16="http://schemas.microsoft.com/office/drawing/2014/main" id="{C2C82F7F-53CB-4F5A-A8C5-72ACDCB9F215}"/>
            </a:ext>
          </a:extLst>
        </xdr:cNvPr>
        <xdr:cNvPicPr>
          <a:picLocks noChangeAspect="1"/>
        </xdr:cNvPicPr>
      </xdr:nvPicPr>
      <xdr:blipFill>
        <a:blip xmlns:r="http://schemas.openxmlformats.org/officeDocument/2006/relationships" r:embed="rId6"/>
        <a:stretch>
          <a:fillRect/>
        </a:stretch>
      </xdr:blipFill>
      <xdr:spPr>
        <a:xfrm>
          <a:off x="209549" y="5687785"/>
          <a:ext cx="6127297" cy="5510894"/>
        </a:xfrm>
        <a:prstGeom prst="rect">
          <a:avLst/>
        </a:prstGeom>
      </xdr:spPr>
    </xdr:pic>
    <xdr:clientData/>
  </xdr:twoCellAnchor>
  <xdr:twoCellAnchor editAs="oneCell">
    <xdr:from>
      <xdr:col>29</xdr:col>
      <xdr:colOff>0</xdr:colOff>
      <xdr:row>202</xdr:row>
      <xdr:rowOff>190499</xdr:rowOff>
    </xdr:from>
    <xdr:to>
      <xdr:col>44</xdr:col>
      <xdr:colOff>0</xdr:colOff>
      <xdr:row>234</xdr:row>
      <xdr:rowOff>0</xdr:rowOff>
    </xdr:to>
    <xdr:pic>
      <xdr:nvPicPr>
        <xdr:cNvPr id="23" name="Picture 22">
          <a:extLst>
            <a:ext uri="{FF2B5EF4-FFF2-40B4-BE49-F238E27FC236}">
              <a16:creationId xmlns:a16="http://schemas.microsoft.com/office/drawing/2014/main" id="{A4A4965E-CE65-4157-8C07-4C4E524AE3E2}"/>
            </a:ext>
          </a:extLst>
        </xdr:cNvPr>
        <xdr:cNvPicPr>
          <a:picLocks noChangeAspect="1"/>
        </xdr:cNvPicPr>
      </xdr:nvPicPr>
      <xdr:blipFill>
        <a:blip xmlns:r="http://schemas.openxmlformats.org/officeDocument/2006/relationships" r:embed="rId7"/>
        <a:stretch>
          <a:fillRect/>
        </a:stretch>
      </xdr:blipFill>
      <xdr:spPr>
        <a:xfrm>
          <a:off x="12592050" y="37014149"/>
          <a:ext cx="9144000" cy="5840506"/>
        </a:xfrm>
        <a:prstGeom prst="rect">
          <a:avLst/>
        </a:prstGeom>
      </xdr:spPr>
    </xdr:pic>
    <xdr:clientData/>
  </xdr:twoCellAnchor>
  <xdr:twoCellAnchor editAs="oneCell">
    <xdr:from>
      <xdr:col>29</xdr:col>
      <xdr:colOff>13607</xdr:colOff>
      <xdr:row>104</xdr:row>
      <xdr:rowOff>0</xdr:rowOff>
    </xdr:from>
    <xdr:to>
      <xdr:col>39</xdr:col>
      <xdr:colOff>13607</xdr:colOff>
      <xdr:row>128</xdr:row>
      <xdr:rowOff>174316</xdr:rowOff>
    </xdr:to>
    <xdr:pic>
      <xdr:nvPicPr>
        <xdr:cNvPr id="25" name="Picture 24">
          <a:extLst>
            <a:ext uri="{FF2B5EF4-FFF2-40B4-BE49-F238E27FC236}">
              <a16:creationId xmlns:a16="http://schemas.microsoft.com/office/drawing/2014/main" id="{B1422DFE-2FAE-478B-A0BB-00E4088E1DEC}"/>
            </a:ext>
          </a:extLst>
        </xdr:cNvPr>
        <xdr:cNvPicPr>
          <a:picLocks noChangeAspect="1"/>
        </xdr:cNvPicPr>
      </xdr:nvPicPr>
      <xdr:blipFill>
        <a:blip xmlns:r="http://schemas.openxmlformats.org/officeDocument/2006/relationships" r:embed="rId9"/>
        <a:stretch>
          <a:fillRect/>
        </a:stretch>
      </xdr:blipFill>
      <xdr:spPr>
        <a:xfrm>
          <a:off x="12654643" y="18492107"/>
          <a:ext cx="6123214" cy="4419745"/>
        </a:xfrm>
        <a:prstGeom prst="rect">
          <a:avLst/>
        </a:prstGeom>
      </xdr:spPr>
    </xdr:pic>
    <xdr:clientData/>
  </xdr:twoCellAnchor>
  <xdr:twoCellAnchor editAs="oneCell">
    <xdr:from>
      <xdr:col>39</xdr:col>
      <xdr:colOff>0</xdr:colOff>
      <xdr:row>104</xdr:row>
      <xdr:rowOff>0</xdr:rowOff>
    </xdr:from>
    <xdr:to>
      <xdr:col>49</xdr:col>
      <xdr:colOff>40822</xdr:colOff>
      <xdr:row>129</xdr:row>
      <xdr:rowOff>2400</xdr:rowOff>
    </xdr:to>
    <xdr:pic>
      <xdr:nvPicPr>
        <xdr:cNvPr id="26" name="Picture 25">
          <a:extLst>
            <a:ext uri="{FF2B5EF4-FFF2-40B4-BE49-F238E27FC236}">
              <a16:creationId xmlns:a16="http://schemas.microsoft.com/office/drawing/2014/main" id="{9A4C8CFB-8B3F-4452-B64E-0BCC4300C16D}"/>
            </a:ext>
          </a:extLst>
        </xdr:cNvPr>
        <xdr:cNvPicPr>
          <a:picLocks noChangeAspect="1"/>
        </xdr:cNvPicPr>
      </xdr:nvPicPr>
      <xdr:blipFill>
        <a:blip xmlns:r="http://schemas.openxmlformats.org/officeDocument/2006/relationships" r:embed="rId10"/>
        <a:stretch>
          <a:fillRect/>
        </a:stretch>
      </xdr:blipFill>
      <xdr:spPr>
        <a:xfrm>
          <a:off x="18764250" y="18492107"/>
          <a:ext cx="6164036" cy="4424722"/>
        </a:xfrm>
        <a:prstGeom prst="rect">
          <a:avLst/>
        </a:prstGeom>
      </xdr:spPr>
    </xdr:pic>
    <xdr:clientData/>
  </xdr:twoCellAnchor>
  <xdr:twoCellAnchor editAs="oneCell">
    <xdr:from>
      <xdr:col>49</xdr:col>
      <xdr:colOff>0</xdr:colOff>
      <xdr:row>104</xdr:row>
      <xdr:rowOff>0</xdr:rowOff>
    </xdr:from>
    <xdr:to>
      <xdr:col>59</xdr:col>
      <xdr:colOff>0</xdr:colOff>
      <xdr:row>129</xdr:row>
      <xdr:rowOff>2400</xdr:rowOff>
    </xdr:to>
    <xdr:pic>
      <xdr:nvPicPr>
        <xdr:cNvPr id="27" name="Picture 26">
          <a:extLst>
            <a:ext uri="{FF2B5EF4-FFF2-40B4-BE49-F238E27FC236}">
              <a16:creationId xmlns:a16="http://schemas.microsoft.com/office/drawing/2014/main" id="{41A8F91C-CB5C-4E4C-84AB-8A9682377DA8}"/>
            </a:ext>
          </a:extLst>
        </xdr:cNvPr>
        <xdr:cNvPicPr>
          <a:picLocks noChangeAspect="1"/>
        </xdr:cNvPicPr>
      </xdr:nvPicPr>
      <xdr:blipFill>
        <a:blip xmlns:r="http://schemas.openxmlformats.org/officeDocument/2006/relationships" r:embed="rId11"/>
        <a:stretch>
          <a:fillRect/>
        </a:stretch>
      </xdr:blipFill>
      <xdr:spPr>
        <a:xfrm>
          <a:off x="24784050" y="19069050"/>
          <a:ext cx="6096000" cy="4524375"/>
        </a:xfrm>
        <a:prstGeom prst="rect">
          <a:avLst/>
        </a:prstGeom>
      </xdr:spPr>
    </xdr:pic>
    <xdr:clientData/>
  </xdr:twoCellAnchor>
  <xdr:twoCellAnchor editAs="oneCell">
    <xdr:from>
      <xdr:col>40</xdr:col>
      <xdr:colOff>1</xdr:colOff>
      <xdr:row>154</xdr:row>
      <xdr:rowOff>0</xdr:rowOff>
    </xdr:from>
    <xdr:to>
      <xdr:col>51</xdr:col>
      <xdr:colOff>1</xdr:colOff>
      <xdr:row>182</xdr:row>
      <xdr:rowOff>13608</xdr:rowOff>
    </xdr:to>
    <xdr:pic>
      <xdr:nvPicPr>
        <xdr:cNvPr id="28" name="Picture 27">
          <a:extLst>
            <a:ext uri="{FF2B5EF4-FFF2-40B4-BE49-F238E27FC236}">
              <a16:creationId xmlns:a16="http://schemas.microsoft.com/office/drawing/2014/main" id="{8861F109-E3F5-41D2-B5BA-EB83DDC6035A}"/>
            </a:ext>
          </a:extLst>
        </xdr:cNvPr>
        <xdr:cNvPicPr>
          <a:picLocks noChangeAspect="1"/>
        </xdr:cNvPicPr>
      </xdr:nvPicPr>
      <xdr:blipFill>
        <a:blip xmlns:r="http://schemas.openxmlformats.org/officeDocument/2006/relationships" r:embed="rId12"/>
        <a:stretch>
          <a:fillRect/>
        </a:stretch>
      </xdr:blipFill>
      <xdr:spPr>
        <a:xfrm>
          <a:off x="19376572" y="27363964"/>
          <a:ext cx="6735536" cy="4980215"/>
        </a:xfrm>
        <a:prstGeom prst="rect">
          <a:avLst/>
        </a:prstGeom>
      </xdr:spPr>
    </xdr:pic>
    <xdr:clientData/>
  </xdr:twoCellAnchor>
  <xdr:twoCellAnchor editAs="oneCell">
    <xdr:from>
      <xdr:col>29</xdr:col>
      <xdr:colOff>0</xdr:colOff>
      <xdr:row>154</xdr:row>
      <xdr:rowOff>2399</xdr:rowOff>
    </xdr:from>
    <xdr:to>
      <xdr:col>40</xdr:col>
      <xdr:colOff>37322</xdr:colOff>
      <xdr:row>182</xdr:row>
      <xdr:rowOff>13607</xdr:rowOff>
    </xdr:to>
    <xdr:pic>
      <xdr:nvPicPr>
        <xdr:cNvPr id="29" name="Picture 28">
          <a:extLst>
            <a:ext uri="{FF2B5EF4-FFF2-40B4-BE49-F238E27FC236}">
              <a16:creationId xmlns:a16="http://schemas.microsoft.com/office/drawing/2014/main" id="{AC8C2D49-9567-4DE0-A9C0-D6AF09EC978A}"/>
            </a:ext>
          </a:extLst>
        </xdr:cNvPr>
        <xdr:cNvPicPr>
          <a:picLocks noChangeAspect="1"/>
        </xdr:cNvPicPr>
      </xdr:nvPicPr>
      <xdr:blipFill>
        <a:blip xmlns:r="http://schemas.openxmlformats.org/officeDocument/2006/relationships" r:embed="rId13"/>
        <a:stretch>
          <a:fillRect/>
        </a:stretch>
      </xdr:blipFill>
      <xdr:spPr>
        <a:xfrm>
          <a:off x="12641036" y="27366363"/>
          <a:ext cx="6772857" cy="4977815"/>
        </a:xfrm>
        <a:prstGeom prst="rect">
          <a:avLst/>
        </a:prstGeom>
      </xdr:spPr>
    </xdr:pic>
    <xdr:clientData/>
  </xdr:twoCellAnchor>
  <xdr:twoCellAnchor editAs="oneCell">
    <xdr:from>
      <xdr:col>51</xdr:col>
      <xdr:colOff>1</xdr:colOff>
      <xdr:row>154</xdr:row>
      <xdr:rowOff>0</xdr:rowOff>
    </xdr:from>
    <xdr:to>
      <xdr:col>62</xdr:col>
      <xdr:colOff>1</xdr:colOff>
      <xdr:row>182</xdr:row>
      <xdr:rowOff>13608</xdr:rowOff>
    </xdr:to>
    <xdr:pic>
      <xdr:nvPicPr>
        <xdr:cNvPr id="30" name="Picture 29">
          <a:extLst>
            <a:ext uri="{FF2B5EF4-FFF2-40B4-BE49-F238E27FC236}">
              <a16:creationId xmlns:a16="http://schemas.microsoft.com/office/drawing/2014/main" id="{60368DA9-3E44-48B8-9FFF-91F9CC5D31AC}"/>
            </a:ext>
          </a:extLst>
        </xdr:cNvPr>
        <xdr:cNvPicPr>
          <a:picLocks noChangeAspect="1"/>
        </xdr:cNvPicPr>
      </xdr:nvPicPr>
      <xdr:blipFill>
        <a:blip xmlns:r="http://schemas.openxmlformats.org/officeDocument/2006/relationships" r:embed="rId14"/>
        <a:stretch>
          <a:fillRect/>
        </a:stretch>
      </xdr:blipFill>
      <xdr:spPr>
        <a:xfrm>
          <a:off x="26112108" y="27363964"/>
          <a:ext cx="6735536" cy="4980215"/>
        </a:xfrm>
        <a:prstGeom prst="rect">
          <a:avLst/>
        </a:prstGeom>
      </xdr:spPr>
    </xdr:pic>
    <xdr:clientData/>
  </xdr:twoCellAnchor>
  <xdr:twoCellAnchor editAs="oneCell">
    <xdr:from>
      <xdr:col>62</xdr:col>
      <xdr:colOff>0</xdr:colOff>
      <xdr:row>154</xdr:row>
      <xdr:rowOff>2399</xdr:rowOff>
    </xdr:from>
    <xdr:to>
      <xdr:col>73</xdr:col>
      <xdr:colOff>11206</xdr:colOff>
      <xdr:row>182</xdr:row>
      <xdr:rowOff>13607</xdr:rowOff>
    </xdr:to>
    <xdr:pic>
      <xdr:nvPicPr>
        <xdr:cNvPr id="31" name="Picture 30">
          <a:extLst>
            <a:ext uri="{FF2B5EF4-FFF2-40B4-BE49-F238E27FC236}">
              <a16:creationId xmlns:a16="http://schemas.microsoft.com/office/drawing/2014/main" id="{C6735B56-2BC6-48B3-8173-14A71D7A7B8D}"/>
            </a:ext>
          </a:extLst>
        </xdr:cNvPr>
        <xdr:cNvPicPr>
          <a:picLocks noChangeAspect="1"/>
        </xdr:cNvPicPr>
      </xdr:nvPicPr>
      <xdr:blipFill>
        <a:blip xmlns:r="http://schemas.openxmlformats.org/officeDocument/2006/relationships" r:embed="rId15"/>
        <a:stretch>
          <a:fillRect/>
        </a:stretch>
      </xdr:blipFill>
      <xdr:spPr>
        <a:xfrm>
          <a:off x="32847643" y="27366363"/>
          <a:ext cx="6746742" cy="4977815"/>
        </a:xfrm>
        <a:prstGeom prst="rect">
          <a:avLst/>
        </a:prstGeom>
      </xdr:spPr>
    </xdr:pic>
    <xdr:clientData/>
  </xdr:twoCellAnchor>
  <xdr:twoCellAnchor editAs="oneCell">
    <xdr:from>
      <xdr:col>19</xdr:col>
      <xdr:colOff>0</xdr:colOff>
      <xdr:row>2</xdr:row>
      <xdr:rowOff>22412</xdr:rowOff>
    </xdr:from>
    <xdr:to>
      <xdr:col>28</xdr:col>
      <xdr:colOff>1</xdr:colOff>
      <xdr:row>30</xdr:row>
      <xdr:rowOff>0</xdr:rowOff>
    </xdr:to>
    <xdr:pic>
      <xdr:nvPicPr>
        <xdr:cNvPr id="33" name="Picture 32">
          <a:extLst>
            <a:ext uri="{FF2B5EF4-FFF2-40B4-BE49-F238E27FC236}">
              <a16:creationId xmlns:a16="http://schemas.microsoft.com/office/drawing/2014/main" id="{7E1D3025-7B58-2D4E-C32B-0B9577986895}"/>
            </a:ext>
          </a:extLst>
        </xdr:cNvPr>
        <xdr:cNvPicPr>
          <a:picLocks noChangeAspect="1"/>
        </xdr:cNvPicPr>
      </xdr:nvPicPr>
      <xdr:blipFill>
        <a:blip xmlns:r="http://schemas.openxmlformats.org/officeDocument/2006/relationships" r:embed="rId20"/>
        <a:stretch>
          <a:fillRect/>
        </a:stretch>
      </xdr:blipFill>
      <xdr:spPr>
        <a:xfrm>
          <a:off x="6869206" y="392206"/>
          <a:ext cx="5446060" cy="4997823"/>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1</xdr:row>
      <xdr:rowOff>9525</xdr:rowOff>
    </xdr:from>
    <xdr:to>
      <xdr:col>12</xdr:col>
      <xdr:colOff>0</xdr:colOff>
      <xdr:row>30</xdr:row>
      <xdr:rowOff>9525</xdr:rowOff>
    </xdr:to>
    <xdr:pic>
      <xdr:nvPicPr>
        <xdr:cNvPr id="2" name="Picture 1">
          <a:extLst>
            <a:ext uri="{FF2B5EF4-FFF2-40B4-BE49-F238E27FC236}">
              <a16:creationId xmlns:a16="http://schemas.microsoft.com/office/drawing/2014/main" id="{C3B5C606-332A-16C1-D5D8-864EDE76E306}"/>
            </a:ext>
          </a:extLst>
        </xdr:cNvPr>
        <xdr:cNvPicPr>
          <a:picLocks noChangeAspect="1"/>
        </xdr:cNvPicPr>
      </xdr:nvPicPr>
      <xdr:blipFill>
        <a:blip xmlns:r="http://schemas.openxmlformats.org/officeDocument/2006/relationships" r:embed="rId1"/>
        <a:stretch>
          <a:fillRect/>
        </a:stretch>
      </xdr:blipFill>
      <xdr:spPr>
        <a:xfrm>
          <a:off x="209550" y="190500"/>
          <a:ext cx="6696075" cy="5248275"/>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file:///C:\Users\User\Desktop\Equity%20Research\Models\Health%20Care\MedTech\BSX_Model.xlsx" TargetMode="External"/><Relationship Id="rId1" Type="http://schemas.openxmlformats.org/officeDocument/2006/relationships/externalLinkPath" Target="file:///C:\Users\User\Desktop\Equity%20Research\Models\Health%20Care\MedTech\BSX_Model.xlsx" TargetMode="External"/></Relationships>
</file>

<file path=xl/externalLinks/_rels/externalLink2.xml.rels><?xml version="1.0" encoding="UTF-8" standalone="yes"?>
<Relationships xmlns="http://schemas.openxmlformats.org/package/2006/relationships"><Relationship Id="rId2" Type="http://schemas.openxmlformats.org/officeDocument/2006/relationships/externalLinkPath" Target="file:///C:\Users\User\AppData\Roaming\Microsoft\Excel\META_Model%20(version%201).xlsb" TargetMode="External"/><Relationship Id="rId1" Type="http://schemas.openxmlformats.org/officeDocument/2006/relationships/externalLinkPath" Target="file:///C:\Users\User\AppData\Roaming\Microsoft\Excel\META_Model%20(version%201).xlsb"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 Overview"/>
      <sheetName val="Model"/>
      <sheetName val="Notes | Quant Analysis"/>
      <sheetName val="M&amp;A Scope"/>
      <sheetName val="Markets | Product Lines"/>
      <sheetName val="Management"/>
      <sheetName val="Debt Schedule"/>
      <sheetName val="Clinical Trial Channel"/>
    </sheetNames>
    <sheetDataSet>
      <sheetData sheetId="0"/>
      <sheetData sheetId="1">
        <row r="3">
          <cell r="AW3" t="str">
            <v>Q1 2020</v>
          </cell>
          <cell r="AX3" t="str">
            <v>Q2 2020</v>
          </cell>
          <cell r="AY3" t="str">
            <v>Q3 2020</v>
          </cell>
          <cell r="AZ3" t="str">
            <v>Q4 2020</v>
          </cell>
          <cell r="BA3" t="str">
            <v>Q1 2021</v>
          </cell>
          <cell r="BB3" t="str">
            <v>Q2 2021</v>
          </cell>
          <cell r="BC3" t="str">
            <v>Q3 2021</v>
          </cell>
          <cell r="BD3" t="str">
            <v>Q4 2021</v>
          </cell>
          <cell r="BE3" t="str">
            <v>Q1 2022</v>
          </cell>
          <cell r="BF3" t="str">
            <v>Q2 2022</v>
          </cell>
          <cell r="BG3" t="str">
            <v>Q3 2022</v>
          </cell>
          <cell r="BH3" t="str">
            <v>Q4 2022</v>
          </cell>
          <cell r="BI3" t="str">
            <v>Q1 2023</v>
          </cell>
          <cell r="BJ3" t="str">
            <v>Q2 2023</v>
          </cell>
          <cell r="BK3" t="str">
            <v>Q3 2023</v>
          </cell>
          <cell r="BL3" t="str">
            <v>Q4 2023</v>
          </cell>
          <cell r="BM3" t="str">
            <v>Q1 2024</v>
          </cell>
          <cell r="BN3" t="str">
            <v>Q2 2024</v>
          </cell>
          <cell r="BO3" t="str">
            <v>Q3 2024</v>
          </cell>
          <cell r="BP3" t="str">
            <v>Q4 2024</v>
          </cell>
          <cell r="BQ3" t="str">
            <v>Q1 2025</v>
          </cell>
        </row>
      </sheetData>
      <sheetData sheetId="2"/>
      <sheetData sheetId="3"/>
      <sheetData sheetId="4"/>
      <sheetData sheetId="5"/>
      <sheetData sheetId="6"/>
      <sheetData sheetId="7"/>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Main"/>
      <sheetName val="Model"/>
      <sheetName val="Notes | Quant Analysis"/>
      <sheetName val="Product Lines"/>
      <sheetName val="Management"/>
      <sheetName val="Table Formatting"/>
    </sheetNames>
    <sheetDataSet>
      <sheetData sheetId="0" refreshError="1"/>
      <sheetData sheetId="1">
        <row r="1">
          <cell r="AI1" t="str">
            <v>Q1 2020</v>
          </cell>
          <cell r="AM1" t="str">
            <v>Q1 2021</v>
          </cell>
          <cell r="AQ1" t="str">
            <v>Q1 2022</v>
          </cell>
          <cell r="AU1" t="str">
            <v>Q1 2023</v>
          </cell>
          <cell r="AY1" t="str">
            <v>Q1 2024</v>
          </cell>
          <cell r="BC1" t="str">
            <v>Q1 2025</v>
          </cell>
        </row>
        <row r="3">
          <cell r="BS3">
            <v>2012</v>
          </cell>
          <cell r="BT3">
            <v>2013</v>
          </cell>
          <cell r="BU3">
            <v>2014</v>
          </cell>
          <cell r="BV3">
            <v>2015</v>
          </cell>
          <cell r="BW3">
            <v>2016</v>
          </cell>
          <cell r="BX3">
            <v>2017</v>
          </cell>
          <cell r="BY3">
            <v>2018</v>
          </cell>
          <cell r="BZ3">
            <v>2019</v>
          </cell>
          <cell r="CA3">
            <v>2020</v>
          </cell>
          <cell r="CB3">
            <v>2021</v>
          </cell>
          <cell r="CC3">
            <v>2022</v>
          </cell>
          <cell r="CD3">
            <v>2023</v>
          </cell>
          <cell r="CE3">
            <v>2024</v>
          </cell>
        </row>
        <row r="37">
          <cell r="BS37">
            <v>5089</v>
          </cell>
          <cell r="BT37">
            <v>7872</v>
          </cell>
          <cell r="BU37">
            <v>12466</v>
          </cell>
          <cell r="BV37">
            <v>17928</v>
          </cell>
          <cell r="BW37">
            <v>27638</v>
          </cell>
          <cell r="BX37">
            <v>40653</v>
          </cell>
          <cell r="BY37">
            <v>55838</v>
          </cell>
          <cell r="BZ37">
            <v>70697</v>
          </cell>
          <cell r="CA37">
            <v>85965</v>
          </cell>
          <cell r="CB37">
            <v>117929</v>
          </cell>
          <cell r="CC37">
            <v>116609</v>
          </cell>
          <cell r="CD37">
            <v>134902</v>
          </cell>
          <cell r="CE37">
            <v>164501</v>
          </cell>
        </row>
        <row r="48">
          <cell r="BS48">
            <v>53</v>
          </cell>
          <cell r="BT48">
            <v>1500</v>
          </cell>
          <cell r="BU48">
            <v>2940</v>
          </cell>
          <cell r="BV48">
            <v>3688</v>
          </cell>
          <cell r="BW48">
            <v>10217</v>
          </cell>
          <cell r="BX48">
            <v>15934</v>
          </cell>
          <cell r="BY48">
            <v>22112</v>
          </cell>
          <cell r="BZ48">
            <v>18485</v>
          </cell>
          <cell r="CA48">
            <v>29146</v>
          </cell>
          <cell r="CB48">
            <v>39370</v>
          </cell>
          <cell r="CC48">
            <v>23200</v>
          </cell>
          <cell r="CD48">
            <v>39098</v>
          </cell>
          <cell r="CE48">
            <v>62360</v>
          </cell>
        </row>
        <row r="93">
          <cell r="BS93">
            <v>377</v>
          </cell>
          <cell r="BT93">
            <v>2860</v>
          </cell>
          <cell r="BU93">
            <v>5495</v>
          </cell>
          <cell r="BV93">
            <v>7797</v>
          </cell>
          <cell r="BW93">
            <v>11617</v>
          </cell>
          <cell r="BX93">
            <v>17483</v>
          </cell>
          <cell r="BY93">
            <v>15359</v>
          </cell>
          <cell r="BZ93">
            <v>21212</v>
          </cell>
          <cell r="CA93">
            <v>23632</v>
          </cell>
          <cell r="CB93">
            <v>39085</v>
          </cell>
          <cell r="CC93">
            <v>19289</v>
          </cell>
          <cell r="CD93">
            <v>44068</v>
          </cell>
          <cell r="CE93">
            <v>54072</v>
          </cell>
        </row>
      </sheetData>
      <sheetData sheetId="2">
        <row r="216">
          <cell r="I216" t="str">
            <v>Histogram Data</v>
          </cell>
          <cell r="L216" t="str">
            <v>Distribution Overlay</v>
          </cell>
        </row>
        <row r="218">
          <cell r="I218">
            <v>-0.06</v>
          </cell>
          <cell r="J218">
            <v>1</v>
          </cell>
          <cell r="L218">
            <v>-6.25E-2</v>
          </cell>
          <cell r="M218">
            <v>0.10742058138663263</v>
          </cell>
        </row>
        <row r="219">
          <cell r="I219">
            <v>-5.7500000000000002E-2</v>
          </cell>
          <cell r="J219">
            <v>1</v>
          </cell>
          <cell r="L219">
            <v>-0.06</v>
          </cell>
          <cell r="M219">
            <v>0.16125636353555861</v>
          </cell>
        </row>
        <row r="220">
          <cell r="I220">
            <v>-5.5E-2</v>
          </cell>
          <cell r="J220">
            <v>0</v>
          </cell>
          <cell r="L220">
            <v>-5.7500000000000002E-2</v>
          </cell>
          <cell r="M220">
            <v>0.23814348650257758</v>
          </cell>
        </row>
        <row r="221">
          <cell r="I221">
            <v>-5.2499999999999998E-2</v>
          </cell>
          <cell r="J221">
            <v>4</v>
          </cell>
          <cell r="L221">
            <v>-5.5E-2</v>
          </cell>
          <cell r="M221">
            <v>0.34598162617598838</v>
          </cell>
        </row>
        <row r="222">
          <cell r="I222">
            <v>-0.05</v>
          </cell>
          <cell r="J222">
            <v>3</v>
          </cell>
          <cell r="L222">
            <v>-5.2499999999999998E-2</v>
          </cell>
          <cell r="M222">
            <v>0.49449265600178138</v>
          </cell>
        </row>
        <row r="223">
          <cell r="I223">
            <v>-4.7500000000000001E-2</v>
          </cell>
          <cell r="J223">
            <v>3</v>
          </cell>
          <cell r="L223">
            <v>-0.05</v>
          </cell>
          <cell r="M223">
            <v>0.69527904245272742</v>
          </cell>
        </row>
        <row r="224">
          <cell r="I224">
            <v>-4.4999999999999998E-2</v>
          </cell>
          <cell r="J224">
            <v>0</v>
          </cell>
          <cell r="L224">
            <v>-4.7500000000000001E-2</v>
          </cell>
          <cell r="M224">
            <v>0.96172501834519741</v>
          </cell>
        </row>
        <row r="225">
          <cell r="I225">
            <v>-4.2500000000000003E-2</v>
          </cell>
          <cell r="J225">
            <v>6</v>
          </cell>
          <cell r="L225">
            <v>-4.4999999999999998E-2</v>
          </cell>
          <cell r="M225">
            <v>1.308685141161726</v>
          </cell>
        </row>
        <row r="226">
          <cell r="I226">
            <v>-0.04</v>
          </cell>
          <cell r="J226">
            <v>7</v>
          </cell>
          <cell r="L226">
            <v>-4.2500000000000003E-2</v>
          </cell>
          <cell r="M226">
            <v>1.7519104829192778</v>
          </cell>
        </row>
        <row r="227">
          <cell r="I227">
            <v>-3.7499999999999999E-2</v>
          </cell>
          <cell r="J227">
            <v>12</v>
          </cell>
          <cell r="L227">
            <v>-0.04</v>
          </cell>
          <cell r="M227">
            <v>2.3071781684149686</v>
          </cell>
        </row>
        <row r="228">
          <cell r="I228">
            <v>-3.5000000000000003E-2</v>
          </cell>
          <cell r="J228">
            <v>8</v>
          </cell>
          <cell r="L228">
            <v>-3.7499999999999999E-2</v>
          </cell>
          <cell r="M228">
            <v>2.989116474458442</v>
          </cell>
        </row>
        <row r="229">
          <cell r="I229">
            <v>-3.2500000000000001E-2</v>
          </cell>
          <cell r="J229">
            <v>6</v>
          </cell>
          <cell r="L229">
            <v>-3.5000000000000003E-2</v>
          </cell>
          <cell r="M229">
            <v>3.8097548020139715</v>
          </cell>
        </row>
        <row r="230">
          <cell r="I230">
            <v>-0.03</v>
          </cell>
          <cell r="J230">
            <v>12</v>
          </cell>
          <cell r="L230">
            <v>-3.2500000000000001E-2</v>
          </cell>
          <cell r="M230">
            <v>4.7768729930836615</v>
          </cell>
        </row>
        <row r="231">
          <cell r="I231">
            <v>-2.75E-2</v>
          </cell>
          <cell r="J231">
            <v>17</v>
          </cell>
          <cell r="L231">
            <v>-0.03</v>
          </cell>
          <cell r="M231">
            <v>5.8922728080984283</v>
          </cell>
        </row>
        <row r="232">
          <cell r="I232">
            <v>-2.5000000000000001E-2</v>
          </cell>
          <cell r="J232">
            <v>21</v>
          </cell>
          <cell r="L232">
            <v>-2.75E-2</v>
          </cell>
          <cell r="M232">
            <v>7.1501389272634208</v>
          </cell>
        </row>
        <row r="233">
          <cell r="I233">
            <v>-2.2499999999999999E-2</v>
          </cell>
          <cell r="J233">
            <v>19</v>
          </cell>
          <cell r="L233">
            <v>-2.5000000000000001E-2</v>
          </cell>
          <cell r="M233">
            <v>8.5356892669345932</v>
          </cell>
        </row>
        <row r="234">
          <cell r="I234">
            <v>-0.02</v>
          </cell>
          <cell r="J234">
            <v>22</v>
          </cell>
          <cell r="L234">
            <v>-2.2499999999999999E-2</v>
          </cell>
          <cell r="M234">
            <v>10.024326313685666</v>
          </cell>
        </row>
        <row r="235">
          <cell r="I235">
            <v>-1.7500000000000002E-2</v>
          </cell>
          <cell r="J235">
            <v>25</v>
          </cell>
          <cell r="L235">
            <v>-0.02</v>
          </cell>
          <cell r="M235">
            <v>11.58148573551728</v>
          </cell>
        </row>
        <row r="236">
          <cell r="I236">
            <v>-1.4999999999999999E-2</v>
          </cell>
          <cell r="J236">
            <v>45</v>
          </cell>
          <cell r="L236">
            <v>-1.7500000000000002E-2</v>
          </cell>
          <cell r="M236">
            <v>13.163332154636409</v>
          </cell>
        </row>
        <row r="237">
          <cell r="I237">
            <v>-1.2500000000000001E-2</v>
          </cell>
          <cell r="J237">
            <v>51</v>
          </cell>
          <cell r="L237">
            <v>-1.4999999999999999E-2</v>
          </cell>
          <cell r="M237">
            <v>14.718375751520579</v>
          </cell>
        </row>
        <row r="238">
          <cell r="I238">
            <v>-0.01</v>
          </cell>
          <cell r="J238">
            <v>59</v>
          </cell>
          <cell r="L238">
            <v>-1.2500000000000001E-2</v>
          </cell>
          <cell r="M238">
            <v>16.189983802875343</v>
          </cell>
        </row>
        <row r="239">
          <cell r="I239">
            <v>-7.4999999999999997E-3</v>
          </cell>
          <cell r="J239">
            <v>59</v>
          </cell>
          <cell r="L239">
            <v>-0.01</v>
          </cell>
          <cell r="M239">
            <v>17.519649964229057</v>
          </cell>
        </row>
        <row r="240">
          <cell r="I240">
            <v>-5.0000000000000001E-3</v>
          </cell>
          <cell r="J240">
            <v>68</v>
          </cell>
          <cell r="L240">
            <v>-7.4999999999999997E-3</v>
          </cell>
          <cell r="M240">
            <v>18.650776503363478</v>
          </cell>
        </row>
        <row r="241">
          <cell r="I241">
            <v>-2.5000000000000001E-3</v>
          </cell>
          <cell r="J241">
            <v>70</v>
          </cell>
          <cell r="L241">
            <v>-5.0000000000000001E-3</v>
          </cell>
          <cell r="M241">
            <v>19.532637635128481</v>
          </cell>
        </row>
        <row r="242">
          <cell r="I242">
            <v>0</v>
          </cell>
          <cell r="J242">
            <v>91</v>
          </cell>
          <cell r="L242">
            <v>-2.5000000000000001E-3</v>
          </cell>
          <cell r="M242">
            <v>20.124140970864751</v>
          </cell>
        </row>
        <row r="243">
          <cell r="I243">
            <v>2.5000000000000001E-3</v>
          </cell>
          <cell r="J243">
            <v>85</v>
          </cell>
          <cell r="L243">
            <v>0</v>
          </cell>
          <cell r="M243">
            <v>20.39699977019454</v>
          </cell>
        </row>
        <row r="244">
          <cell r="I244">
            <v>5.0000000000000001E-3</v>
          </cell>
          <cell r="J244">
            <v>66</v>
          </cell>
          <cell r="L244">
            <v>2.5000000000000001E-3</v>
          </cell>
          <cell r="M244">
            <v>20.337975200910474</v>
          </cell>
        </row>
        <row r="245">
          <cell r="I245">
            <v>7.4999999999999997E-3</v>
          </cell>
          <cell r="J245">
            <v>49</v>
          </cell>
          <cell r="L245">
            <v>5.0000000000000001E-3</v>
          </cell>
          <cell r="M245">
            <v>19.949941119754655</v>
          </cell>
        </row>
        <row r="246">
          <cell r="I246">
            <v>0.01</v>
          </cell>
          <cell r="J246">
            <v>67</v>
          </cell>
          <cell r="L246">
            <v>7.4999999999999997E-3</v>
          </cell>
          <cell r="M246">
            <v>19.251652124607908</v>
          </cell>
        </row>
        <row r="247">
          <cell r="I247">
            <v>1.2500000000000001E-2</v>
          </cell>
          <cell r="J247">
            <v>51</v>
          </cell>
          <cell r="L247">
            <v>0.01</v>
          </cell>
          <cell r="M247">
            <v>18.276240945343826</v>
          </cell>
        </row>
        <row r="248">
          <cell r="I248">
            <v>1.4999999999999999E-2</v>
          </cell>
          <cell r="J248">
            <v>60</v>
          </cell>
          <cell r="L248">
            <v>1.2500000000000001E-2</v>
          </cell>
          <cell r="M248">
            <v>17.068612811022497</v>
          </cell>
        </row>
        <row r="249">
          <cell r="I249">
            <v>1.7500000000000002E-2</v>
          </cell>
          <cell r="J249">
            <v>64</v>
          </cell>
          <cell r="L249">
            <v>1.4999999999999999E-2</v>
          </cell>
          <cell r="M249">
            <v>15.682022084413369</v>
          </cell>
        </row>
        <row r="250">
          <cell r="I250">
            <v>0.02</v>
          </cell>
          <cell r="J250">
            <v>32</v>
          </cell>
          <cell r="L250">
            <v>1.7500000000000002E-2</v>
          </cell>
          <cell r="M250">
            <v>14.174194168556841</v>
          </cell>
        </row>
        <row r="251">
          <cell r="I251">
            <v>2.2499999999999999E-2</v>
          </cell>
          <cell r="J251">
            <v>38</v>
          </cell>
          <cell r="L251">
            <v>0.02</v>
          </cell>
          <cell r="M251">
            <v>12.603384237987036</v>
          </cell>
        </row>
        <row r="252">
          <cell r="I252">
            <v>2.5000000000000001E-2</v>
          </cell>
          <cell r="J252">
            <v>24</v>
          </cell>
          <cell r="L252">
            <v>2.2499999999999999E-2</v>
          </cell>
          <cell r="M252">
            <v>11.024742588144736</v>
          </cell>
        </row>
        <row r="253">
          <cell r="I253">
            <v>2.75E-2</v>
          </cell>
          <cell r="J253">
            <v>17</v>
          </cell>
          <cell r="L253">
            <v>2.5000000000000001E-2</v>
          </cell>
          <cell r="M253">
            <v>9.4872910022214594</v>
          </cell>
        </row>
        <row r="254">
          <cell r="I254">
            <v>0.03</v>
          </cell>
          <cell r="J254">
            <v>19</v>
          </cell>
          <cell r="L254">
            <v>2.75E-2</v>
          </cell>
          <cell r="M254">
            <v>8.0317183010541413</v>
          </cell>
        </row>
        <row r="255">
          <cell r="I255">
            <v>3.2500000000000001E-2</v>
          </cell>
          <cell r="J255">
            <v>18</v>
          </cell>
          <cell r="L255">
            <v>0.03</v>
          </cell>
          <cell r="M255">
            <v>6.6890924191400467</v>
          </cell>
        </row>
        <row r="256">
          <cell r="I256">
            <v>3.5000000000000003E-2</v>
          </cell>
          <cell r="J256">
            <v>13</v>
          </cell>
          <cell r="L256">
            <v>3.2500000000000001E-2</v>
          </cell>
          <cell r="M256">
            <v>5.4804776021720452</v>
          </cell>
        </row>
        <row r="257">
          <cell r="I257">
            <v>3.7499999999999999E-2</v>
          </cell>
          <cell r="J257">
            <v>5</v>
          </cell>
          <cell r="L257">
            <v>3.5000000000000003E-2</v>
          </cell>
          <cell r="M257">
            <v>4.4173529425200817</v>
          </cell>
        </row>
        <row r="258">
          <cell r="I258">
            <v>0.04</v>
          </cell>
          <cell r="J258">
            <v>3</v>
          </cell>
          <cell r="L258">
            <v>3.7499999999999999E-2</v>
          </cell>
          <cell r="M258">
            <v>3.5026623641956487</v>
          </cell>
        </row>
        <row r="259">
          <cell r="I259">
            <v>4.2500000000000003E-2</v>
          </cell>
          <cell r="J259">
            <v>2</v>
          </cell>
          <cell r="L259">
            <v>0.04</v>
          </cell>
          <cell r="M259">
            <v>2.7322908884020212</v>
          </cell>
        </row>
        <row r="260">
          <cell r="I260">
            <v>4.4999999999999998E-2</v>
          </cell>
          <cell r="J260">
            <v>3</v>
          </cell>
          <cell r="L260">
            <v>4.2500000000000003E-2</v>
          </cell>
          <cell r="M260">
            <v>2.0967568674562269</v>
          </cell>
        </row>
        <row r="261">
          <cell r="I261">
            <v>4.7500000000000001E-2</v>
          </cell>
          <cell r="J261">
            <v>4</v>
          </cell>
          <cell r="L261">
            <v>4.4999999999999998E-2</v>
          </cell>
          <cell r="M261">
            <v>1.5829299517533759</v>
          </cell>
        </row>
        <row r="262">
          <cell r="I262">
            <v>0.05</v>
          </cell>
          <cell r="J262">
            <v>3</v>
          </cell>
          <cell r="L262">
            <v>4.7500000000000001E-2</v>
          </cell>
          <cell r="M262">
            <v>1.1756222629377588</v>
          </cell>
        </row>
        <row r="263">
          <cell r="I263">
            <v>5.2499999999999998E-2</v>
          </cell>
          <cell r="J263">
            <v>4</v>
          </cell>
          <cell r="L263">
            <v>0.05</v>
          </cell>
          <cell r="M263">
            <v>0.85894704344517292</v>
          </cell>
        </row>
        <row r="264">
          <cell r="I264">
            <v>5.5E-2</v>
          </cell>
          <cell r="J264">
            <v>3</v>
          </cell>
          <cell r="L264">
            <v>5.2499999999999998E-2</v>
          </cell>
          <cell r="M264">
            <v>0.61738696924369429</v>
          </cell>
        </row>
        <row r="265">
          <cell r="I265">
            <v>5.7500000000000002E-2</v>
          </cell>
          <cell r="J265">
            <v>2</v>
          </cell>
          <cell r="L265">
            <v>5.5E-2</v>
          </cell>
          <cell r="M265">
            <v>0.43655705494721142</v>
          </cell>
        </row>
        <row r="266">
          <cell r="I266">
            <v>0.06</v>
          </cell>
          <cell r="J266">
            <v>1</v>
          </cell>
          <cell r="L266">
            <v>5.7500000000000002E-2</v>
          </cell>
          <cell r="M266">
            <v>0.30368059766070521</v>
          </cell>
        </row>
        <row r="267">
          <cell r="L267">
            <v>0.06</v>
          </cell>
          <cell r="M267">
            <v>0.20781914909728022</v>
          </cell>
        </row>
        <row r="268">
          <cell r="L268">
            <v>6.25E-2</v>
          </cell>
          <cell r="M268">
            <v>0.13990929284185369</v>
          </cell>
        </row>
      </sheetData>
      <sheetData sheetId="3" refreshError="1"/>
      <sheetData sheetId="4" refreshError="1"/>
      <sheetData sheetId="5" refreshError="1"/>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eme/themeOverride1.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4.xml><?xml version="1.0" encoding="utf-8"?>
<a:themeOverride xmlns:a="http://schemas.openxmlformats.org/drawingml/2006/main">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hyperlink" Target="https://www.macrotrends.net/stocks/charts/META/meta-platforms/financial-statements" TargetMode="External"/><Relationship Id="rId2" Type="http://schemas.openxmlformats.org/officeDocument/2006/relationships/hyperlink" Target="mailto:investor@meta.com" TargetMode="External"/><Relationship Id="rId1" Type="http://schemas.openxmlformats.org/officeDocument/2006/relationships/hyperlink" Target="https://app.godelterminal.com/" TargetMode="External"/><Relationship Id="rId6" Type="http://schemas.openxmlformats.org/officeDocument/2006/relationships/drawing" Target="../drawings/drawing1.xml"/><Relationship Id="rId5" Type="http://schemas.openxmlformats.org/officeDocument/2006/relationships/hyperlink" Target="https://investor.atmeta.com/" TargetMode="External"/><Relationship Id="rId4" Type="http://schemas.openxmlformats.org/officeDocument/2006/relationships/hyperlink" Target="https://www.gurufocus.com/term/wacc/META"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2:Q44"/>
  <sheetViews>
    <sheetView tabSelected="1" topLeftCell="A18" zoomScale="85" zoomScaleNormal="85" workbookViewId="0">
      <selection activeCell="D3" sqref="D3"/>
    </sheetView>
  </sheetViews>
  <sheetFormatPr defaultColWidth="9.140625" defaultRowHeight="14.25"/>
  <cols>
    <col min="1" max="1" width="3.42578125" style="1" customWidth="1"/>
    <col min="2" max="2" width="9" style="1" customWidth="1"/>
    <col min="3" max="3" width="12.5703125" style="1" customWidth="1"/>
    <col min="4" max="6" width="9.140625" style="1" customWidth="1"/>
    <col min="7" max="16384" width="9.140625" style="1"/>
  </cols>
  <sheetData>
    <row r="2" spans="2:17" ht="15">
      <c r="B2" s="2" t="s">
        <v>152</v>
      </c>
      <c r="C2" s="65"/>
    </row>
    <row r="3" spans="2:17" ht="15">
      <c r="B3" s="1" t="s">
        <v>0</v>
      </c>
      <c r="C3" s="68">
        <v>667.31</v>
      </c>
      <c r="D3" s="42" t="s">
        <v>1533</v>
      </c>
      <c r="G3"/>
    </row>
    <row r="4" spans="2:17">
      <c r="B4" s="1" t="s">
        <v>1</v>
      </c>
      <c r="C4" s="65">
        <v>2517</v>
      </c>
      <c r="D4" s="44" t="s">
        <v>1532</v>
      </c>
    </row>
    <row r="5" spans="2:17">
      <c r="B5" s="1" t="s">
        <v>2</v>
      </c>
      <c r="C5" s="65">
        <f>C3*C4</f>
        <v>1679619.2699999998</v>
      </c>
    </row>
    <row r="6" spans="2:17">
      <c r="B6" s="1" t="s">
        <v>3</v>
      </c>
      <c r="C6" s="65">
        <f>10187+34261</f>
        <v>44448</v>
      </c>
      <c r="D6" s="44" t="s">
        <v>1532</v>
      </c>
    </row>
    <row r="7" spans="2:17">
      <c r="B7" s="1" t="s">
        <v>4</v>
      </c>
      <c r="C7" s="65">
        <v>28834</v>
      </c>
      <c r="D7" s="44" t="s">
        <v>1532</v>
      </c>
    </row>
    <row r="8" spans="2:17">
      <c r="B8" s="1" t="s">
        <v>5</v>
      </c>
      <c r="C8" s="65">
        <f>C5-C6+C7</f>
        <v>1664005.2699999998</v>
      </c>
      <c r="D8" s="44"/>
    </row>
    <row r="10" spans="2:17" ht="15">
      <c r="B10" s="2" t="s">
        <v>153</v>
      </c>
    </row>
    <row r="11" spans="2:17" ht="15">
      <c r="Q11" s="2"/>
    </row>
    <row r="12" spans="2:17">
      <c r="B12" s="1" t="s">
        <v>1531</v>
      </c>
      <c r="G12" s="1" t="s">
        <v>165</v>
      </c>
      <c r="N12" s="1" t="s">
        <v>1530</v>
      </c>
    </row>
    <row r="13" spans="2:17">
      <c r="B13" s="1" t="s">
        <v>154</v>
      </c>
      <c r="G13" s="1" t="s">
        <v>166</v>
      </c>
      <c r="N13" s="1" t="s">
        <v>7</v>
      </c>
      <c r="Q13" s="43" t="s">
        <v>159</v>
      </c>
    </row>
    <row r="14" spans="2:17">
      <c r="B14" s="1" t="s">
        <v>155</v>
      </c>
      <c r="G14" s="1" t="s">
        <v>6</v>
      </c>
      <c r="N14" s="1" t="s">
        <v>172</v>
      </c>
      <c r="Q14" s="43" t="s">
        <v>158</v>
      </c>
    </row>
    <row r="15" spans="2:17">
      <c r="B15" s="1" t="s">
        <v>156</v>
      </c>
      <c r="G15" s="1" t="s">
        <v>150</v>
      </c>
      <c r="N15" s="1" t="s">
        <v>147</v>
      </c>
      <c r="Q15" s="43" t="s">
        <v>160</v>
      </c>
    </row>
    <row r="16" spans="2:17">
      <c r="B16" s="1" t="s">
        <v>157</v>
      </c>
      <c r="G16" s="1" t="s">
        <v>144</v>
      </c>
      <c r="J16" s="1" t="s">
        <v>145</v>
      </c>
      <c r="K16" s="43" t="s">
        <v>167</v>
      </c>
      <c r="N16" s="1" t="s">
        <v>148</v>
      </c>
      <c r="Q16" s="43" t="s">
        <v>161</v>
      </c>
    </row>
    <row r="17" spans="1:17">
      <c r="B17" s="1" t="s">
        <v>162</v>
      </c>
      <c r="N17" s="1" t="s">
        <v>169</v>
      </c>
      <c r="Q17" s="43" t="s">
        <v>168</v>
      </c>
    </row>
    <row r="18" spans="1:17">
      <c r="B18" s="1" t="s">
        <v>163</v>
      </c>
      <c r="N18" s="1" t="s">
        <v>170</v>
      </c>
      <c r="Q18" s="43" t="s">
        <v>171</v>
      </c>
    </row>
    <row r="19" spans="1:17">
      <c r="B19" s="1" t="s">
        <v>164</v>
      </c>
      <c r="N19" s="1" t="s">
        <v>8</v>
      </c>
      <c r="Q19" s="43" t="s">
        <v>149</v>
      </c>
    </row>
    <row r="21" spans="1:17" ht="15">
      <c r="A21" s="2" t="s">
        <v>9</v>
      </c>
    </row>
    <row r="22" spans="1:17">
      <c r="B22" s="1" t="s">
        <v>173</v>
      </c>
    </row>
    <row r="23" spans="1:17">
      <c r="B23" s="1" t="s">
        <v>174</v>
      </c>
    </row>
    <row r="24" spans="1:17">
      <c r="C24" s="1" t="s">
        <v>179</v>
      </c>
    </row>
    <row r="25" spans="1:17">
      <c r="D25" s="1" t="s">
        <v>178</v>
      </c>
    </row>
    <row r="26" spans="1:17">
      <c r="D26" s="1" t="s">
        <v>175</v>
      </c>
    </row>
    <row r="27" spans="1:17">
      <c r="D27" s="1" t="s">
        <v>176</v>
      </c>
    </row>
    <row r="28" spans="1:17">
      <c r="D28" s="1" t="s">
        <v>177</v>
      </c>
    </row>
    <row r="29" spans="1:17">
      <c r="D29" s="1" t="s">
        <v>180</v>
      </c>
    </row>
    <row r="30" spans="1:17">
      <c r="E30" s="1" t="s">
        <v>181</v>
      </c>
    </row>
    <row r="31" spans="1:17">
      <c r="D31" s="45" t="s">
        <v>187</v>
      </c>
    </row>
    <row r="32" spans="1:17">
      <c r="C32" s="1" t="s">
        <v>182</v>
      </c>
    </row>
    <row r="33" spans="1:4">
      <c r="D33" s="1" t="s">
        <v>183</v>
      </c>
    </row>
    <row r="34" spans="1:4">
      <c r="D34" s="1" t="s">
        <v>188</v>
      </c>
    </row>
    <row r="35" spans="1:4">
      <c r="D35" s="1" t="s">
        <v>189</v>
      </c>
    </row>
    <row r="36" spans="1:4">
      <c r="D36" s="1" t="s">
        <v>190</v>
      </c>
    </row>
    <row r="37" spans="1:4">
      <c r="B37" s="1" t="s">
        <v>191</v>
      </c>
    </row>
    <row r="38" spans="1:4">
      <c r="C38" s="1" t="s">
        <v>192</v>
      </c>
    </row>
    <row r="39" spans="1:4">
      <c r="C39" s="1" t="s">
        <v>193</v>
      </c>
    </row>
    <row r="40" spans="1:4">
      <c r="D40" s="1" t="s">
        <v>194</v>
      </c>
    </row>
    <row r="41" spans="1:4">
      <c r="B41" s="1" t="s">
        <v>184</v>
      </c>
    </row>
    <row r="42" spans="1:4">
      <c r="C42" s="1" t="s">
        <v>185</v>
      </c>
    </row>
    <row r="44" spans="1:4" ht="15">
      <c r="A44" s="2" t="s">
        <v>151</v>
      </c>
    </row>
  </sheetData>
  <hyperlinks>
    <hyperlink ref="Q19" r:id="rId1" xr:uid="{14375537-5C3D-4253-9650-337AB6789785}"/>
    <hyperlink ref="K16" r:id="rId2" xr:uid="{CEC7BFB2-1CAE-45ED-A31E-998135FEAAD6}"/>
    <hyperlink ref="Q17" r:id="rId3" xr:uid="{628B83AE-457B-4B00-BA2A-533888F3BFAC}"/>
    <hyperlink ref="Q18" r:id="rId4" xr:uid="{92329812-D17E-4A42-8CD2-D5AB7BD522E6}"/>
    <hyperlink ref="Q14" r:id="rId5" xr:uid="{A830EA4F-4102-445A-8955-1CC4FA5A5BE6}"/>
  </hyperlinks>
  <pageMargins left="0.7" right="0.7" top="0.75" bottom="0.75" header="0.3" footer="0.3"/>
  <ignoredErrors>
    <ignoredError sqref="D3" twoDigitTextYear="1"/>
  </ignoredErrors>
  <drawing r:id="rId6"/>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B27957-A42B-4AB7-A411-12A70E029F5D}">
  <dimension ref="B1:EL95"/>
  <sheetViews>
    <sheetView zoomScale="85" zoomScaleNormal="85" workbookViewId="0">
      <pane xSplit="2" ySplit="3" topLeftCell="BI69" activePane="bottomRight" state="frozen"/>
      <selection pane="topRight" activeCell="C1" sqref="C1"/>
      <selection pane="bottomLeft" activeCell="A4" sqref="A4"/>
      <selection pane="bottomRight" activeCell="BE24" sqref="BE24"/>
    </sheetView>
  </sheetViews>
  <sheetFormatPr defaultColWidth="9.140625" defaultRowHeight="14.25"/>
  <cols>
    <col min="1" max="1" width="3.140625" style="1" customWidth="1"/>
    <col min="2" max="2" width="36.42578125" style="1" customWidth="1"/>
    <col min="3" max="10" width="9.42578125" style="1" bestFit="1" customWidth="1"/>
    <col min="11" max="56" width="9.28515625" style="1" bestFit="1" customWidth="1"/>
    <col min="57" max="62" width="9.140625" style="35"/>
    <col min="63" max="79" width="9.140625" style="1"/>
    <col min="80" max="141" width="9.140625" style="35"/>
    <col min="142" max="16384" width="9.140625" style="1"/>
  </cols>
  <sheetData>
    <row r="1" spans="2:142" ht="15">
      <c r="AI1" s="33" t="s">
        <v>75</v>
      </c>
      <c r="AM1" s="33" t="s">
        <v>79</v>
      </c>
      <c r="AQ1" s="33" t="s">
        <v>83</v>
      </c>
      <c r="AU1" s="33" t="s">
        <v>87</v>
      </c>
      <c r="AY1" s="33" t="s">
        <v>91</v>
      </c>
      <c r="BC1" s="33" t="s">
        <v>95</v>
      </c>
      <c r="BD1" s="33"/>
    </row>
    <row r="2" spans="2:142">
      <c r="B2" s="1" t="s">
        <v>103</v>
      </c>
    </row>
    <row r="3" spans="2:142" ht="15">
      <c r="B3" s="2" t="s">
        <v>104</v>
      </c>
      <c r="C3" s="33" t="s">
        <v>43</v>
      </c>
      <c r="D3" s="33" t="s">
        <v>44</v>
      </c>
      <c r="E3" s="33" t="s">
        <v>45</v>
      </c>
      <c r="F3" s="33" t="s">
        <v>46</v>
      </c>
      <c r="G3" s="33" t="s">
        <v>47</v>
      </c>
      <c r="H3" s="33" t="s">
        <v>48</v>
      </c>
      <c r="I3" s="33" t="s">
        <v>49</v>
      </c>
      <c r="J3" s="33" t="s">
        <v>50</v>
      </c>
      <c r="K3" s="33" t="s">
        <v>51</v>
      </c>
      <c r="L3" s="33" t="s">
        <v>52</v>
      </c>
      <c r="M3" s="33" t="s">
        <v>53</v>
      </c>
      <c r="N3" s="33" t="s">
        <v>54</v>
      </c>
      <c r="O3" s="33" t="s">
        <v>55</v>
      </c>
      <c r="P3" s="33" t="s">
        <v>56</v>
      </c>
      <c r="Q3" s="33" t="s">
        <v>57</v>
      </c>
      <c r="R3" s="33" t="s">
        <v>58</v>
      </c>
      <c r="S3" s="33" t="s">
        <v>59</v>
      </c>
      <c r="T3" s="33" t="s">
        <v>60</v>
      </c>
      <c r="U3" s="33" t="s">
        <v>61</v>
      </c>
      <c r="V3" s="33" t="s">
        <v>62</v>
      </c>
      <c r="W3" s="33" t="s">
        <v>63</v>
      </c>
      <c r="X3" s="33" t="s">
        <v>64</v>
      </c>
      <c r="Y3" s="33" t="s">
        <v>65</v>
      </c>
      <c r="Z3" s="33" t="s">
        <v>66</v>
      </c>
      <c r="AA3" s="33" t="s">
        <v>67</v>
      </c>
      <c r="AB3" s="33" t="s">
        <v>68</v>
      </c>
      <c r="AC3" s="33" t="s">
        <v>69</v>
      </c>
      <c r="AD3" s="33" t="s">
        <v>70</v>
      </c>
      <c r="AE3" s="33" t="s">
        <v>71</v>
      </c>
      <c r="AF3" s="33" t="s">
        <v>72</v>
      </c>
      <c r="AG3" s="33" t="s">
        <v>73</v>
      </c>
      <c r="AH3" s="33" t="s">
        <v>74</v>
      </c>
      <c r="AI3" s="33" t="s">
        <v>75</v>
      </c>
      <c r="AJ3" s="33" t="s">
        <v>76</v>
      </c>
      <c r="AK3" s="33" t="s">
        <v>77</v>
      </c>
      <c r="AL3" s="33" t="s">
        <v>78</v>
      </c>
      <c r="AM3" s="33" t="s">
        <v>79</v>
      </c>
      <c r="AN3" s="33" t="s">
        <v>80</v>
      </c>
      <c r="AO3" s="33" t="s">
        <v>81</v>
      </c>
      <c r="AP3" s="33" t="s">
        <v>82</v>
      </c>
      <c r="AQ3" s="33" t="s">
        <v>83</v>
      </c>
      <c r="AR3" s="33" t="s">
        <v>84</v>
      </c>
      <c r="AS3" s="33" t="s">
        <v>85</v>
      </c>
      <c r="AT3" s="33" t="s">
        <v>86</v>
      </c>
      <c r="AU3" s="33" t="s">
        <v>87</v>
      </c>
      <c r="AV3" s="33" t="s">
        <v>88</v>
      </c>
      <c r="AW3" s="33" t="s">
        <v>89</v>
      </c>
      <c r="AX3" s="33" t="s">
        <v>90</v>
      </c>
      <c r="AY3" s="33" t="s">
        <v>91</v>
      </c>
      <c r="AZ3" s="33" t="s">
        <v>92</v>
      </c>
      <c r="BA3" s="33" t="s">
        <v>93</v>
      </c>
      <c r="BB3" s="33" t="s">
        <v>94</v>
      </c>
      <c r="BC3" s="33" t="s">
        <v>95</v>
      </c>
      <c r="BD3" s="33" t="s">
        <v>96</v>
      </c>
      <c r="BE3" s="2" t="s">
        <v>97</v>
      </c>
      <c r="BF3" s="34" t="s">
        <v>98</v>
      </c>
      <c r="BG3" s="34" t="s">
        <v>99</v>
      </c>
      <c r="BH3" s="34" t="s">
        <v>100</v>
      </c>
      <c r="BI3" s="34" t="s">
        <v>101</v>
      </c>
      <c r="BJ3" s="34" t="s">
        <v>102</v>
      </c>
      <c r="BO3" s="2">
        <v>2012</v>
      </c>
      <c r="BP3" s="2">
        <f t="shared" ref="BP3:DX3" si="0">BO3+1</f>
        <v>2013</v>
      </c>
      <c r="BQ3" s="2">
        <f t="shared" si="0"/>
        <v>2014</v>
      </c>
      <c r="BR3" s="2">
        <f t="shared" si="0"/>
        <v>2015</v>
      </c>
      <c r="BS3" s="2">
        <f t="shared" si="0"/>
        <v>2016</v>
      </c>
      <c r="BT3" s="2">
        <f t="shared" si="0"/>
        <v>2017</v>
      </c>
      <c r="BU3" s="2">
        <f t="shared" si="0"/>
        <v>2018</v>
      </c>
      <c r="BV3" s="2">
        <f t="shared" si="0"/>
        <v>2019</v>
      </c>
      <c r="BW3" s="2">
        <f t="shared" si="0"/>
        <v>2020</v>
      </c>
      <c r="BX3" s="2">
        <f t="shared" si="0"/>
        <v>2021</v>
      </c>
      <c r="BY3" s="2">
        <f t="shared" si="0"/>
        <v>2022</v>
      </c>
      <c r="BZ3" s="2">
        <f t="shared" si="0"/>
        <v>2023</v>
      </c>
      <c r="CA3" s="2">
        <f t="shared" si="0"/>
        <v>2024</v>
      </c>
      <c r="CB3" s="34">
        <f t="shared" si="0"/>
        <v>2025</v>
      </c>
      <c r="CC3" s="34">
        <f t="shared" si="0"/>
        <v>2026</v>
      </c>
      <c r="CD3" s="34">
        <f t="shared" si="0"/>
        <v>2027</v>
      </c>
      <c r="CE3" s="34">
        <f t="shared" si="0"/>
        <v>2028</v>
      </c>
      <c r="CF3" s="34">
        <f t="shared" si="0"/>
        <v>2029</v>
      </c>
      <c r="CG3" s="34">
        <f t="shared" si="0"/>
        <v>2030</v>
      </c>
      <c r="CH3" s="34">
        <f t="shared" si="0"/>
        <v>2031</v>
      </c>
      <c r="CI3" s="34">
        <f t="shared" si="0"/>
        <v>2032</v>
      </c>
      <c r="CJ3" s="34">
        <f t="shared" si="0"/>
        <v>2033</v>
      </c>
      <c r="CK3" s="34">
        <f t="shared" si="0"/>
        <v>2034</v>
      </c>
      <c r="CL3" s="34">
        <f t="shared" si="0"/>
        <v>2035</v>
      </c>
      <c r="CM3" s="34">
        <f t="shared" si="0"/>
        <v>2036</v>
      </c>
      <c r="CN3" s="34">
        <f t="shared" si="0"/>
        <v>2037</v>
      </c>
      <c r="CO3" s="34">
        <f t="shared" si="0"/>
        <v>2038</v>
      </c>
      <c r="CP3" s="34">
        <f t="shared" si="0"/>
        <v>2039</v>
      </c>
      <c r="CQ3" s="34">
        <f t="shared" si="0"/>
        <v>2040</v>
      </c>
      <c r="CR3" s="34">
        <f t="shared" si="0"/>
        <v>2041</v>
      </c>
      <c r="CS3" s="34">
        <f t="shared" si="0"/>
        <v>2042</v>
      </c>
      <c r="CT3" s="34">
        <f t="shared" si="0"/>
        <v>2043</v>
      </c>
      <c r="CU3" s="34">
        <f t="shared" si="0"/>
        <v>2044</v>
      </c>
      <c r="CV3" s="34">
        <f t="shared" si="0"/>
        <v>2045</v>
      </c>
      <c r="CW3" s="34">
        <f t="shared" si="0"/>
        <v>2046</v>
      </c>
      <c r="CX3" s="34">
        <f t="shared" si="0"/>
        <v>2047</v>
      </c>
      <c r="CY3" s="34">
        <f t="shared" si="0"/>
        <v>2048</v>
      </c>
      <c r="CZ3" s="34">
        <f t="shared" si="0"/>
        <v>2049</v>
      </c>
      <c r="DA3" s="34">
        <f t="shared" si="0"/>
        <v>2050</v>
      </c>
      <c r="DB3" s="34">
        <f t="shared" si="0"/>
        <v>2051</v>
      </c>
      <c r="DC3" s="34">
        <f t="shared" si="0"/>
        <v>2052</v>
      </c>
      <c r="DD3" s="34">
        <f t="shared" si="0"/>
        <v>2053</v>
      </c>
      <c r="DE3" s="34">
        <f t="shared" si="0"/>
        <v>2054</v>
      </c>
      <c r="DF3" s="34">
        <f t="shared" si="0"/>
        <v>2055</v>
      </c>
      <c r="DG3" s="34">
        <f t="shared" si="0"/>
        <v>2056</v>
      </c>
      <c r="DH3" s="34">
        <f t="shared" si="0"/>
        <v>2057</v>
      </c>
      <c r="DI3" s="34">
        <f t="shared" si="0"/>
        <v>2058</v>
      </c>
      <c r="DJ3" s="34">
        <f t="shared" si="0"/>
        <v>2059</v>
      </c>
      <c r="DK3" s="34">
        <f t="shared" si="0"/>
        <v>2060</v>
      </c>
      <c r="DL3" s="34">
        <f t="shared" si="0"/>
        <v>2061</v>
      </c>
      <c r="DM3" s="34">
        <f t="shared" si="0"/>
        <v>2062</v>
      </c>
      <c r="DN3" s="34">
        <f t="shared" si="0"/>
        <v>2063</v>
      </c>
      <c r="DO3" s="34">
        <f t="shared" si="0"/>
        <v>2064</v>
      </c>
      <c r="DP3" s="34">
        <f t="shared" si="0"/>
        <v>2065</v>
      </c>
      <c r="DQ3" s="34">
        <f t="shared" si="0"/>
        <v>2066</v>
      </c>
      <c r="DR3" s="34">
        <f t="shared" si="0"/>
        <v>2067</v>
      </c>
      <c r="DS3" s="34">
        <f t="shared" si="0"/>
        <v>2068</v>
      </c>
      <c r="DT3" s="34">
        <f t="shared" si="0"/>
        <v>2069</v>
      </c>
      <c r="DU3" s="34">
        <f t="shared" si="0"/>
        <v>2070</v>
      </c>
      <c r="DV3" s="34">
        <f t="shared" si="0"/>
        <v>2071</v>
      </c>
      <c r="DW3" s="34">
        <f t="shared" si="0"/>
        <v>2072</v>
      </c>
      <c r="DX3" s="34">
        <f t="shared" si="0"/>
        <v>2073</v>
      </c>
      <c r="DY3" s="34">
        <f t="shared" ref="DY3:EI3" si="1">DX3+1</f>
        <v>2074</v>
      </c>
      <c r="DZ3" s="34">
        <f t="shared" si="1"/>
        <v>2075</v>
      </c>
      <c r="EA3" s="34">
        <f t="shared" si="1"/>
        <v>2076</v>
      </c>
      <c r="EB3" s="34">
        <f t="shared" si="1"/>
        <v>2077</v>
      </c>
      <c r="EC3" s="34">
        <f t="shared" si="1"/>
        <v>2078</v>
      </c>
      <c r="ED3" s="34">
        <f t="shared" si="1"/>
        <v>2079</v>
      </c>
      <c r="EE3" s="34">
        <f t="shared" si="1"/>
        <v>2080</v>
      </c>
      <c r="EF3" s="34">
        <f t="shared" si="1"/>
        <v>2081</v>
      </c>
      <c r="EG3" s="34">
        <f t="shared" si="1"/>
        <v>2082</v>
      </c>
      <c r="EH3" s="34">
        <f t="shared" si="1"/>
        <v>2083</v>
      </c>
      <c r="EI3" s="34">
        <f t="shared" si="1"/>
        <v>2084</v>
      </c>
      <c r="EJ3" s="34"/>
      <c r="EK3" s="34"/>
      <c r="EL3" s="2"/>
    </row>
    <row r="4" spans="2:142">
      <c r="B4" s="36" t="s">
        <v>202</v>
      </c>
      <c r="AI4" s="1">
        <v>17440</v>
      </c>
      <c r="AJ4" s="1">
        <v>18321</v>
      </c>
      <c r="AK4" s="1">
        <v>21221</v>
      </c>
      <c r="AL4" s="1">
        <f>84169-SUM(AI4:AK4)</f>
        <v>27187</v>
      </c>
      <c r="AM4" s="1">
        <v>25439</v>
      </c>
      <c r="AN4" s="1">
        <v>28580</v>
      </c>
      <c r="AO4" s="1">
        <v>28276</v>
      </c>
      <c r="AP4" s="1">
        <f>114934-SUM(AM4:AO4)</f>
        <v>32639</v>
      </c>
      <c r="AQ4" s="1">
        <v>26998</v>
      </c>
      <c r="AR4" s="1">
        <v>28152</v>
      </c>
      <c r="AS4" s="1">
        <v>27237</v>
      </c>
      <c r="AT4" s="1">
        <f>113642-SUM(AQ4:AS4)</f>
        <v>31255</v>
      </c>
      <c r="AU4" s="1">
        <v>28101</v>
      </c>
      <c r="AV4" s="1">
        <v>31498</v>
      </c>
      <c r="AW4" s="1">
        <v>33643</v>
      </c>
      <c r="AX4" s="1">
        <f>131948-SUM(AU4:AW4)</f>
        <v>38706</v>
      </c>
      <c r="AY4" s="1">
        <v>35635</v>
      </c>
      <c r="AZ4" s="1">
        <v>38329</v>
      </c>
      <c r="BA4" s="1">
        <v>39885</v>
      </c>
      <c r="BB4" s="1">
        <f>160633-SUM(AY4:BA4)</f>
        <v>46784</v>
      </c>
      <c r="BC4" s="1">
        <v>41392</v>
      </c>
      <c r="BD4" s="1">
        <v>46563</v>
      </c>
      <c r="BE4" s="1">
        <v>50082</v>
      </c>
      <c r="BW4" s="1">
        <f>SUM(AI4:AL4)</f>
        <v>84169</v>
      </c>
      <c r="BX4" s="1">
        <f>SUM(AM4:AP4)</f>
        <v>114934</v>
      </c>
      <c r="BY4" s="1">
        <f>SUM(AQ4:AT4)</f>
        <v>113642</v>
      </c>
      <c r="BZ4" s="1">
        <f>SUM(AU4:AX4)</f>
        <v>131948</v>
      </c>
      <c r="CA4" s="1">
        <f>SUM(AY4:BB4)</f>
        <v>160633</v>
      </c>
      <c r="CB4" s="35">
        <f>CA4*(CB10+1)</f>
        <v>195972.26</v>
      </c>
      <c r="CC4" s="35">
        <f t="shared" ref="CC4:CK4" si="2">CB4*(CC10+1)</f>
        <v>231247.26680000001</v>
      </c>
      <c r="CD4" s="35">
        <f t="shared" si="2"/>
        <v>265934.35681999999</v>
      </c>
      <c r="CE4" s="35">
        <f t="shared" si="2"/>
        <v>300505.82320659998</v>
      </c>
      <c r="CF4" s="35">
        <f t="shared" si="2"/>
        <v>338069.05110742495</v>
      </c>
      <c r="CG4" s="35">
        <f t="shared" si="2"/>
        <v>378637.33724031597</v>
      </c>
      <c r="CH4" s="35">
        <f t="shared" si="2"/>
        <v>422180.63102295232</v>
      </c>
      <c r="CI4" s="35">
        <f t="shared" si="2"/>
        <v>468620.50043547712</v>
      </c>
      <c r="CJ4" s="35">
        <f t="shared" si="2"/>
        <v>517825.65298120223</v>
      </c>
      <c r="CK4" s="35">
        <f t="shared" si="2"/>
        <v>567019.09001441638</v>
      </c>
    </row>
    <row r="5" spans="2:142">
      <c r="B5" s="36" t="s">
        <v>203</v>
      </c>
      <c r="AI5" s="1">
        <v>297</v>
      </c>
      <c r="AJ5" s="1">
        <v>366</v>
      </c>
      <c r="AK5" s="1">
        <v>249</v>
      </c>
      <c r="AL5" s="1">
        <f>1067-SUM(AI5:AK5)</f>
        <v>155</v>
      </c>
      <c r="AM5" s="1">
        <v>198</v>
      </c>
      <c r="AN5" s="1">
        <v>192</v>
      </c>
      <c r="AO5" s="1">
        <v>176</v>
      </c>
      <c r="AP5" s="1">
        <f>721-SUM(AM5:AO5)</f>
        <v>155</v>
      </c>
      <c r="AQ5" s="1">
        <v>215</v>
      </c>
      <c r="AR5" s="1">
        <v>218</v>
      </c>
      <c r="AS5" s="1">
        <v>192</v>
      </c>
      <c r="AT5" s="1">
        <f>808-SUM(AQ5:AS5)</f>
        <v>183</v>
      </c>
      <c r="AU5" s="1">
        <v>205</v>
      </c>
      <c r="AV5" s="1">
        <v>225</v>
      </c>
      <c r="AW5" s="1">
        <v>293</v>
      </c>
      <c r="AX5" s="1">
        <f>1058-SUM(AU5:AW5)</f>
        <v>335</v>
      </c>
      <c r="AY5" s="1">
        <v>380</v>
      </c>
      <c r="AZ5" s="1">
        <v>389</v>
      </c>
      <c r="BA5" s="1">
        <v>434</v>
      </c>
      <c r="BB5" s="1">
        <f>1722-SUM(AY5:BA5)</f>
        <v>519</v>
      </c>
      <c r="BC5" s="1">
        <v>510</v>
      </c>
      <c r="BD5" s="1">
        <v>583</v>
      </c>
      <c r="BE5" s="1">
        <v>690</v>
      </c>
      <c r="BW5" s="1">
        <f>SUM(AI5:AL5)</f>
        <v>1067</v>
      </c>
      <c r="BX5" s="1">
        <f>SUM(AM5:AP5)</f>
        <v>721</v>
      </c>
      <c r="BY5" s="1">
        <f>SUM(AQ5:AT5)</f>
        <v>808</v>
      </c>
      <c r="BZ5" s="1">
        <f>SUM(AU5:AX5)</f>
        <v>1058</v>
      </c>
      <c r="CA5" s="1">
        <f>SUM(AY5:BB5)</f>
        <v>1722</v>
      </c>
      <c r="CB5" s="56">
        <f>CA5*(CB11+1)</f>
        <v>2565.7800000000002</v>
      </c>
      <c r="CC5" s="56">
        <f t="shared" ref="CC5:CK5" si="3">CB5*(CC11+1)</f>
        <v>3438.1452000000004</v>
      </c>
      <c r="CD5" s="56">
        <f t="shared" si="3"/>
        <v>4332.0629520000002</v>
      </c>
      <c r="CE5" s="56">
        <f t="shared" si="3"/>
        <v>5285.11680144</v>
      </c>
      <c r="CF5" s="56">
        <f t="shared" si="3"/>
        <v>6289.2889937135997</v>
      </c>
      <c r="CG5" s="56">
        <f t="shared" si="3"/>
        <v>7421.3610125820469</v>
      </c>
      <c r="CH5" s="56">
        <f t="shared" si="3"/>
        <v>8682.9923847209939</v>
      </c>
      <c r="CI5" s="56">
        <f t="shared" si="3"/>
        <v>10072.271166276352</v>
      </c>
      <c r="CJ5" s="56">
        <f t="shared" si="3"/>
        <v>11583.111841217804</v>
      </c>
      <c r="CK5" s="56">
        <f t="shared" si="3"/>
        <v>13204.747498988298</v>
      </c>
    </row>
    <row r="6" spans="2:142" s="2" customFormat="1" ht="15">
      <c r="B6" s="33" t="s">
        <v>232</v>
      </c>
      <c r="AI6" s="2">
        <f t="shared" ref="AI6:BB6" si="4">SUM(AI4:AI5)</f>
        <v>17737</v>
      </c>
      <c r="AJ6" s="2">
        <f t="shared" si="4"/>
        <v>18687</v>
      </c>
      <c r="AK6" s="2">
        <f t="shared" si="4"/>
        <v>21470</v>
      </c>
      <c r="AL6" s="2">
        <f t="shared" si="4"/>
        <v>27342</v>
      </c>
      <c r="AM6" s="2">
        <f t="shared" si="4"/>
        <v>25637</v>
      </c>
      <c r="AN6" s="2">
        <f t="shared" si="4"/>
        <v>28772</v>
      </c>
      <c r="AO6" s="2">
        <f t="shared" si="4"/>
        <v>28452</v>
      </c>
      <c r="AP6" s="2">
        <f t="shared" si="4"/>
        <v>32794</v>
      </c>
      <c r="AQ6" s="2">
        <f t="shared" si="4"/>
        <v>27213</v>
      </c>
      <c r="AR6" s="2">
        <f t="shared" si="4"/>
        <v>28370</v>
      </c>
      <c r="AS6" s="2">
        <f t="shared" si="4"/>
        <v>27429</v>
      </c>
      <c r="AT6" s="2">
        <f t="shared" si="4"/>
        <v>31438</v>
      </c>
      <c r="AU6" s="2">
        <f t="shared" si="4"/>
        <v>28306</v>
      </c>
      <c r="AV6" s="2">
        <f t="shared" si="4"/>
        <v>31723</v>
      </c>
      <c r="AW6" s="2">
        <f t="shared" si="4"/>
        <v>33936</v>
      </c>
      <c r="AX6" s="2">
        <f t="shared" si="4"/>
        <v>39041</v>
      </c>
      <c r="AY6" s="2">
        <f t="shared" si="4"/>
        <v>36015</v>
      </c>
      <c r="AZ6" s="2">
        <f t="shared" si="4"/>
        <v>38718</v>
      </c>
      <c r="BA6" s="2">
        <f t="shared" si="4"/>
        <v>40319</v>
      </c>
      <c r="BB6" s="2">
        <f t="shared" si="4"/>
        <v>47303</v>
      </c>
      <c r="BC6" s="2">
        <f>SUM(BC4:BC5)</f>
        <v>41902</v>
      </c>
      <c r="BD6" s="2">
        <f>SUM(BD4:BD5)</f>
        <v>47146</v>
      </c>
      <c r="BE6" s="2">
        <f>SUM(BE4:BE5)</f>
        <v>50772</v>
      </c>
      <c r="BF6" s="34"/>
      <c r="BG6" s="34"/>
      <c r="BH6" s="34"/>
      <c r="BI6" s="34"/>
      <c r="BJ6" s="34"/>
      <c r="BW6" s="2">
        <f>SUM(AI6:AL6)</f>
        <v>85236</v>
      </c>
      <c r="BX6" s="2">
        <f>SUM(AM6:AP6)</f>
        <v>115655</v>
      </c>
      <c r="BY6" s="2">
        <f>SUM(AQ6:AT6)</f>
        <v>114450</v>
      </c>
      <c r="BZ6" s="2">
        <f>SUM(AU6:AX6)</f>
        <v>133006</v>
      </c>
      <c r="CA6" s="2">
        <f>SUM(AY6:BB6)</f>
        <v>162355</v>
      </c>
      <c r="CB6" s="56">
        <f>SUM(CB4:CB5)</f>
        <v>198538.04</v>
      </c>
      <c r="CC6" s="56">
        <f t="shared" ref="CC6:CK6" si="5">SUM(CC4:CC5)</f>
        <v>234685.41200000001</v>
      </c>
      <c r="CD6" s="56">
        <f t="shared" si="5"/>
        <v>270266.41977199999</v>
      </c>
      <c r="CE6" s="56">
        <f t="shared" si="5"/>
        <v>305790.94000803999</v>
      </c>
      <c r="CF6" s="56">
        <f t="shared" si="5"/>
        <v>344358.34010113857</v>
      </c>
      <c r="CG6" s="56">
        <f t="shared" si="5"/>
        <v>386058.698252898</v>
      </c>
      <c r="CH6" s="56">
        <f t="shared" si="5"/>
        <v>430863.62340767332</v>
      </c>
      <c r="CI6" s="56">
        <f t="shared" si="5"/>
        <v>478692.77160175348</v>
      </c>
      <c r="CJ6" s="56">
        <f t="shared" si="5"/>
        <v>529408.76482242008</v>
      </c>
      <c r="CK6" s="56">
        <f t="shared" si="5"/>
        <v>580223.83751340467</v>
      </c>
      <c r="CL6" s="34"/>
      <c r="CM6" s="34"/>
      <c r="CN6" s="34"/>
      <c r="CO6" s="34"/>
      <c r="CP6" s="34"/>
      <c r="CQ6" s="34"/>
      <c r="CR6" s="34"/>
      <c r="CS6" s="34"/>
      <c r="CT6" s="34"/>
      <c r="CU6" s="34"/>
      <c r="CV6" s="34"/>
      <c r="CW6" s="34"/>
      <c r="CX6" s="34"/>
      <c r="CY6" s="34"/>
      <c r="CZ6" s="34"/>
      <c r="DA6" s="34"/>
      <c r="DB6" s="34"/>
      <c r="DC6" s="34"/>
      <c r="DD6" s="34"/>
      <c r="DE6" s="34"/>
      <c r="DF6" s="34"/>
      <c r="DG6" s="34"/>
      <c r="DH6" s="34"/>
      <c r="DI6" s="34"/>
      <c r="DJ6" s="34"/>
      <c r="DK6" s="34"/>
      <c r="DL6" s="34"/>
      <c r="DM6" s="34"/>
      <c r="DN6" s="34"/>
      <c r="DO6" s="34"/>
      <c r="DP6" s="34"/>
      <c r="DQ6" s="34"/>
      <c r="DR6" s="34"/>
      <c r="DS6" s="34"/>
      <c r="DT6" s="34"/>
      <c r="DU6" s="34"/>
      <c r="DV6" s="34"/>
      <c r="DW6" s="34"/>
      <c r="DX6" s="34"/>
      <c r="DY6" s="34"/>
      <c r="DZ6" s="34"/>
      <c r="EA6" s="34"/>
      <c r="EB6" s="34"/>
      <c r="EC6" s="34"/>
      <c r="ED6" s="34"/>
      <c r="EE6" s="34"/>
      <c r="EF6" s="34"/>
      <c r="EG6" s="34"/>
      <c r="EH6" s="34"/>
      <c r="EI6" s="34"/>
      <c r="EJ6" s="34"/>
      <c r="EK6" s="34"/>
    </row>
    <row r="7" spans="2:142">
      <c r="B7" s="36" t="s">
        <v>204</v>
      </c>
      <c r="AI7" s="1">
        <v>0</v>
      </c>
      <c r="AJ7" s="1">
        <v>0</v>
      </c>
      <c r="AK7" s="1">
        <v>0</v>
      </c>
      <c r="AL7" s="1">
        <f>1139-410-SUM(AI7:AK7)</f>
        <v>729</v>
      </c>
      <c r="AM7" s="1">
        <v>534</v>
      </c>
      <c r="AN7" s="1">
        <v>305</v>
      </c>
      <c r="AO7" s="1">
        <v>558</v>
      </c>
      <c r="AP7" s="1">
        <f>2274-SUM(AM7:AO7)</f>
        <v>877</v>
      </c>
      <c r="AQ7" s="1">
        <v>695</v>
      </c>
      <c r="AR7" s="1">
        <v>452</v>
      </c>
      <c r="AS7" s="1">
        <v>285</v>
      </c>
      <c r="AT7" s="1">
        <f>2159-SUM(AQ7:AS7)</f>
        <v>727</v>
      </c>
      <c r="AU7" s="1">
        <v>339</v>
      </c>
      <c r="AV7" s="1">
        <v>276</v>
      </c>
      <c r="AW7" s="1">
        <v>210</v>
      </c>
      <c r="AX7" s="1">
        <f>1896-SUM(AU7:AW7)</f>
        <v>1071</v>
      </c>
      <c r="AY7" s="1">
        <v>440</v>
      </c>
      <c r="AZ7" s="1">
        <v>353</v>
      </c>
      <c r="BA7" s="1">
        <v>270</v>
      </c>
      <c r="BB7" s="1">
        <f>2146-SUM(AY7:BA7)</f>
        <v>1083</v>
      </c>
      <c r="BC7" s="1">
        <v>412</v>
      </c>
      <c r="BD7" s="1">
        <v>370</v>
      </c>
      <c r="BE7" s="1">
        <v>470</v>
      </c>
      <c r="BW7" s="1">
        <f>SUM(AI7:AL7)</f>
        <v>729</v>
      </c>
      <c r="BX7" s="1">
        <f>SUM(AM7:AP7)</f>
        <v>2274</v>
      </c>
      <c r="BY7" s="1">
        <f>SUM(AQ7:AT7)</f>
        <v>2159</v>
      </c>
      <c r="BZ7" s="1">
        <f>SUM(AU7:AX7)</f>
        <v>1896</v>
      </c>
      <c r="CA7" s="1">
        <f>SUM(AY7:BB7)</f>
        <v>2146</v>
      </c>
      <c r="CB7" s="56">
        <f t="shared" ref="CB7:CK7" si="6">CA7*(CB13+1)</f>
        <v>1824.1</v>
      </c>
      <c r="CC7" s="56">
        <f t="shared" si="6"/>
        <v>2280.125</v>
      </c>
      <c r="CD7" s="56">
        <f t="shared" si="6"/>
        <v>2302.92625</v>
      </c>
      <c r="CE7" s="56">
        <f t="shared" si="6"/>
        <v>2325.9555125000002</v>
      </c>
      <c r="CF7" s="56">
        <f t="shared" si="6"/>
        <v>2442.2532881250004</v>
      </c>
      <c r="CG7" s="56">
        <f t="shared" si="6"/>
        <v>2564.3659525312505</v>
      </c>
      <c r="CH7" s="56">
        <f t="shared" si="6"/>
        <v>2692.5842501578131</v>
      </c>
      <c r="CI7" s="56">
        <f t="shared" si="6"/>
        <v>2827.2134626657039</v>
      </c>
      <c r="CJ7" s="56">
        <f t="shared" si="6"/>
        <v>2968.5741357989891</v>
      </c>
      <c r="CK7" s="56">
        <f t="shared" si="6"/>
        <v>3117.0028425889386</v>
      </c>
    </row>
    <row r="8" spans="2:142" s="2" customFormat="1" ht="15">
      <c r="B8" s="33" t="s">
        <v>105</v>
      </c>
      <c r="AI8" s="2">
        <f t="shared" ref="AI8:BB8" si="7">AI6+AI7</f>
        <v>17737</v>
      </c>
      <c r="AJ8" s="2">
        <f t="shared" si="7"/>
        <v>18687</v>
      </c>
      <c r="AK8" s="2">
        <f t="shared" si="7"/>
        <v>21470</v>
      </c>
      <c r="AL8" s="2">
        <f t="shared" si="7"/>
        <v>28071</v>
      </c>
      <c r="AM8" s="2">
        <f t="shared" si="7"/>
        <v>26171</v>
      </c>
      <c r="AN8" s="2">
        <f t="shared" si="7"/>
        <v>29077</v>
      </c>
      <c r="AO8" s="2">
        <f t="shared" si="7"/>
        <v>29010</v>
      </c>
      <c r="AP8" s="2">
        <f t="shared" si="7"/>
        <v>33671</v>
      </c>
      <c r="AQ8" s="2">
        <f t="shared" si="7"/>
        <v>27908</v>
      </c>
      <c r="AR8" s="2">
        <f t="shared" si="7"/>
        <v>28822</v>
      </c>
      <c r="AS8" s="2">
        <f t="shared" si="7"/>
        <v>27714</v>
      </c>
      <c r="AT8" s="2">
        <f t="shared" si="7"/>
        <v>32165</v>
      </c>
      <c r="AU8" s="2">
        <f t="shared" si="7"/>
        <v>28645</v>
      </c>
      <c r="AV8" s="2">
        <f t="shared" si="7"/>
        <v>31999</v>
      </c>
      <c r="AW8" s="2">
        <f t="shared" si="7"/>
        <v>34146</v>
      </c>
      <c r="AX8" s="2">
        <f t="shared" si="7"/>
        <v>40112</v>
      </c>
      <c r="AY8" s="2">
        <f t="shared" si="7"/>
        <v>36455</v>
      </c>
      <c r="AZ8" s="2">
        <f t="shared" si="7"/>
        <v>39071</v>
      </c>
      <c r="BA8" s="2">
        <f t="shared" si="7"/>
        <v>40589</v>
      </c>
      <c r="BB8" s="2">
        <f t="shared" si="7"/>
        <v>48386</v>
      </c>
      <c r="BC8" s="2">
        <f>BC6+BC7</f>
        <v>42314</v>
      </c>
      <c r="BD8" s="2">
        <f>BD6+BD7</f>
        <v>47516</v>
      </c>
      <c r="BE8" s="2">
        <f>BE6+BE7</f>
        <v>51242</v>
      </c>
      <c r="BF8" s="34"/>
      <c r="BG8" s="34"/>
      <c r="BH8" s="34"/>
      <c r="BI8" s="34"/>
      <c r="BJ8" s="34"/>
      <c r="BW8" s="2">
        <f>SUM(AI8:AL8)</f>
        <v>85965</v>
      </c>
      <c r="BX8" s="2">
        <f>SUM(AM8:AP8)</f>
        <v>117929</v>
      </c>
      <c r="BY8" s="2">
        <f>SUM(AQ8:AT8)</f>
        <v>116609</v>
      </c>
      <c r="BZ8" s="2">
        <f>SUM(AU8:AX8)</f>
        <v>134902</v>
      </c>
      <c r="CA8" s="2">
        <f>SUM(AY8:BB8)</f>
        <v>164501</v>
      </c>
      <c r="CB8" s="58">
        <f>SUM(CB6:CB7)</f>
        <v>200362.14</v>
      </c>
      <c r="CC8" s="58">
        <f t="shared" ref="CC8:CK8" si="8">SUM(CC6:CC7)</f>
        <v>236965.53700000001</v>
      </c>
      <c r="CD8" s="58">
        <f t="shared" si="8"/>
        <v>272569.34602200001</v>
      </c>
      <c r="CE8" s="58">
        <f t="shared" si="8"/>
        <v>308116.89552054001</v>
      </c>
      <c r="CF8" s="58">
        <f t="shared" si="8"/>
        <v>346800.59338926355</v>
      </c>
      <c r="CG8" s="58">
        <f t="shared" si="8"/>
        <v>388623.06420542923</v>
      </c>
      <c r="CH8" s="58">
        <f t="shared" si="8"/>
        <v>433556.20765783114</v>
      </c>
      <c r="CI8" s="58">
        <f t="shared" si="8"/>
        <v>481519.98506441916</v>
      </c>
      <c r="CJ8" s="58">
        <f t="shared" si="8"/>
        <v>532377.33895821904</v>
      </c>
      <c r="CK8" s="58">
        <f t="shared" si="8"/>
        <v>583340.8403559936</v>
      </c>
      <c r="CL8" s="34"/>
      <c r="CM8" s="34"/>
      <c r="CN8" s="34"/>
      <c r="CO8" s="34"/>
      <c r="CP8" s="34"/>
      <c r="CQ8" s="34"/>
      <c r="CR8" s="34"/>
      <c r="CS8" s="34"/>
      <c r="CT8" s="34"/>
      <c r="CU8" s="34"/>
      <c r="CV8" s="34"/>
      <c r="CW8" s="34"/>
      <c r="CX8" s="34"/>
      <c r="CY8" s="34"/>
      <c r="CZ8" s="34"/>
      <c r="DA8" s="34"/>
      <c r="DB8" s="34"/>
      <c r="DC8" s="34"/>
      <c r="DD8" s="34"/>
      <c r="DE8" s="34"/>
      <c r="DF8" s="34"/>
      <c r="DG8" s="34"/>
      <c r="DH8" s="34"/>
      <c r="DI8" s="34"/>
      <c r="DJ8" s="34"/>
      <c r="DK8" s="34"/>
      <c r="DL8" s="34"/>
      <c r="DM8" s="34"/>
      <c r="DN8" s="34"/>
      <c r="DO8" s="34"/>
      <c r="DP8" s="34"/>
      <c r="DQ8" s="34"/>
      <c r="DR8" s="34"/>
      <c r="DS8" s="34"/>
      <c r="DT8" s="34"/>
      <c r="DU8" s="34"/>
      <c r="DV8" s="34"/>
      <c r="DW8" s="34"/>
      <c r="DX8" s="34"/>
      <c r="DY8" s="34"/>
      <c r="DZ8" s="34"/>
      <c r="EA8" s="34"/>
      <c r="EB8" s="34"/>
      <c r="EC8" s="34"/>
      <c r="ED8" s="34"/>
      <c r="EE8" s="34"/>
      <c r="EF8" s="34"/>
      <c r="EG8" s="34"/>
      <c r="EH8" s="34"/>
      <c r="EI8" s="34"/>
      <c r="EJ8" s="34"/>
      <c r="EK8" s="34"/>
    </row>
    <row r="9" spans="2:142">
      <c r="B9" s="37"/>
      <c r="BE9" s="1"/>
    </row>
    <row r="10" spans="2:142">
      <c r="B10" s="36" t="s">
        <v>205</v>
      </c>
      <c r="AM10" s="47">
        <f t="shared" ref="AM10:BB10" si="9">AM4/AI4-1</f>
        <v>0.45865825688073403</v>
      </c>
      <c r="AN10" s="47">
        <f t="shared" si="9"/>
        <v>0.55995851754816872</v>
      </c>
      <c r="AO10" s="47">
        <f t="shared" si="9"/>
        <v>0.33245370152207721</v>
      </c>
      <c r="AP10" s="47">
        <f t="shared" si="9"/>
        <v>0.200537021370508</v>
      </c>
      <c r="AQ10" s="47">
        <f t="shared" si="9"/>
        <v>6.1283855497464623E-2</v>
      </c>
      <c r="AR10" s="47">
        <f t="shared" si="9"/>
        <v>-1.4975507347795625E-2</v>
      </c>
      <c r="AS10" s="47">
        <f t="shared" si="9"/>
        <v>-3.674494270759654E-2</v>
      </c>
      <c r="AT10" s="47">
        <f t="shared" si="9"/>
        <v>-4.240325990379612E-2</v>
      </c>
      <c r="AU10" s="47">
        <f t="shared" si="9"/>
        <v>4.0854878139121364E-2</v>
      </c>
      <c r="AV10" s="47">
        <f t="shared" si="9"/>
        <v>0.11885478829212848</v>
      </c>
      <c r="AW10" s="47">
        <f t="shared" si="9"/>
        <v>0.23519477181774784</v>
      </c>
      <c r="AX10" s="47">
        <f t="shared" si="9"/>
        <v>0.23839385698288273</v>
      </c>
      <c r="AY10" s="47">
        <f t="shared" si="9"/>
        <v>0.26810433792391719</v>
      </c>
      <c r="AZ10" s="47">
        <f t="shared" si="9"/>
        <v>0.21687091243888501</v>
      </c>
      <c r="BA10" s="47">
        <f t="shared" si="9"/>
        <v>0.18553636714918409</v>
      </c>
      <c r="BB10" s="47">
        <f t="shared" si="9"/>
        <v>0.20870149330853094</v>
      </c>
      <c r="BC10" s="47">
        <f t="shared" ref="BC10:BE14" si="10">BC4/AY4-1</f>
        <v>0.1615546513259436</v>
      </c>
      <c r="BD10" s="47">
        <f t="shared" si="10"/>
        <v>0.21482428448433311</v>
      </c>
      <c r="BE10" s="47">
        <f t="shared" si="10"/>
        <v>0.25566002256487397</v>
      </c>
      <c r="BW10" s="47"/>
      <c r="BX10" s="47">
        <f t="shared" ref="BX10:BZ14" si="11">BX4/BW4-1</f>
        <v>0.36551461939669005</v>
      </c>
      <c r="BY10" s="47">
        <f t="shared" si="11"/>
        <v>-1.124123409957023E-2</v>
      </c>
      <c r="BZ10" s="47">
        <f t="shared" si="11"/>
        <v>0.16108481019341436</v>
      </c>
      <c r="CA10" s="47">
        <f>CA4/BZ4-1</f>
        <v>0.21739624700639637</v>
      </c>
      <c r="CB10" s="57">
        <v>0.22</v>
      </c>
      <c r="CC10" s="57">
        <v>0.18</v>
      </c>
      <c r="CD10" s="57">
        <v>0.15</v>
      </c>
      <c r="CE10" s="57">
        <v>0.13</v>
      </c>
      <c r="CF10" s="57">
        <v>0.125</v>
      </c>
      <c r="CG10" s="57">
        <v>0.12</v>
      </c>
      <c r="CH10" s="57">
        <v>0.115</v>
      </c>
      <c r="CI10" s="57">
        <v>0.11</v>
      </c>
      <c r="CJ10" s="57">
        <v>0.105</v>
      </c>
      <c r="CK10" s="57">
        <v>9.5000000000000001E-2</v>
      </c>
    </row>
    <row r="11" spans="2:142">
      <c r="B11" s="36" t="s">
        <v>206</v>
      </c>
      <c r="AM11" s="47">
        <f t="shared" ref="AM11:BB11" si="12">AM5/AI5-1</f>
        <v>-0.33333333333333337</v>
      </c>
      <c r="AN11" s="47">
        <f t="shared" si="12"/>
        <v>-0.47540983606557374</v>
      </c>
      <c r="AO11" s="47">
        <f t="shared" si="12"/>
        <v>-0.29317269076305219</v>
      </c>
      <c r="AP11" s="47">
        <f t="shared" si="12"/>
        <v>0</v>
      </c>
      <c r="AQ11" s="47">
        <f t="shared" si="12"/>
        <v>8.5858585858585856E-2</v>
      </c>
      <c r="AR11" s="47">
        <f t="shared" si="12"/>
        <v>0.13541666666666674</v>
      </c>
      <c r="AS11" s="47">
        <f t="shared" si="12"/>
        <v>9.0909090909090828E-2</v>
      </c>
      <c r="AT11" s="47">
        <f t="shared" si="12"/>
        <v>0.1806451612903226</v>
      </c>
      <c r="AU11" s="47">
        <f t="shared" si="12"/>
        <v>-4.6511627906976716E-2</v>
      </c>
      <c r="AV11" s="47">
        <f t="shared" si="12"/>
        <v>3.2110091743119185E-2</v>
      </c>
      <c r="AW11" s="47">
        <f t="shared" si="12"/>
        <v>0.52604166666666674</v>
      </c>
      <c r="AX11" s="47">
        <f t="shared" si="12"/>
        <v>0.8306010928961749</v>
      </c>
      <c r="AY11" s="47">
        <f t="shared" si="12"/>
        <v>0.85365853658536595</v>
      </c>
      <c r="AZ11" s="47">
        <f t="shared" si="12"/>
        <v>0.72888888888888892</v>
      </c>
      <c r="BA11" s="47">
        <f t="shared" si="12"/>
        <v>0.48122866894197958</v>
      </c>
      <c r="BB11" s="47">
        <f t="shared" si="12"/>
        <v>0.54925373134328348</v>
      </c>
      <c r="BC11" s="47">
        <f t="shared" si="10"/>
        <v>0.34210526315789469</v>
      </c>
      <c r="BD11" s="47">
        <f t="shared" si="10"/>
        <v>0.49871465295629824</v>
      </c>
      <c r="BE11" s="47">
        <f t="shared" si="10"/>
        <v>0.58986175115207384</v>
      </c>
      <c r="BW11" s="47"/>
      <c r="BX11" s="47">
        <f t="shared" si="11"/>
        <v>-0.32427366447985007</v>
      </c>
      <c r="BY11" s="47">
        <f t="shared" si="11"/>
        <v>0.12066574202496527</v>
      </c>
      <c r="BZ11" s="47">
        <f t="shared" si="11"/>
        <v>0.30940594059405946</v>
      </c>
      <c r="CA11" s="47">
        <f t="shared" ref="CA11:CA14" si="13">CA5/BZ5-1</f>
        <v>0.6275992438563327</v>
      </c>
      <c r="CB11" s="57">
        <v>0.49</v>
      </c>
      <c r="CC11" s="57">
        <v>0.34</v>
      </c>
      <c r="CD11" s="57">
        <v>0.26</v>
      </c>
      <c r="CE11" s="57">
        <v>0.22</v>
      </c>
      <c r="CF11" s="57">
        <v>0.19</v>
      </c>
      <c r="CG11" s="57">
        <v>0.18</v>
      </c>
      <c r="CH11" s="57">
        <v>0.17</v>
      </c>
      <c r="CI11" s="57">
        <v>0.16</v>
      </c>
      <c r="CJ11" s="57">
        <v>0.15</v>
      </c>
      <c r="CK11" s="57">
        <v>0.14000000000000001</v>
      </c>
    </row>
    <row r="12" spans="2:142">
      <c r="B12" s="36" t="s">
        <v>208</v>
      </c>
      <c r="AM12" s="47">
        <f t="shared" ref="AM12:BB12" si="14">AM6/AI6-1</f>
        <v>0.44539662851666018</v>
      </c>
      <c r="AN12" s="47">
        <f t="shared" si="14"/>
        <v>0.53967999143789802</v>
      </c>
      <c r="AO12" s="47">
        <f t="shared" si="14"/>
        <v>0.32519795062878432</v>
      </c>
      <c r="AP12" s="47">
        <f t="shared" si="14"/>
        <v>0.19940019018360022</v>
      </c>
      <c r="AQ12" s="47">
        <f t="shared" si="14"/>
        <v>6.1473651363264104E-2</v>
      </c>
      <c r="AR12" s="47">
        <f t="shared" si="14"/>
        <v>-1.3971917141665458E-2</v>
      </c>
      <c r="AS12" s="47">
        <f t="shared" si="14"/>
        <v>-3.5955293125263577E-2</v>
      </c>
      <c r="AT12" s="47">
        <f t="shared" si="14"/>
        <v>-4.1349027261084359E-2</v>
      </c>
      <c r="AU12" s="47">
        <f t="shared" si="14"/>
        <v>4.016462720023517E-2</v>
      </c>
      <c r="AV12" s="47">
        <f t="shared" si="14"/>
        <v>0.11818822700035247</v>
      </c>
      <c r="AW12" s="47">
        <f t="shared" si="14"/>
        <v>0.2372306682708083</v>
      </c>
      <c r="AX12" s="47">
        <f t="shared" si="14"/>
        <v>0.24184108403842486</v>
      </c>
      <c r="AY12" s="47">
        <f t="shared" si="14"/>
        <v>0.27234508584752359</v>
      </c>
      <c r="AZ12" s="47">
        <f t="shared" si="14"/>
        <v>0.2205024745452826</v>
      </c>
      <c r="BA12" s="47">
        <f t="shared" si="14"/>
        <v>0.1880893446487506</v>
      </c>
      <c r="BB12" s="47">
        <f t="shared" si="14"/>
        <v>0.2116236776721907</v>
      </c>
      <c r="BC12" s="47">
        <f t="shared" si="10"/>
        <v>0.16345966958211866</v>
      </c>
      <c r="BD12" s="47">
        <f t="shared" si="10"/>
        <v>0.21767653287876443</v>
      </c>
      <c r="BE12" s="47">
        <f t="shared" si="10"/>
        <v>0.25925742205907887</v>
      </c>
      <c r="BW12" s="47"/>
      <c r="BX12" s="47">
        <f t="shared" si="11"/>
        <v>0.35687972218311503</v>
      </c>
      <c r="BY12" s="47">
        <f t="shared" si="11"/>
        <v>-1.0418918334702321E-2</v>
      </c>
      <c r="BZ12" s="47">
        <f t="shared" si="11"/>
        <v>0.16213193534294446</v>
      </c>
      <c r="CA12" s="47">
        <f t="shared" si="13"/>
        <v>0.22065921838112557</v>
      </c>
      <c r="CB12" s="57">
        <f>CB6/CA6-1</f>
        <v>0.22286372455421777</v>
      </c>
      <c r="CC12" s="57">
        <f t="shared" ref="CC12:CK12" si="15">CC6/CB6-1</f>
        <v>0.18206773875676419</v>
      </c>
      <c r="CD12" s="57">
        <f t="shared" si="15"/>
        <v>0.15161150183463468</v>
      </c>
      <c r="CE12" s="57">
        <f t="shared" si="15"/>
        <v>0.13144259751547716</v>
      </c>
      <c r="CF12" s="57">
        <f t="shared" si="15"/>
        <v>0.12612342305525637</v>
      </c>
      <c r="CG12" s="57">
        <f t="shared" si="15"/>
        <v>0.1210958275019911</v>
      </c>
      <c r="CH12" s="57">
        <f t="shared" si="15"/>
        <v>0.11605728703313578</v>
      </c>
      <c r="CI12" s="57">
        <f t="shared" si="15"/>
        <v>0.11100762653343166</v>
      </c>
      <c r="CJ12" s="57">
        <f t="shared" si="15"/>
        <v>0.10594685407712734</v>
      </c>
      <c r="CK12" s="57">
        <f t="shared" si="15"/>
        <v>9.5984570085517085E-2</v>
      </c>
    </row>
    <row r="13" spans="2:142">
      <c r="B13" s="36" t="s">
        <v>209</v>
      </c>
      <c r="AM13" s="47"/>
      <c r="AN13" s="47"/>
      <c r="AO13" s="47"/>
      <c r="AP13" s="47">
        <f t="shared" ref="AP13:BB13" si="16">AP7/AL7-1</f>
        <v>0.20301783264746232</v>
      </c>
      <c r="AQ13" s="47">
        <f t="shared" si="16"/>
        <v>0.30149812734082393</v>
      </c>
      <c r="AR13" s="47">
        <f t="shared" si="16"/>
        <v>0.4819672131147541</v>
      </c>
      <c r="AS13" s="47">
        <f t="shared" si="16"/>
        <v>-0.489247311827957</v>
      </c>
      <c r="AT13" s="47">
        <f t="shared" si="16"/>
        <v>-0.17103762827822122</v>
      </c>
      <c r="AU13" s="47">
        <f t="shared" si="16"/>
        <v>-0.51223021582733819</v>
      </c>
      <c r="AV13" s="47">
        <f t="shared" si="16"/>
        <v>-0.38938053097345138</v>
      </c>
      <c r="AW13" s="47">
        <f t="shared" si="16"/>
        <v>-0.26315789473684215</v>
      </c>
      <c r="AX13" s="47">
        <f t="shared" si="16"/>
        <v>0.47317744154057761</v>
      </c>
      <c r="AY13" s="47">
        <f t="shared" si="16"/>
        <v>0.29793510324483785</v>
      </c>
      <c r="AZ13" s="47">
        <f t="shared" si="16"/>
        <v>0.27898550724637672</v>
      </c>
      <c r="BA13" s="47">
        <f t="shared" si="16"/>
        <v>0.28571428571428581</v>
      </c>
      <c r="BB13" s="47">
        <f t="shared" si="16"/>
        <v>1.1204481792717047E-2</v>
      </c>
      <c r="BC13" s="47">
        <f t="shared" si="10"/>
        <v>-6.3636363636363602E-2</v>
      </c>
      <c r="BD13" s="47">
        <f t="shared" si="10"/>
        <v>4.8158640226628968E-2</v>
      </c>
      <c r="BE13" s="47">
        <f t="shared" si="10"/>
        <v>0.7407407407407407</v>
      </c>
      <c r="BW13" s="47"/>
      <c r="BX13" s="47">
        <f t="shared" si="11"/>
        <v>2.119341563786008</v>
      </c>
      <c r="BY13" s="47">
        <f t="shared" si="11"/>
        <v>-5.0571679859278795E-2</v>
      </c>
      <c r="BZ13" s="47">
        <f t="shared" si="11"/>
        <v>-0.12181565539601669</v>
      </c>
      <c r="CA13" s="47">
        <f t="shared" si="13"/>
        <v>0.1318565400843883</v>
      </c>
      <c r="CB13" s="57">
        <v>-0.15</v>
      </c>
      <c r="CC13" s="57">
        <v>0.25</v>
      </c>
      <c r="CD13" s="57">
        <v>0.01</v>
      </c>
      <c r="CE13" s="57">
        <v>0.01</v>
      </c>
      <c r="CF13" s="57">
        <v>0.05</v>
      </c>
      <c r="CG13" s="57">
        <v>0.05</v>
      </c>
      <c r="CH13" s="57">
        <v>0.05</v>
      </c>
      <c r="CI13" s="57">
        <v>0.05</v>
      </c>
      <c r="CJ13" s="57">
        <v>0.05</v>
      </c>
      <c r="CK13" s="57">
        <v>0.05</v>
      </c>
    </row>
    <row r="14" spans="2:142" s="2" customFormat="1" ht="15">
      <c r="B14" s="33" t="s">
        <v>207</v>
      </c>
      <c r="G14" s="50">
        <f t="shared" ref="G14:AK14" si="17">G37/C37-1</f>
        <v>0.37807183364839325</v>
      </c>
      <c r="H14" s="50">
        <f t="shared" si="17"/>
        <v>0.53125</v>
      </c>
      <c r="I14" s="50">
        <f t="shared" si="17"/>
        <v>0.59746434231378753</v>
      </c>
      <c r="J14" s="50">
        <f t="shared" si="17"/>
        <v>0.63091482649842279</v>
      </c>
      <c r="K14" s="50">
        <f t="shared" si="17"/>
        <v>0.71604938271604945</v>
      </c>
      <c r="L14" s="50">
        <f t="shared" si="17"/>
        <v>0.60507446221731942</v>
      </c>
      <c r="M14" s="50">
        <f t="shared" si="17"/>
        <v>0.58878968253968256</v>
      </c>
      <c r="N14" s="50">
        <f t="shared" si="17"/>
        <v>0.48974854932301737</v>
      </c>
      <c r="O14" s="50">
        <f t="shared" si="17"/>
        <v>0.4160671462829737</v>
      </c>
      <c r="P14" s="50">
        <f t="shared" si="17"/>
        <v>0.38900343642611679</v>
      </c>
      <c r="Q14" s="50">
        <f t="shared" si="17"/>
        <v>0.40524508273493609</v>
      </c>
      <c r="R14" s="50">
        <f t="shared" si="17"/>
        <v>0.51700856920280436</v>
      </c>
      <c r="S14" s="50">
        <f t="shared" si="17"/>
        <v>0.51905165114309915</v>
      </c>
      <c r="T14" s="50">
        <f t="shared" si="17"/>
        <v>0.5922810489856507</v>
      </c>
      <c r="U14" s="50">
        <f t="shared" si="17"/>
        <v>0.55765385469895579</v>
      </c>
      <c r="V14" s="50">
        <f t="shared" si="17"/>
        <v>0.50787401574803148</v>
      </c>
      <c r="W14" s="50">
        <f t="shared" si="17"/>
        <v>0.49238201412114457</v>
      </c>
      <c r="X14" s="50">
        <f t="shared" si="17"/>
        <v>0.44825978868862637</v>
      </c>
      <c r="Y14" s="50">
        <f t="shared" si="17"/>
        <v>0.47311367850520614</v>
      </c>
      <c r="Z14" s="50">
        <f t="shared" si="17"/>
        <v>0.47258485639686687</v>
      </c>
      <c r="AA14" s="50">
        <f t="shared" si="17"/>
        <v>0.48979083665338652</v>
      </c>
      <c r="AB14" s="50">
        <f t="shared" si="17"/>
        <v>0.41948288810213485</v>
      </c>
      <c r="AC14" s="50">
        <f t="shared" si="17"/>
        <v>0.32910534469403574</v>
      </c>
      <c r="AD14" s="50">
        <f t="shared" si="17"/>
        <v>0.30388529139685483</v>
      </c>
      <c r="AE14" s="50">
        <f t="shared" si="17"/>
        <v>0.25998662878154777</v>
      </c>
      <c r="AF14" s="50">
        <f t="shared" si="17"/>
        <v>0.2762451817700855</v>
      </c>
      <c r="AG14" s="50">
        <f t="shared" si="17"/>
        <v>0.2859328331026445</v>
      </c>
      <c r="AH14" s="50">
        <f t="shared" si="17"/>
        <v>0.2464230814709707</v>
      </c>
      <c r="AI14" s="50">
        <f t="shared" si="17"/>
        <v>0.17642767128739134</v>
      </c>
      <c r="AJ14" s="50">
        <f t="shared" si="17"/>
        <v>0.10665640175293145</v>
      </c>
      <c r="AK14" s="50">
        <f t="shared" si="17"/>
        <v>0.21629277135735325</v>
      </c>
      <c r="AL14" s="50">
        <f>AL37/AH37-1</f>
        <v>0.3315150365240489</v>
      </c>
      <c r="AM14" s="50">
        <f t="shared" ref="AM14:BB14" si="18">AM8/AI8-1</f>
        <v>0.47550318543158365</v>
      </c>
      <c r="AN14" s="50">
        <f t="shared" si="18"/>
        <v>0.5560014983678494</v>
      </c>
      <c r="AO14" s="50">
        <f t="shared" si="18"/>
        <v>0.35118770377270603</v>
      </c>
      <c r="AP14" s="50">
        <f t="shared" si="18"/>
        <v>0.19949413985964171</v>
      </c>
      <c r="AQ14" s="50">
        <f t="shared" si="18"/>
        <v>6.6371174200450911E-2</v>
      </c>
      <c r="AR14" s="50">
        <f t="shared" si="18"/>
        <v>-8.7698180692643568E-3</v>
      </c>
      <c r="AS14" s="50">
        <f t="shared" si="18"/>
        <v>-4.4674250258531556E-2</v>
      </c>
      <c r="AT14" s="50">
        <f t="shared" si="18"/>
        <v>-4.4726916337501144E-2</v>
      </c>
      <c r="AU14" s="50">
        <f t="shared" si="18"/>
        <v>2.6408198366060009E-2</v>
      </c>
      <c r="AV14" s="50">
        <f t="shared" si="18"/>
        <v>0.11022829782804799</v>
      </c>
      <c r="AW14" s="50">
        <f t="shared" si="18"/>
        <v>0.23208486685429741</v>
      </c>
      <c r="AX14" s="50">
        <f t="shared" si="18"/>
        <v>0.24706979636250592</v>
      </c>
      <c r="AY14" s="50">
        <f t="shared" si="18"/>
        <v>0.27264793157619138</v>
      </c>
      <c r="AZ14" s="50">
        <f t="shared" si="18"/>
        <v>0.2210069064658271</v>
      </c>
      <c r="BA14" s="50">
        <f t="shared" si="18"/>
        <v>0.18868974404029748</v>
      </c>
      <c r="BB14" s="50">
        <f t="shared" si="18"/>
        <v>0.20627243717590749</v>
      </c>
      <c r="BC14" s="50">
        <f t="shared" si="10"/>
        <v>0.16071869428062002</v>
      </c>
      <c r="BD14" s="50">
        <f t="shared" si="10"/>
        <v>0.21614496685521223</v>
      </c>
      <c r="BE14" s="50">
        <f t="shared" si="10"/>
        <v>0.26246027248761972</v>
      </c>
      <c r="BF14" s="34"/>
      <c r="BG14" s="34"/>
      <c r="BH14" s="34"/>
      <c r="BI14" s="34"/>
      <c r="BJ14" s="34"/>
      <c r="BP14" s="50">
        <f t="shared" ref="BP14:BV14" si="19">BP37/BO37-1</f>
        <v>0.5468657889565729</v>
      </c>
      <c r="BQ14" s="50">
        <f t="shared" si="19"/>
        <v>0.58358739837398366</v>
      </c>
      <c r="BR14" s="50">
        <f t="shared" si="19"/>
        <v>0.43815177282207607</v>
      </c>
      <c r="BS14" s="50">
        <f t="shared" si="19"/>
        <v>0.54161088799643009</v>
      </c>
      <c r="BT14" s="50">
        <f t="shared" si="19"/>
        <v>0.47090961719371882</v>
      </c>
      <c r="BU14" s="50">
        <f t="shared" si="19"/>
        <v>0.37352716896661997</v>
      </c>
      <c r="BV14" s="50">
        <f t="shared" si="19"/>
        <v>0.26610910132884413</v>
      </c>
      <c r="BW14" s="50">
        <f>BW37/BV37-1</f>
        <v>0.21596390228722573</v>
      </c>
      <c r="BX14" s="50">
        <f t="shared" si="11"/>
        <v>0.37182574303495608</v>
      </c>
      <c r="BY14" s="50">
        <f t="shared" si="11"/>
        <v>-1.1193175554782941E-2</v>
      </c>
      <c r="BZ14" s="50">
        <f t="shared" si="11"/>
        <v>0.15687468377226454</v>
      </c>
      <c r="CA14" s="50">
        <f t="shared" si="13"/>
        <v>0.21941112807816054</v>
      </c>
      <c r="CB14" s="66">
        <f>CB8/CA8-1</f>
        <v>0.21799952583874882</v>
      </c>
      <c r="CC14" s="66">
        <f t="shared" ref="CC14:CK14" si="20">CC8/CB8-1</f>
        <v>0.18268619510652062</v>
      </c>
      <c r="CD14" s="66">
        <f t="shared" si="20"/>
        <v>0.15024889050427626</v>
      </c>
      <c r="CE14" s="66">
        <f t="shared" si="20"/>
        <v>0.13041653442449408</v>
      </c>
      <c r="CF14" s="66">
        <f t="shared" si="20"/>
        <v>0.12554877201190284</v>
      </c>
      <c r="CG14" s="66">
        <f t="shared" si="20"/>
        <v>0.12059515356486816</v>
      </c>
      <c r="CH14" s="66">
        <f t="shared" si="20"/>
        <v>0.11562140179268909</v>
      </c>
      <c r="CI14" s="66">
        <f t="shared" si="20"/>
        <v>0.11062874100153985</v>
      </c>
      <c r="CJ14" s="66">
        <f t="shared" si="20"/>
        <v>0.1056183657403047</v>
      </c>
      <c r="CK14" s="66">
        <f t="shared" si="20"/>
        <v>9.572815683233693E-2</v>
      </c>
      <c r="CL14" s="34"/>
      <c r="CM14" s="34"/>
      <c r="CN14" s="34"/>
      <c r="CO14" s="34"/>
      <c r="CP14" s="34"/>
      <c r="CQ14" s="34"/>
      <c r="CR14" s="34"/>
      <c r="CS14" s="34"/>
      <c r="CT14" s="34"/>
      <c r="CU14" s="34"/>
      <c r="CV14" s="34"/>
      <c r="CW14" s="34"/>
      <c r="CX14" s="34"/>
      <c r="CY14" s="34"/>
      <c r="CZ14" s="34"/>
      <c r="DA14" s="34"/>
      <c r="DB14" s="34"/>
      <c r="DC14" s="34"/>
      <c r="DD14" s="34"/>
      <c r="DE14" s="34"/>
      <c r="DF14" s="34"/>
      <c r="DG14" s="34"/>
      <c r="DH14" s="34"/>
      <c r="DI14" s="34"/>
      <c r="DJ14" s="34"/>
      <c r="DK14" s="34"/>
      <c r="DL14" s="34"/>
      <c r="DM14" s="34"/>
      <c r="DN14" s="34"/>
      <c r="DO14" s="34"/>
      <c r="DP14" s="34"/>
      <c r="DQ14" s="34"/>
      <c r="DR14" s="34"/>
      <c r="DS14" s="34"/>
      <c r="DT14" s="34"/>
      <c r="DU14" s="34"/>
      <c r="DV14" s="34"/>
      <c r="DW14" s="34"/>
      <c r="DX14" s="34"/>
      <c r="DY14" s="34"/>
      <c r="DZ14" s="34"/>
      <c r="EA14" s="34"/>
      <c r="EB14" s="34"/>
      <c r="EC14" s="34"/>
      <c r="ED14" s="34"/>
      <c r="EE14" s="34"/>
      <c r="EF14" s="34"/>
      <c r="EG14" s="34"/>
      <c r="EH14" s="34"/>
      <c r="EI14" s="34"/>
      <c r="EJ14" s="34"/>
      <c r="EK14" s="34"/>
    </row>
    <row r="15" spans="2:142">
      <c r="BE15" s="1"/>
    </row>
    <row r="16" spans="2:142">
      <c r="B16" s="36" t="s">
        <v>230</v>
      </c>
      <c r="AI16" s="47">
        <f t="shared" ref="AI16:BB16" si="21">AI4/AI8</f>
        <v>0.98325534194057618</v>
      </c>
      <c r="AJ16" s="47">
        <f t="shared" si="21"/>
        <v>0.98041419168405841</v>
      </c>
      <c r="AK16" s="47">
        <f t="shared" si="21"/>
        <v>0.98840242198416395</v>
      </c>
      <c r="AL16" s="47">
        <f t="shared" si="21"/>
        <v>0.96850842506501367</v>
      </c>
      <c r="AM16" s="47">
        <f t="shared" si="21"/>
        <v>0.97203010966336789</v>
      </c>
      <c r="AN16" s="47">
        <f t="shared" si="21"/>
        <v>0.98290745262578672</v>
      </c>
      <c r="AO16" s="47">
        <f t="shared" si="21"/>
        <v>0.97469837986901064</v>
      </c>
      <c r="AP16" s="47">
        <f t="shared" si="21"/>
        <v>0.96935047964123433</v>
      </c>
      <c r="AQ16" s="47">
        <f t="shared" si="21"/>
        <v>0.96739286226171706</v>
      </c>
      <c r="AR16" s="47">
        <f t="shared" si="21"/>
        <v>0.97675386857261814</v>
      </c>
      <c r="AS16" s="47">
        <f t="shared" si="21"/>
        <v>0.98278848235548821</v>
      </c>
      <c r="AT16" s="47">
        <f t="shared" si="21"/>
        <v>0.97170837867247006</v>
      </c>
      <c r="AU16" s="47">
        <f t="shared" si="21"/>
        <v>0.9810089020771513</v>
      </c>
      <c r="AV16" s="47">
        <f t="shared" si="21"/>
        <v>0.98434326072689771</v>
      </c>
      <c r="AW16" s="47">
        <f t="shared" si="21"/>
        <v>0.98526913840566976</v>
      </c>
      <c r="AX16" s="47">
        <f t="shared" si="21"/>
        <v>0.96494814519345828</v>
      </c>
      <c r="AY16" s="47">
        <f t="shared" si="21"/>
        <v>0.97750651488136053</v>
      </c>
      <c r="AZ16" s="47">
        <f t="shared" si="21"/>
        <v>0.9810089324562975</v>
      </c>
      <c r="BA16" s="47">
        <f t="shared" si="21"/>
        <v>0.98265539924610112</v>
      </c>
      <c r="BB16" s="47">
        <f t="shared" si="21"/>
        <v>0.96689124953498951</v>
      </c>
      <c r="BC16" s="47">
        <f>BC4/BC8</f>
        <v>0.97821052134045472</v>
      </c>
      <c r="BD16" s="47">
        <f>BD4/BD8</f>
        <v>0.97994359794595509</v>
      </c>
      <c r="BE16" s="47">
        <f>BE4/BE8</f>
        <v>0.97736231997189804</v>
      </c>
      <c r="BW16" s="47">
        <f t="shared" ref="BW16:BZ16" si="22">BW4/BW8</f>
        <v>0.97910777642063629</v>
      </c>
      <c r="BX16" s="47">
        <f t="shared" si="22"/>
        <v>0.97460336304047346</v>
      </c>
      <c r="BY16" s="47">
        <f t="shared" si="22"/>
        <v>0.97455599482029687</v>
      </c>
      <c r="BZ16" s="47">
        <f t="shared" si="22"/>
        <v>0.97810262264458647</v>
      </c>
      <c r="CA16" s="47">
        <f>CA4/CA8</f>
        <v>0.97648646512787152</v>
      </c>
      <c r="CB16" s="57">
        <f t="shared" ref="CB16:CK16" si="23">CB4/CB8</f>
        <v>0.97809027194458986</v>
      </c>
      <c r="CC16" s="57">
        <f t="shared" si="23"/>
        <v>0.97586876863026717</v>
      </c>
      <c r="CD16" s="57">
        <f t="shared" si="23"/>
        <v>0.97565761044360255</v>
      </c>
      <c r="CE16" s="57">
        <f t="shared" si="23"/>
        <v>0.97529810138752138</v>
      </c>
      <c r="CF16" s="57">
        <f t="shared" si="23"/>
        <v>0.97482258551951795</v>
      </c>
      <c r="CG16" s="57">
        <f t="shared" si="23"/>
        <v>0.97430485247824938</v>
      </c>
      <c r="CH16" s="57">
        <f t="shared" si="23"/>
        <v>0.97376216408863736</v>
      </c>
      <c r="CI16" s="57">
        <f t="shared" si="23"/>
        <v>0.97321090499033736</v>
      </c>
      <c r="CJ16" s="57">
        <f t="shared" si="23"/>
        <v>0.97266659395102684</v>
      </c>
      <c r="CK16" s="57">
        <f t="shared" si="23"/>
        <v>0.97202021663421234</v>
      </c>
    </row>
    <row r="17" spans="2:141">
      <c r="B17" s="36" t="s">
        <v>231</v>
      </c>
      <c r="AI17" s="47">
        <f t="shared" ref="AI17:BB17" si="24">AI5/AI8</f>
        <v>1.6744658059423802E-2</v>
      </c>
      <c r="AJ17" s="47">
        <f t="shared" si="24"/>
        <v>1.9585808315941564E-2</v>
      </c>
      <c r="AK17" s="47">
        <f t="shared" si="24"/>
        <v>1.159757801583605E-2</v>
      </c>
      <c r="AL17" s="47">
        <f t="shared" si="24"/>
        <v>5.5217127996865095E-3</v>
      </c>
      <c r="AM17" s="47">
        <f t="shared" si="24"/>
        <v>7.5656260746627948E-3</v>
      </c>
      <c r="AN17" s="47">
        <f t="shared" si="24"/>
        <v>6.6031571345049351E-3</v>
      </c>
      <c r="AO17" s="47">
        <f t="shared" si="24"/>
        <v>6.0668734918993454E-3</v>
      </c>
      <c r="AP17" s="47">
        <f t="shared" si="24"/>
        <v>4.6033678833417484E-3</v>
      </c>
      <c r="AQ17" s="47">
        <f t="shared" si="24"/>
        <v>7.7038841909130001E-3</v>
      </c>
      <c r="AR17" s="47">
        <f t="shared" si="24"/>
        <v>7.563666643536188E-3</v>
      </c>
      <c r="AS17" s="47">
        <f t="shared" si="24"/>
        <v>6.9279064732626107E-3</v>
      </c>
      <c r="AT17" s="47">
        <f t="shared" si="24"/>
        <v>5.6894139592725008E-3</v>
      </c>
      <c r="AU17" s="47">
        <f t="shared" si="24"/>
        <v>7.1565718275440737E-3</v>
      </c>
      <c r="AV17" s="47">
        <f t="shared" si="24"/>
        <v>7.0314697334291701E-3</v>
      </c>
      <c r="AW17" s="47">
        <f t="shared" si="24"/>
        <v>8.5808000937152226E-3</v>
      </c>
      <c r="AX17" s="47">
        <f t="shared" si="24"/>
        <v>8.3516154766653371E-3</v>
      </c>
      <c r="AY17" s="47">
        <f t="shared" si="24"/>
        <v>1.0423810176930462E-2</v>
      </c>
      <c r="AZ17" s="47">
        <f t="shared" si="24"/>
        <v>9.9562335235852673E-3</v>
      </c>
      <c r="BA17" s="47">
        <f t="shared" si="24"/>
        <v>1.0692552169306955E-2</v>
      </c>
      <c r="BB17" s="47">
        <f t="shared" si="24"/>
        <v>1.0726243128177573E-2</v>
      </c>
      <c r="BC17" s="47">
        <f>BC5/BC8</f>
        <v>1.2052748499314647E-2</v>
      </c>
      <c r="BD17" s="47">
        <f>BD5/BD8</f>
        <v>1.2269551309032747E-2</v>
      </c>
      <c r="BE17" s="47">
        <f>BE5/BE8</f>
        <v>1.3465516568439952E-2</v>
      </c>
      <c r="BW17" s="47">
        <f t="shared" ref="BW17:BZ17" si="25">BW5/BW8</f>
        <v>1.2412028150991683E-2</v>
      </c>
      <c r="BX17" s="47">
        <f t="shared" si="25"/>
        <v>6.1138481628776635E-3</v>
      </c>
      <c r="BY17" s="47">
        <f t="shared" si="25"/>
        <v>6.9291392602629301E-3</v>
      </c>
      <c r="BZ17" s="47">
        <f t="shared" si="25"/>
        <v>7.8427302782760819E-3</v>
      </c>
      <c r="CA17" s="47">
        <f>CA5/CA8</f>
        <v>1.0468021470994097E-2</v>
      </c>
      <c r="CB17" s="57">
        <f t="shared" ref="CB17:CK17" si="26">CB5/CB8</f>
        <v>1.2805712696021314E-2</v>
      </c>
      <c r="CC17" s="57">
        <f t="shared" si="26"/>
        <v>1.4509051584155042E-2</v>
      </c>
      <c r="CD17" s="57">
        <f t="shared" si="26"/>
        <v>1.5893434148865532E-2</v>
      </c>
      <c r="CE17" s="57">
        <f t="shared" si="26"/>
        <v>1.715296005599173E-2</v>
      </c>
      <c r="CF17" s="57">
        <f t="shared" si="26"/>
        <v>1.813517368078502E-2</v>
      </c>
      <c r="CG17" s="57">
        <f t="shared" si="26"/>
        <v>1.9096553180021906E-2</v>
      </c>
      <c r="CH17" s="57">
        <f t="shared" si="26"/>
        <v>2.0027374147468642E-2</v>
      </c>
      <c r="CI17" s="57">
        <f t="shared" si="26"/>
        <v>2.0917659658360503E-2</v>
      </c>
      <c r="CJ17" s="57">
        <f t="shared" si="26"/>
        <v>2.1757334494898261E-2</v>
      </c>
      <c r="CK17" s="57">
        <f t="shared" si="26"/>
        <v>2.2636418686080469E-2</v>
      </c>
    </row>
    <row r="18" spans="2:141">
      <c r="B18" s="36" t="s">
        <v>229</v>
      </c>
      <c r="AI18" s="47">
        <f t="shared" ref="AI18:BB18" si="27">AI7/AI8</f>
        <v>0</v>
      </c>
      <c r="AJ18" s="47">
        <f t="shared" si="27"/>
        <v>0</v>
      </c>
      <c r="AK18" s="47">
        <f t="shared" si="27"/>
        <v>0</v>
      </c>
      <c r="AL18" s="47">
        <f t="shared" si="27"/>
        <v>2.5969862135299775E-2</v>
      </c>
      <c r="AM18" s="47">
        <f t="shared" si="27"/>
        <v>2.0404264261969354E-2</v>
      </c>
      <c r="AN18" s="47">
        <f t="shared" si="27"/>
        <v>1.048939023970836E-2</v>
      </c>
      <c r="AO18" s="47">
        <f t="shared" si="27"/>
        <v>1.9234746639089969E-2</v>
      </c>
      <c r="AP18" s="47">
        <f t="shared" si="27"/>
        <v>2.6046152475423957E-2</v>
      </c>
      <c r="AQ18" s="47">
        <f t="shared" si="27"/>
        <v>2.4903253547369931E-2</v>
      </c>
      <c r="AR18" s="47">
        <f t="shared" si="27"/>
        <v>1.5682464783845673E-2</v>
      </c>
      <c r="AS18" s="47">
        <f t="shared" si="27"/>
        <v>1.0283611171249188E-2</v>
      </c>
      <c r="AT18" s="47">
        <f t="shared" si="27"/>
        <v>2.2602207368257424E-2</v>
      </c>
      <c r="AU18" s="47">
        <f t="shared" si="27"/>
        <v>1.183452609530459E-2</v>
      </c>
      <c r="AV18" s="47">
        <f t="shared" si="27"/>
        <v>8.6252695396731149E-3</v>
      </c>
      <c r="AW18" s="47">
        <f t="shared" si="27"/>
        <v>6.1500615006150061E-3</v>
      </c>
      <c r="AX18" s="47">
        <f t="shared" si="27"/>
        <v>2.6700239329876346E-2</v>
      </c>
      <c r="AY18" s="47">
        <f t="shared" si="27"/>
        <v>1.2069674941708956E-2</v>
      </c>
      <c r="AZ18" s="47">
        <f t="shared" si="27"/>
        <v>9.0348340201172224E-3</v>
      </c>
      <c r="BA18" s="47">
        <f t="shared" si="27"/>
        <v>6.6520485845918843E-3</v>
      </c>
      <c r="BB18" s="47">
        <f t="shared" si="27"/>
        <v>2.2382507336832967E-2</v>
      </c>
      <c r="BC18" s="47">
        <f>BC7/BC8</f>
        <v>9.7367301602306559E-3</v>
      </c>
      <c r="BD18" s="47">
        <f>BD7/BD8</f>
        <v>7.7868507450122061E-3</v>
      </c>
      <c r="BE18" s="47">
        <f>BE7/BE8</f>
        <v>9.1721634596619965E-3</v>
      </c>
      <c r="BW18" s="47">
        <f t="shared" ref="BW18:BZ18" si="28">BW7/BW8</f>
        <v>8.4801954283720126E-3</v>
      </c>
      <c r="BX18" s="47">
        <f t="shared" si="28"/>
        <v>1.9282788796648832E-2</v>
      </c>
      <c r="BY18" s="47">
        <f t="shared" si="28"/>
        <v>1.8514865919440182E-2</v>
      </c>
      <c r="BZ18" s="47">
        <f t="shared" si="28"/>
        <v>1.4054647077137477E-2</v>
      </c>
      <c r="CA18" s="47">
        <f>CA7/CA8</f>
        <v>1.3045513401134339E-2</v>
      </c>
      <c r="CB18" s="57">
        <f t="shared" ref="CB18:CK18" si="29">CB7/CB8</f>
        <v>9.1040153593887532E-3</v>
      </c>
      <c r="CC18" s="57">
        <f t="shared" si="29"/>
        <v>9.6221797855778491E-3</v>
      </c>
      <c r="CD18" s="57">
        <f t="shared" si="29"/>
        <v>8.4489554075318617E-3</v>
      </c>
      <c r="CE18" s="57">
        <f t="shared" si="29"/>
        <v>7.5489385564867376E-3</v>
      </c>
      <c r="CF18" s="57">
        <f t="shared" si="29"/>
        <v>7.0422407996969969E-3</v>
      </c>
      <c r="CG18" s="57">
        <f t="shared" si="29"/>
        <v>6.5985943417287921E-3</v>
      </c>
      <c r="CH18" s="57">
        <f t="shared" si="29"/>
        <v>6.2104617638939208E-3</v>
      </c>
      <c r="CI18" s="57">
        <f t="shared" si="29"/>
        <v>5.8714353513021292E-3</v>
      </c>
      <c r="CJ18" s="57">
        <f t="shared" si="29"/>
        <v>5.5760715540748487E-3</v>
      </c>
      <c r="CK18" s="57">
        <f t="shared" si="29"/>
        <v>5.3433646797072104E-3</v>
      </c>
    </row>
    <row r="19" spans="2:141">
      <c r="BE19" s="1"/>
    </row>
    <row r="20" spans="2:141">
      <c r="B20" s="46" t="s">
        <v>106</v>
      </c>
      <c r="AI20" s="1">
        <v>8012</v>
      </c>
      <c r="AJ20" s="1">
        <v>8292</v>
      </c>
      <c r="AK20" s="1">
        <v>9229</v>
      </c>
      <c r="AL20" s="1">
        <f>38433-SUM(AI20:AK20)</f>
        <v>12900</v>
      </c>
      <c r="AM20" s="1">
        <v>11436</v>
      </c>
      <c r="AN20" s="1">
        <v>12612</v>
      </c>
      <c r="AO20" s="1">
        <v>12668</v>
      </c>
      <c r="AP20" s="1">
        <f>51541-SUM(AM20:AO20)</f>
        <v>14825</v>
      </c>
      <c r="AQ20" s="1">
        <v>11780</v>
      </c>
      <c r="AR20" s="1">
        <v>12186</v>
      </c>
      <c r="AS20" s="1">
        <v>11966</v>
      </c>
      <c r="AT20" s="1">
        <f>50150-SUM(AQ20:AS20)</f>
        <v>14218</v>
      </c>
      <c r="AU20" s="1">
        <v>11449</v>
      </c>
      <c r="AV20" s="1">
        <v>12404</v>
      </c>
      <c r="AW20" s="1">
        <v>12908</v>
      </c>
      <c r="AX20" s="1">
        <f>52888-SUM(AU20:AW20)</f>
        <v>16127</v>
      </c>
      <c r="AY20" s="1">
        <v>13646</v>
      </c>
      <c r="AZ20" s="1">
        <v>14640</v>
      </c>
      <c r="BA20" s="1">
        <v>15619</v>
      </c>
      <c r="BB20" s="1">
        <f>63207-SUM(AY20:BA20)</f>
        <v>19302</v>
      </c>
      <c r="BC20" s="1">
        <v>16869</v>
      </c>
      <c r="BD20" s="1">
        <v>18454</v>
      </c>
      <c r="BE20" s="1">
        <v>18454</v>
      </c>
      <c r="BW20" s="1">
        <f>SUM(AI20:AL20)</f>
        <v>38433</v>
      </c>
      <c r="BX20" s="1">
        <f>SUM(AM20:AP20)</f>
        <v>51541</v>
      </c>
      <c r="BY20" s="1">
        <f>SUM(AQ20:AT20)</f>
        <v>50150</v>
      </c>
      <c r="BZ20" s="1">
        <f>SUM(AU20:AX20)</f>
        <v>52888</v>
      </c>
      <c r="CA20" s="1">
        <f>SUM(AY20:BB20)</f>
        <v>63207</v>
      </c>
    </row>
    <row r="21" spans="2:141">
      <c r="B21" s="46" t="s">
        <v>210</v>
      </c>
      <c r="AI21" s="1">
        <v>4150</v>
      </c>
      <c r="AJ21" s="1">
        <v>4249</v>
      </c>
      <c r="AK21" s="1">
        <v>5055</v>
      </c>
      <c r="AL21" s="1">
        <f>20349-SUM(AI21:AK21)</f>
        <v>6895</v>
      </c>
      <c r="AM21" s="1">
        <v>6384</v>
      </c>
      <c r="AN21" s="1">
        <v>7220</v>
      </c>
      <c r="AO21" s="1">
        <v>7018</v>
      </c>
      <c r="AP21" s="1">
        <f>29057-SUM(AM21:AO21)</f>
        <v>8435</v>
      </c>
      <c r="AQ21" s="1">
        <v>6638</v>
      </c>
      <c r="AR21" s="1">
        <v>6650</v>
      </c>
      <c r="AS21" s="1">
        <v>5996</v>
      </c>
      <c r="AT21" s="1">
        <f>26681-SUM(AQ21:AS21)</f>
        <v>7397</v>
      </c>
      <c r="AU21" s="1">
        <v>6759</v>
      </c>
      <c r="AV21" s="1">
        <v>7515</v>
      </c>
      <c r="AW21" s="1">
        <v>7578</v>
      </c>
      <c r="AX21" s="1">
        <f>31210-SUM(AU21:AW21)</f>
        <v>9358</v>
      </c>
      <c r="AY21" s="1">
        <v>8404</v>
      </c>
      <c r="AZ21" s="1">
        <v>9153</v>
      </c>
      <c r="BA21" s="1">
        <v>9205</v>
      </c>
      <c r="BB21" s="1">
        <f>38361-SUM(AY21:BA21)</f>
        <v>11599</v>
      </c>
      <c r="BC21" s="1">
        <v>9621</v>
      </c>
      <c r="BD21" s="1">
        <v>11128</v>
      </c>
      <c r="BE21" s="1">
        <v>11128</v>
      </c>
      <c r="BW21" s="1">
        <f>SUM(AI21:AL21)</f>
        <v>20349</v>
      </c>
      <c r="BX21" s="1">
        <f>SUM(AM21:AP21)</f>
        <v>29057</v>
      </c>
      <c r="BY21" s="1">
        <f>SUM(AQ21:AT21)</f>
        <v>26681</v>
      </c>
      <c r="BZ21" s="1">
        <f>SUM(AU21:AX21)</f>
        <v>31210</v>
      </c>
      <c r="CA21" s="1">
        <f>SUM(AY21:BB21)</f>
        <v>38361</v>
      </c>
    </row>
    <row r="22" spans="2:141">
      <c r="B22" s="46" t="s">
        <v>211</v>
      </c>
      <c r="AI22" s="1">
        <v>3971</v>
      </c>
      <c r="AJ22" s="1">
        <v>4611</v>
      </c>
      <c r="AK22" s="1">
        <v>5311</v>
      </c>
      <c r="AL22" s="1">
        <f>19848-SUM(AI22:AK22)</f>
        <v>5955</v>
      </c>
      <c r="AM22" s="1">
        <v>6101</v>
      </c>
      <c r="AN22" s="1">
        <v>6677</v>
      </c>
      <c r="AO22" s="1">
        <v>6592</v>
      </c>
      <c r="AP22" s="1">
        <f>26739-SUM(AM22:AO22)</f>
        <v>7369</v>
      </c>
      <c r="AQ22" s="1">
        <v>6722</v>
      </c>
      <c r="AR22" s="1">
        <v>6960</v>
      </c>
      <c r="AS22" s="1">
        <v>6797</v>
      </c>
      <c r="AT22" s="1">
        <f>27760-SUM(AQ22:AS22)</f>
        <v>7281</v>
      </c>
      <c r="AU22" s="1">
        <v>7292</v>
      </c>
      <c r="AV22" s="1">
        <v>8551</v>
      </c>
      <c r="AW22" s="1">
        <v>9790</v>
      </c>
      <c r="AX22" s="1">
        <f>36154-SUM(AU22:AW22)</f>
        <v>10521</v>
      </c>
      <c r="AY22" s="1">
        <v>10312</v>
      </c>
      <c r="AZ22" s="1">
        <v>10967</v>
      </c>
      <c r="BA22" s="1">
        <v>11243</v>
      </c>
      <c r="BB22" s="1">
        <f>45009-SUM(AY22:BA22)</f>
        <v>12487</v>
      </c>
      <c r="BC22" s="1">
        <v>11239</v>
      </c>
      <c r="BD22" s="1">
        <v>12858</v>
      </c>
      <c r="BE22" s="1">
        <v>12858</v>
      </c>
      <c r="BW22" s="1">
        <f>SUM(AI22:AL22)</f>
        <v>19848</v>
      </c>
      <c r="BX22" s="1">
        <f>SUM(AM22:AP22)</f>
        <v>26739</v>
      </c>
      <c r="BY22" s="1">
        <f>SUM(AQ22:AT22)</f>
        <v>27760</v>
      </c>
      <c r="BZ22" s="1">
        <f>SUM(AU22:AX22)</f>
        <v>36154</v>
      </c>
      <c r="CA22" s="1">
        <f>SUM(AY22:BB22)</f>
        <v>45009</v>
      </c>
    </row>
    <row r="23" spans="2:141">
      <c r="B23" s="46" t="s">
        <v>212</v>
      </c>
      <c r="AI23" s="1">
        <v>1604</v>
      </c>
      <c r="AJ23" s="1">
        <v>1535</v>
      </c>
      <c r="AK23" s="1">
        <v>1875</v>
      </c>
      <c r="AL23" s="1">
        <f>7335-SUM(AI23:AK23)</f>
        <v>2321</v>
      </c>
      <c r="AM23" s="1">
        <v>2250</v>
      </c>
      <c r="AN23" s="1">
        <v>2568</v>
      </c>
      <c r="AO23" s="1">
        <v>2732</v>
      </c>
      <c r="AP23" s="1">
        <f>10592-SUM(AM23:AO23)</f>
        <v>3042</v>
      </c>
      <c r="AQ23" s="1">
        <v>2768</v>
      </c>
      <c r="AR23" s="1">
        <v>3026</v>
      </c>
      <c r="AS23" s="1">
        <v>2955</v>
      </c>
      <c r="AT23" s="1">
        <f>12018-SUM(AQ23:AS23)</f>
        <v>3269</v>
      </c>
      <c r="AU23" s="1">
        <v>3145</v>
      </c>
      <c r="AV23" s="1">
        <v>3529</v>
      </c>
      <c r="AW23" s="1">
        <v>3870</v>
      </c>
      <c r="AX23" s="1">
        <f>14650-SUM(AU23:AW23)</f>
        <v>4106</v>
      </c>
      <c r="AY23" s="1">
        <v>4093</v>
      </c>
      <c r="AZ23" s="1">
        <v>4311</v>
      </c>
      <c r="BA23" s="1">
        <v>4522</v>
      </c>
      <c r="BB23" s="1">
        <f>17924-SUM(AY23:BA23)</f>
        <v>4998</v>
      </c>
      <c r="BC23" s="1">
        <v>4585</v>
      </c>
      <c r="BD23" s="1">
        <v>5076</v>
      </c>
      <c r="BE23" s="1">
        <v>5076</v>
      </c>
      <c r="BW23" s="1">
        <f>SUM(AI23:AL23)</f>
        <v>7335</v>
      </c>
      <c r="BX23" s="1">
        <f>SUM(AM23:AP23)</f>
        <v>10592</v>
      </c>
      <c r="BY23" s="1">
        <f>SUM(AQ23:AT23)</f>
        <v>12018</v>
      </c>
      <c r="BZ23" s="1">
        <f>SUM(AU23:AX23)</f>
        <v>14650</v>
      </c>
      <c r="CA23" s="1">
        <f>SUM(AY23:BB23)</f>
        <v>17924</v>
      </c>
    </row>
    <row r="24" spans="2:141" s="2" customFormat="1" ht="15">
      <c r="B24" s="2" t="s">
        <v>105</v>
      </c>
      <c r="AI24" s="2">
        <f t="shared" ref="AI24:BB24" si="30">SUM(AI20:AI23)</f>
        <v>17737</v>
      </c>
      <c r="AJ24" s="2">
        <f t="shared" si="30"/>
        <v>18687</v>
      </c>
      <c r="AK24" s="2">
        <f t="shared" si="30"/>
        <v>21470</v>
      </c>
      <c r="AL24" s="2">
        <f t="shared" si="30"/>
        <v>28071</v>
      </c>
      <c r="AM24" s="2">
        <f t="shared" si="30"/>
        <v>26171</v>
      </c>
      <c r="AN24" s="2">
        <f t="shared" si="30"/>
        <v>29077</v>
      </c>
      <c r="AO24" s="2">
        <f t="shared" si="30"/>
        <v>29010</v>
      </c>
      <c r="AP24" s="2">
        <f t="shared" si="30"/>
        <v>33671</v>
      </c>
      <c r="AQ24" s="2">
        <f t="shared" si="30"/>
        <v>27908</v>
      </c>
      <c r="AR24" s="2">
        <f t="shared" si="30"/>
        <v>28822</v>
      </c>
      <c r="AS24" s="2">
        <f t="shared" si="30"/>
        <v>27714</v>
      </c>
      <c r="AT24" s="2">
        <f t="shared" si="30"/>
        <v>32165</v>
      </c>
      <c r="AU24" s="2">
        <f t="shared" si="30"/>
        <v>28645</v>
      </c>
      <c r="AV24" s="2">
        <f t="shared" si="30"/>
        <v>31999</v>
      </c>
      <c r="AW24" s="2">
        <f t="shared" si="30"/>
        <v>34146</v>
      </c>
      <c r="AX24" s="2">
        <f t="shared" si="30"/>
        <v>40112</v>
      </c>
      <c r="AY24" s="2">
        <f t="shared" si="30"/>
        <v>36455</v>
      </c>
      <c r="AZ24" s="2">
        <f t="shared" si="30"/>
        <v>39071</v>
      </c>
      <c r="BA24" s="2">
        <f t="shared" si="30"/>
        <v>40589</v>
      </c>
      <c r="BB24" s="2">
        <f t="shared" si="30"/>
        <v>48386</v>
      </c>
      <c r="BC24" s="2">
        <f>SUM(BC20:BC23)</f>
        <v>42314</v>
      </c>
      <c r="BD24" s="2">
        <f>SUM(BD20:BD23)</f>
        <v>47516</v>
      </c>
      <c r="BE24" s="2">
        <f>SUM(BE20:BE23)</f>
        <v>47516</v>
      </c>
      <c r="BF24" s="34"/>
      <c r="BG24" s="34"/>
      <c r="BH24" s="34"/>
      <c r="BI24" s="34"/>
      <c r="BJ24" s="34"/>
      <c r="BW24" s="2">
        <f>SUM(AI24:AL24)</f>
        <v>85965</v>
      </c>
      <c r="BX24" s="2">
        <f>SUM(AM24:AP24)</f>
        <v>117929</v>
      </c>
      <c r="BY24" s="2">
        <f>SUM(AQ24:AT24)</f>
        <v>116609</v>
      </c>
      <c r="BZ24" s="2">
        <f>SUM(AU24:AX24)</f>
        <v>134902</v>
      </c>
      <c r="CA24" s="2">
        <f>SUM(AY24:BB24)</f>
        <v>164501</v>
      </c>
      <c r="CB24" s="34"/>
      <c r="CC24" s="34"/>
      <c r="CD24" s="34"/>
      <c r="CE24" s="34"/>
      <c r="CF24" s="34"/>
      <c r="CG24" s="34"/>
      <c r="CH24" s="34"/>
      <c r="CI24" s="34"/>
      <c r="CJ24" s="34"/>
      <c r="CK24" s="34"/>
      <c r="CL24" s="34"/>
      <c r="CM24" s="34"/>
      <c r="CN24" s="34"/>
      <c r="CO24" s="34"/>
      <c r="CP24" s="34"/>
      <c r="CQ24" s="34"/>
      <c r="CR24" s="34"/>
      <c r="CS24" s="34"/>
      <c r="CT24" s="34"/>
      <c r="CU24" s="34"/>
      <c r="CV24" s="34"/>
      <c r="CW24" s="34"/>
      <c r="CX24" s="34"/>
      <c r="CY24" s="34"/>
      <c r="CZ24" s="34"/>
      <c r="DA24" s="34"/>
      <c r="DB24" s="34"/>
      <c r="DC24" s="34"/>
      <c r="DD24" s="34"/>
      <c r="DE24" s="34"/>
      <c r="DF24" s="34"/>
      <c r="DG24" s="34"/>
      <c r="DH24" s="34"/>
      <c r="DI24" s="34"/>
      <c r="DJ24" s="34"/>
      <c r="DK24" s="34"/>
      <c r="DL24" s="34"/>
      <c r="DM24" s="34"/>
      <c r="DN24" s="34"/>
      <c r="DO24" s="34"/>
      <c r="DP24" s="34"/>
      <c r="DQ24" s="34"/>
      <c r="DR24" s="34"/>
      <c r="DS24" s="34"/>
      <c r="DT24" s="34"/>
      <c r="DU24" s="34"/>
      <c r="DV24" s="34"/>
      <c r="DW24" s="34"/>
      <c r="DX24" s="34"/>
      <c r="DY24" s="34"/>
      <c r="DZ24" s="34"/>
      <c r="EA24" s="34"/>
      <c r="EB24" s="34"/>
      <c r="EC24" s="34"/>
      <c r="ED24" s="34"/>
      <c r="EE24" s="34"/>
      <c r="EF24" s="34"/>
      <c r="EG24" s="34"/>
      <c r="EH24" s="34"/>
      <c r="EI24" s="34"/>
      <c r="EJ24" s="34"/>
      <c r="EK24" s="34"/>
    </row>
    <row r="25" spans="2:141">
      <c r="BE25" s="1"/>
    </row>
    <row r="26" spans="2:141">
      <c r="B26" s="46" t="s">
        <v>108</v>
      </c>
      <c r="AM26" s="47">
        <f t="shared" ref="AM26:BB26" si="31">AM20/AI20-1</f>
        <v>0.4273589615576634</v>
      </c>
      <c r="AN26" s="47">
        <f t="shared" si="31"/>
        <v>0.52098408104196814</v>
      </c>
      <c r="AO26" s="47">
        <f t="shared" si="31"/>
        <v>0.37262975403619025</v>
      </c>
      <c r="AP26" s="47">
        <f t="shared" si="31"/>
        <v>0.14922480620155043</v>
      </c>
      <c r="AQ26" s="47">
        <f t="shared" si="31"/>
        <v>3.00804477089891E-2</v>
      </c>
      <c r="AR26" s="47">
        <f t="shared" si="31"/>
        <v>-3.3777354900095147E-2</v>
      </c>
      <c r="AS26" s="47">
        <f t="shared" si="31"/>
        <v>-5.5415219450584141E-2</v>
      </c>
      <c r="AT26" s="47">
        <f t="shared" si="31"/>
        <v>-4.0944350758853276E-2</v>
      </c>
      <c r="AU26" s="47">
        <f t="shared" si="31"/>
        <v>-2.8098471986417684E-2</v>
      </c>
      <c r="AV26" s="47">
        <f t="shared" si="31"/>
        <v>1.7889381257180315E-2</v>
      </c>
      <c r="AW26" s="47">
        <f t="shared" si="31"/>
        <v>7.8723048637807214E-2</v>
      </c>
      <c r="AX26" s="47">
        <f t="shared" si="31"/>
        <v>0.13426642284428181</v>
      </c>
      <c r="AY26" s="47">
        <f t="shared" si="31"/>
        <v>0.1918944886016245</v>
      </c>
      <c r="AZ26" s="47">
        <f t="shared" si="31"/>
        <v>0.18026443082876487</v>
      </c>
      <c r="BA26" s="47">
        <f t="shared" si="31"/>
        <v>0.21002479082739378</v>
      </c>
      <c r="BB26" s="47">
        <f t="shared" si="31"/>
        <v>0.19687480622558451</v>
      </c>
      <c r="BC26" s="47">
        <f t="shared" ref="BC26:BE30" si="32">BC20/AY20-1</f>
        <v>0.23618642825736469</v>
      </c>
      <c r="BD26" s="47">
        <f t="shared" si="32"/>
        <v>0.26051912568306013</v>
      </c>
      <c r="BE26" s="47">
        <f t="shared" si="32"/>
        <v>0.18150969972469433</v>
      </c>
      <c r="BW26" s="47"/>
      <c r="BX26" s="47">
        <f t="shared" ref="BX26:BZ30" si="33">BX20/BW20-1</f>
        <v>0.34106106731194541</v>
      </c>
      <c r="BY26" s="47">
        <f t="shared" si="33"/>
        <v>-2.6988222968122422E-2</v>
      </c>
      <c r="BZ26" s="47">
        <f t="shared" si="33"/>
        <v>5.4596211365902203E-2</v>
      </c>
      <c r="CA26" s="47">
        <f>CA20/BZ20-1</f>
        <v>0.1951104220238995</v>
      </c>
    </row>
    <row r="27" spans="2:141">
      <c r="B27" s="46" t="s">
        <v>213</v>
      </c>
      <c r="AM27" s="47">
        <f t="shared" ref="AM27:BB27" si="34">AM21/AI21-1</f>
        <v>0.53831325301204824</v>
      </c>
      <c r="AN27" s="47">
        <f t="shared" si="34"/>
        <v>0.69922334666980457</v>
      </c>
      <c r="AO27" s="47">
        <f t="shared" si="34"/>
        <v>0.38832838773491596</v>
      </c>
      <c r="AP27" s="47">
        <f t="shared" si="34"/>
        <v>0.2233502538071066</v>
      </c>
      <c r="AQ27" s="47">
        <f t="shared" si="34"/>
        <v>3.978696741854626E-2</v>
      </c>
      <c r="AR27" s="47">
        <f t="shared" si="34"/>
        <v>-7.8947368421052655E-2</v>
      </c>
      <c r="AS27" s="47">
        <f t="shared" si="34"/>
        <v>-0.14562553434026793</v>
      </c>
      <c r="AT27" s="47">
        <f t="shared" si="34"/>
        <v>-0.12305868405453468</v>
      </c>
      <c r="AU27" s="47">
        <f t="shared" si="34"/>
        <v>1.8228382042783986E-2</v>
      </c>
      <c r="AV27" s="47">
        <f t="shared" si="34"/>
        <v>0.1300751879699249</v>
      </c>
      <c r="AW27" s="47">
        <f t="shared" si="34"/>
        <v>0.26384256170780529</v>
      </c>
      <c r="AX27" s="47">
        <f t="shared" si="34"/>
        <v>0.26510747600378526</v>
      </c>
      <c r="AY27" s="47">
        <f t="shared" si="34"/>
        <v>0.24337919810622877</v>
      </c>
      <c r="AZ27" s="47">
        <f t="shared" si="34"/>
        <v>0.21796407185628741</v>
      </c>
      <c r="BA27" s="47">
        <f t="shared" si="34"/>
        <v>0.21470044866719462</v>
      </c>
      <c r="BB27" s="47">
        <f t="shared" si="34"/>
        <v>0.23947424663389616</v>
      </c>
      <c r="BC27" s="47">
        <f t="shared" si="32"/>
        <v>0.14481199428843405</v>
      </c>
      <c r="BD27" s="47">
        <f t="shared" si="32"/>
        <v>0.21577624822462571</v>
      </c>
      <c r="BE27" s="47">
        <f t="shared" si="32"/>
        <v>0.20890820206409555</v>
      </c>
      <c r="BW27" s="47"/>
      <c r="BX27" s="47">
        <f t="shared" si="33"/>
        <v>0.42793257653938777</v>
      </c>
      <c r="BY27" s="47">
        <f t="shared" si="33"/>
        <v>-8.1770313521698723E-2</v>
      </c>
      <c r="BZ27" s="47">
        <f t="shared" si="33"/>
        <v>0.16974626138450577</v>
      </c>
      <c r="CA27" s="47">
        <f t="shared" ref="CA27:CA30" si="35">CA21/BZ21-1</f>
        <v>0.22912528035885926</v>
      </c>
    </row>
    <row r="28" spans="2:141">
      <c r="B28" s="46" t="s">
        <v>214</v>
      </c>
      <c r="AM28" s="47">
        <f t="shared" ref="AM28:BB28" si="36">AM22/AI22-1</f>
        <v>0.5363888189372954</v>
      </c>
      <c r="AN28" s="47">
        <f t="shared" si="36"/>
        <v>0.44805898937323785</v>
      </c>
      <c r="AO28" s="47">
        <f t="shared" si="36"/>
        <v>0.2411975145923555</v>
      </c>
      <c r="AP28" s="47">
        <f t="shared" si="36"/>
        <v>0.23744752308984052</v>
      </c>
      <c r="AQ28" s="47">
        <f t="shared" si="36"/>
        <v>0.1017865923619079</v>
      </c>
      <c r="AR28" s="47">
        <f t="shared" si="36"/>
        <v>4.2384304328291211E-2</v>
      </c>
      <c r="AS28" s="47">
        <f t="shared" si="36"/>
        <v>3.1098300970873849E-2</v>
      </c>
      <c r="AT28" s="47">
        <f t="shared" si="36"/>
        <v>-1.1941918849233235E-2</v>
      </c>
      <c r="AU28" s="47">
        <f t="shared" si="36"/>
        <v>8.4796191609640026E-2</v>
      </c>
      <c r="AV28" s="47">
        <f t="shared" si="36"/>
        <v>0.2285919540229886</v>
      </c>
      <c r="AW28" s="47">
        <f t="shared" si="36"/>
        <v>0.44034132705605411</v>
      </c>
      <c r="AX28" s="47">
        <f t="shared" si="36"/>
        <v>0.44499381953028427</v>
      </c>
      <c r="AY28" s="47">
        <f t="shared" si="36"/>
        <v>0.41415249588590242</v>
      </c>
      <c r="AZ28" s="47">
        <f t="shared" si="36"/>
        <v>0.2825400537948779</v>
      </c>
      <c r="BA28" s="47">
        <f t="shared" si="36"/>
        <v>0.14841675178753833</v>
      </c>
      <c r="BB28" s="47">
        <f t="shared" si="36"/>
        <v>0.18686436650508509</v>
      </c>
      <c r="BC28" s="47">
        <f t="shared" si="32"/>
        <v>8.9895267649340527E-2</v>
      </c>
      <c r="BD28" s="47">
        <f t="shared" si="32"/>
        <v>0.1724263700191484</v>
      </c>
      <c r="BE28" s="47">
        <f t="shared" si="32"/>
        <v>0.1436449346259896</v>
      </c>
      <c r="BW28" s="47"/>
      <c r="BX28" s="47">
        <f t="shared" si="33"/>
        <v>0.34718863361547769</v>
      </c>
      <c r="BY28" s="47">
        <f t="shared" si="33"/>
        <v>3.8183926100452625E-2</v>
      </c>
      <c r="BZ28" s="47">
        <f t="shared" si="33"/>
        <v>0.30237752161383291</v>
      </c>
      <c r="CA28" s="47">
        <f t="shared" si="35"/>
        <v>0.24492448968302272</v>
      </c>
    </row>
    <row r="29" spans="2:141">
      <c r="B29" s="46" t="s">
        <v>215</v>
      </c>
      <c r="AM29" s="47">
        <f t="shared" ref="AM29:BB29" si="37">AM23/AI23-1</f>
        <v>0.40274314214463836</v>
      </c>
      <c r="AN29" s="47">
        <f t="shared" si="37"/>
        <v>0.67296416938110748</v>
      </c>
      <c r="AO29" s="47">
        <f t="shared" si="37"/>
        <v>0.45706666666666673</v>
      </c>
      <c r="AP29" s="47">
        <f t="shared" si="37"/>
        <v>0.31064196467040062</v>
      </c>
      <c r="AQ29" s="47">
        <f t="shared" si="37"/>
        <v>0.23022222222222233</v>
      </c>
      <c r="AR29" s="47">
        <f t="shared" si="37"/>
        <v>0.17834890965732098</v>
      </c>
      <c r="AS29" s="47">
        <f t="shared" si="37"/>
        <v>8.162518301610544E-2</v>
      </c>
      <c r="AT29" s="47">
        <f t="shared" si="37"/>
        <v>7.4621959237343827E-2</v>
      </c>
      <c r="AU29" s="47">
        <f t="shared" si="37"/>
        <v>0.13619942196531798</v>
      </c>
      <c r="AV29" s="47">
        <f t="shared" si="37"/>
        <v>0.16622604097818905</v>
      </c>
      <c r="AW29" s="47">
        <f t="shared" si="37"/>
        <v>0.30964467005076135</v>
      </c>
      <c r="AX29" s="47">
        <f t="shared" si="37"/>
        <v>0.25604160293667788</v>
      </c>
      <c r="AY29" s="47">
        <f t="shared" si="37"/>
        <v>0.30143084260731312</v>
      </c>
      <c r="AZ29" s="47">
        <f t="shared" si="37"/>
        <v>0.22159251912723144</v>
      </c>
      <c r="BA29" s="47">
        <f t="shared" si="37"/>
        <v>0.16847545219638249</v>
      </c>
      <c r="BB29" s="47">
        <f t="shared" si="37"/>
        <v>0.21724305893813933</v>
      </c>
      <c r="BC29" s="47">
        <f t="shared" si="32"/>
        <v>0.120205228438798</v>
      </c>
      <c r="BD29" s="47">
        <f t="shared" si="32"/>
        <v>0.17745302713987465</v>
      </c>
      <c r="BE29" s="47">
        <f t="shared" si="32"/>
        <v>0.12251216275984067</v>
      </c>
      <c r="BW29" s="47"/>
      <c r="BX29" s="47">
        <f t="shared" si="33"/>
        <v>0.44403544648943427</v>
      </c>
      <c r="BY29" s="47">
        <f t="shared" si="33"/>
        <v>0.13462990936555896</v>
      </c>
      <c r="BZ29" s="47">
        <f t="shared" si="33"/>
        <v>0.21900482609419214</v>
      </c>
      <c r="CA29" s="47">
        <f t="shared" si="35"/>
        <v>0.22348122866894204</v>
      </c>
    </row>
    <row r="30" spans="2:141" s="2" customFormat="1" ht="15">
      <c r="B30" s="2" t="s">
        <v>207</v>
      </c>
      <c r="AM30" s="50">
        <f t="shared" ref="AM30:BB30" si="38">AM24/AI24-1</f>
        <v>0.47550318543158365</v>
      </c>
      <c r="AN30" s="50">
        <f t="shared" si="38"/>
        <v>0.5560014983678494</v>
      </c>
      <c r="AO30" s="50">
        <f t="shared" si="38"/>
        <v>0.35118770377270603</v>
      </c>
      <c r="AP30" s="50">
        <f t="shared" si="38"/>
        <v>0.19949413985964171</v>
      </c>
      <c r="AQ30" s="50">
        <f t="shared" si="38"/>
        <v>6.6371174200450911E-2</v>
      </c>
      <c r="AR30" s="50">
        <f t="shared" si="38"/>
        <v>-8.7698180692643568E-3</v>
      </c>
      <c r="AS30" s="50">
        <f t="shared" si="38"/>
        <v>-4.4674250258531556E-2</v>
      </c>
      <c r="AT30" s="50">
        <f t="shared" si="38"/>
        <v>-4.4726916337501144E-2</v>
      </c>
      <c r="AU30" s="50">
        <f t="shared" si="38"/>
        <v>2.6408198366060009E-2</v>
      </c>
      <c r="AV30" s="50">
        <f t="shared" si="38"/>
        <v>0.11022829782804799</v>
      </c>
      <c r="AW30" s="50">
        <f t="shared" si="38"/>
        <v>0.23208486685429741</v>
      </c>
      <c r="AX30" s="50">
        <f t="shared" si="38"/>
        <v>0.24706979636250592</v>
      </c>
      <c r="AY30" s="50">
        <f t="shared" si="38"/>
        <v>0.27264793157619138</v>
      </c>
      <c r="AZ30" s="50">
        <f t="shared" si="38"/>
        <v>0.2210069064658271</v>
      </c>
      <c r="BA30" s="50">
        <f t="shared" si="38"/>
        <v>0.18868974404029748</v>
      </c>
      <c r="BB30" s="50">
        <f t="shared" si="38"/>
        <v>0.20627243717590749</v>
      </c>
      <c r="BC30" s="50">
        <f t="shared" si="32"/>
        <v>0.16071869428062002</v>
      </c>
      <c r="BD30" s="50">
        <f t="shared" si="32"/>
        <v>0.21614496685521223</v>
      </c>
      <c r="BE30" s="50">
        <f t="shared" si="32"/>
        <v>0.17066200202025184</v>
      </c>
      <c r="BF30" s="34"/>
      <c r="BG30" s="34"/>
      <c r="BH30" s="34"/>
      <c r="BI30" s="34"/>
      <c r="BJ30" s="34"/>
      <c r="BW30" s="50"/>
      <c r="BX30" s="50">
        <f t="shared" si="33"/>
        <v>0.37182574303495608</v>
      </c>
      <c r="BY30" s="50">
        <f t="shared" si="33"/>
        <v>-1.1193175554782941E-2</v>
      </c>
      <c r="BZ30" s="50">
        <f t="shared" si="33"/>
        <v>0.15687468377226454</v>
      </c>
      <c r="CA30" s="50">
        <f t="shared" si="35"/>
        <v>0.21941112807816054</v>
      </c>
      <c r="CB30" s="34"/>
      <c r="CC30" s="34"/>
      <c r="CD30" s="34"/>
      <c r="CE30" s="34"/>
      <c r="CF30" s="34"/>
      <c r="CG30" s="34"/>
      <c r="CH30" s="34"/>
      <c r="CI30" s="34"/>
      <c r="CJ30" s="34"/>
      <c r="CK30" s="34"/>
      <c r="CL30" s="34"/>
      <c r="CM30" s="34"/>
      <c r="CN30" s="34"/>
      <c r="CO30" s="34"/>
      <c r="CP30" s="34"/>
      <c r="CQ30" s="34"/>
      <c r="CR30" s="34"/>
      <c r="CS30" s="34"/>
      <c r="CT30" s="34"/>
      <c r="CU30" s="34"/>
      <c r="CV30" s="34"/>
      <c r="CW30" s="34"/>
      <c r="CX30" s="34"/>
      <c r="CY30" s="34"/>
      <c r="CZ30" s="34"/>
      <c r="DA30" s="34"/>
      <c r="DB30" s="34"/>
      <c r="DC30" s="34"/>
      <c r="DD30" s="34"/>
      <c r="DE30" s="34"/>
      <c r="DF30" s="34"/>
      <c r="DG30" s="34"/>
      <c r="DH30" s="34"/>
      <c r="DI30" s="34"/>
      <c r="DJ30" s="34"/>
      <c r="DK30" s="34"/>
      <c r="DL30" s="34"/>
      <c r="DM30" s="34"/>
      <c r="DN30" s="34"/>
      <c r="DO30" s="34"/>
      <c r="DP30" s="34"/>
      <c r="DQ30" s="34"/>
      <c r="DR30" s="34"/>
      <c r="DS30" s="34"/>
      <c r="DT30" s="34"/>
      <c r="DU30" s="34"/>
      <c r="DV30" s="34"/>
      <c r="DW30" s="34"/>
      <c r="DX30" s="34"/>
      <c r="DY30" s="34"/>
      <c r="DZ30" s="34"/>
      <c r="EA30" s="34"/>
      <c r="EB30" s="34"/>
      <c r="EC30" s="34"/>
      <c r="ED30" s="34"/>
      <c r="EE30" s="34"/>
      <c r="EF30" s="34"/>
      <c r="EG30" s="34"/>
      <c r="EH30" s="34"/>
      <c r="EI30" s="34"/>
      <c r="EJ30" s="34"/>
      <c r="EK30" s="34"/>
    </row>
    <row r="31" spans="2:141">
      <c r="BE31" s="1"/>
    </row>
    <row r="32" spans="2:141">
      <c r="B32" s="36" t="s">
        <v>107</v>
      </c>
      <c r="AI32" s="47">
        <f t="shared" ref="AI32:BA32" si="39">AI20/AI24</f>
        <v>0.45171111236398487</v>
      </c>
      <c r="AJ32" s="47">
        <f t="shared" si="39"/>
        <v>0.44373093594477442</v>
      </c>
      <c r="AK32" s="47">
        <f t="shared" si="39"/>
        <v>0.42985561248253379</v>
      </c>
      <c r="AL32" s="47">
        <f t="shared" si="39"/>
        <v>0.45954900074810301</v>
      </c>
      <c r="AM32" s="47">
        <f t="shared" si="39"/>
        <v>0.43697222116082685</v>
      </c>
      <c r="AN32" s="47">
        <f t="shared" si="39"/>
        <v>0.43374488427279295</v>
      </c>
      <c r="AO32" s="47">
        <f t="shared" si="39"/>
        <v>0.43667700792830061</v>
      </c>
      <c r="AP32" s="47">
        <f t="shared" si="39"/>
        <v>0.44028986368091239</v>
      </c>
      <c r="AQ32" s="47">
        <f t="shared" si="39"/>
        <v>0.42210118962304716</v>
      </c>
      <c r="AR32" s="47">
        <f t="shared" si="39"/>
        <v>0.42280202622996321</v>
      </c>
      <c r="AS32" s="47">
        <f t="shared" si="39"/>
        <v>0.43176733780760629</v>
      </c>
      <c r="AT32" s="47">
        <f t="shared" si="39"/>
        <v>0.44203326597233017</v>
      </c>
      <c r="AU32" s="47">
        <f t="shared" si="39"/>
        <v>0.39968580904171758</v>
      </c>
      <c r="AV32" s="47">
        <f t="shared" si="39"/>
        <v>0.38763711365980186</v>
      </c>
      <c r="AW32" s="47">
        <f t="shared" si="39"/>
        <v>0.37802378023780236</v>
      </c>
      <c r="AX32" s="47">
        <f t="shared" si="39"/>
        <v>0.40204926206621461</v>
      </c>
      <c r="AY32" s="47">
        <f t="shared" si="39"/>
        <v>0.37432450966945552</v>
      </c>
      <c r="AZ32" s="47">
        <f t="shared" si="39"/>
        <v>0.3747024647436718</v>
      </c>
      <c r="BA32" s="47">
        <f t="shared" si="39"/>
        <v>0.38480869201015055</v>
      </c>
      <c r="BB32" s="47">
        <f>BB20/BB24</f>
        <v>0.39891704211962137</v>
      </c>
      <c r="BC32" s="47">
        <f>BC20/BC24</f>
        <v>0.39866238124497805</v>
      </c>
      <c r="BD32" s="47">
        <f>BD20/BD24</f>
        <v>0.38837444229312229</v>
      </c>
      <c r="BE32" s="47">
        <f>BE20/BE24</f>
        <v>0.38837444229312229</v>
      </c>
      <c r="BW32" s="47">
        <f t="shared" ref="BW32:BZ32" si="40">BW20/BW24</f>
        <v>0.4470772989007154</v>
      </c>
      <c r="BX32" s="47">
        <f t="shared" si="40"/>
        <v>0.43705110702202171</v>
      </c>
      <c r="BY32" s="47">
        <f t="shared" si="40"/>
        <v>0.43006972017597267</v>
      </c>
      <c r="BZ32" s="47">
        <f t="shared" si="40"/>
        <v>0.39204756045129058</v>
      </c>
      <c r="CA32" s="47">
        <f>CA20/CA24</f>
        <v>0.38423474629333559</v>
      </c>
    </row>
    <row r="33" spans="2:141">
      <c r="B33" s="46" t="s">
        <v>218</v>
      </c>
      <c r="AI33" s="47">
        <f t="shared" ref="AI33:BB33" si="41">AI21/AI24</f>
        <v>0.23397417827141004</v>
      </c>
      <c r="AJ33" s="47">
        <f t="shared" si="41"/>
        <v>0.227377321132338</v>
      </c>
      <c r="AK33" s="47">
        <f t="shared" si="41"/>
        <v>0.23544480670703308</v>
      </c>
      <c r="AL33" s="47">
        <f t="shared" si="41"/>
        <v>0.24562715970218374</v>
      </c>
      <c r="AM33" s="47">
        <f t="shared" si="41"/>
        <v>0.24393412555882465</v>
      </c>
      <c r="AN33" s="47">
        <f t="shared" si="41"/>
        <v>0.24830622141211267</v>
      </c>
      <c r="AO33" s="47">
        <f t="shared" si="41"/>
        <v>0.24191658048948639</v>
      </c>
      <c r="AP33" s="47">
        <f t="shared" si="41"/>
        <v>0.25051231029669446</v>
      </c>
      <c r="AQ33" s="47">
        <f t="shared" si="41"/>
        <v>0.2378529453920023</v>
      </c>
      <c r="AR33" s="47">
        <f t="shared" si="41"/>
        <v>0.23072652834640206</v>
      </c>
      <c r="AS33" s="47">
        <f t="shared" si="41"/>
        <v>0.21635274590459697</v>
      </c>
      <c r="AT33" s="47">
        <f t="shared" si="41"/>
        <v>0.22997046479092181</v>
      </c>
      <c r="AU33" s="47">
        <f t="shared" si="41"/>
        <v>0.23595740967009948</v>
      </c>
      <c r="AV33" s="47">
        <f t="shared" si="41"/>
        <v>0.23485108909653427</v>
      </c>
      <c r="AW33" s="47">
        <f t="shared" si="41"/>
        <v>0.22192936215076436</v>
      </c>
      <c r="AX33" s="47">
        <f t="shared" si="41"/>
        <v>0.23329676904666932</v>
      </c>
      <c r="AY33" s="47">
        <f t="shared" si="41"/>
        <v>0.23053079138664107</v>
      </c>
      <c r="AZ33" s="47">
        <f t="shared" si="41"/>
        <v>0.23426582375675054</v>
      </c>
      <c r="BA33" s="47">
        <f t="shared" si="41"/>
        <v>0.22678558230062332</v>
      </c>
      <c r="BB33" s="47">
        <f t="shared" si="41"/>
        <v>0.2397181002769396</v>
      </c>
      <c r="BC33" s="47">
        <f>BC21/BC24</f>
        <v>0.22737155551354163</v>
      </c>
      <c r="BD33" s="47">
        <f>BD21/BD24</f>
        <v>0.23419479754188063</v>
      </c>
      <c r="BE33" s="47">
        <f>BE21/BE24</f>
        <v>0.23419479754188063</v>
      </c>
      <c r="BW33" s="47">
        <f t="shared" ref="BW33:BZ33" si="42">BW21/BW24</f>
        <v>0.23671261559937185</v>
      </c>
      <c r="BX33" s="47">
        <f t="shared" si="42"/>
        <v>0.24639401673888525</v>
      </c>
      <c r="BY33" s="47">
        <f t="shared" si="42"/>
        <v>0.22880738193449907</v>
      </c>
      <c r="BZ33" s="47">
        <f t="shared" si="42"/>
        <v>0.23135313042060163</v>
      </c>
      <c r="CA33" s="47">
        <f>CA21/CA24</f>
        <v>0.23319615078327791</v>
      </c>
    </row>
    <row r="34" spans="2:141">
      <c r="B34" s="46" t="s">
        <v>217</v>
      </c>
      <c r="AI34" s="47">
        <f t="shared" ref="AI34:BB34" si="43">AI22/AI24</f>
        <v>0.22388227997970345</v>
      </c>
      <c r="AJ34" s="47">
        <f t="shared" si="43"/>
        <v>0.24674907689837855</v>
      </c>
      <c r="AK34" s="47">
        <f t="shared" si="43"/>
        <v>0.24736842105263157</v>
      </c>
      <c r="AL34" s="47">
        <f t="shared" si="43"/>
        <v>0.21214064336860106</v>
      </c>
      <c r="AM34" s="47">
        <f t="shared" si="43"/>
        <v>0.2331206297046349</v>
      </c>
      <c r="AN34" s="47">
        <f t="shared" si="43"/>
        <v>0.22963166764109089</v>
      </c>
      <c r="AO34" s="47">
        <f t="shared" si="43"/>
        <v>0.22723198896932092</v>
      </c>
      <c r="AP34" s="47">
        <f t="shared" si="43"/>
        <v>0.21885301891835704</v>
      </c>
      <c r="AQ34" s="47">
        <f t="shared" si="43"/>
        <v>0.24086283502938224</v>
      </c>
      <c r="AR34" s="47">
        <f t="shared" si="43"/>
        <v>0.24148220109638471</v>
      </c>
      <c r="AS34" s="47">
        <f t="shared" si="43"/>
        <v>0.2452551057227394</v>
      </c>
      <c r="AT34" s="47">
        <f t="shared" si="43"/>
        <v>0.22636406031400591</v>
      </c>
      <c r="AU34" s="47">
        <f t="shared" si="43"/>
        <v>0.25456449642171408</v>
      </c>
      <c r="AV34" s="47">
        <f t="shared" si="43"/>
        <v>0.26722710084690149</v>
      </c>
      <c r="AW34" s="47">
        <f t="shared" si="43"/>
        <v>0.28671000995724244</v>
      </c>
      <c r="AX34" s="47">
        <f t="shared" si="43"/>
        <v>0.26229058635819708</v>
      </c>
      <c r="AY34" s="47">
        <f t="shared" si="43"/>
        <v>0.28286929090659718</v>
      </c>
      <c r="AZ34" s="47">
        <f t="shared" si="43"/>
        <v>0.28069412095927926</v>
      </c>
      <c r="BA34" s="47">
        <f t="shared" si="43"/>
        <v>0.27699623050580208</v>
      </c>
      <c r="BB34" s="47">
        <f t="shared" si="43"/>
        <v>0.25807051626503535</v>
      </c>
      <c r="BC34" s="47">
        <f>BC22/BC24</f>
        <v>0.26560949094862218</v>
      </c>
      <c r="BD34" s="47">
        <f>BD22/BD24</f>
        <v>0.27060358616045121</v>
      </c>
      <c r="BE34" s="47">
        <f>BE22/BE24</f>
        <v>0.27060358616045121</v>
      </c>
      <c r="BW34" s="47">
        <f t="shared" ref="BW34:BZ34" si="44">BW22/BW24</f>
        <v>0.23088466236258942</v>
      </c>
      <c r="BX34" s="47">
        <f t="shared" si="44"/>
        <v>0.22673812209041033</v>
      </c>
      <c r="BY34" s="47">
        <f t="shared" si="44"/>
        <v>0.23806052706051847</v>
      </c>
      <c r="BZ34" s="47">
        <f t="shared" si="44"/>
        <v>0.26800195697617529</v>
      </c>
      <c r="CA34" s="47">
        <f>CA22/CA24</f>
        <v>0.2736092789709485</v>
      </c>
    </row>
    <row r="35" spans="2:141">
      <c r="B35" s="46" t="s">
        <v>216</v>
      </c>
      <c r="AI35" s="47">
        <f t="shared" ref="AI35:BB35" si="45">AI23/AI24</f>
        <v>9.0432429384901619E-2</v>
      </c>
      <c r="AJ35" s="47">
        <f t="shared" si="45"/>
        <v>8.2142666024509023E-2</v>
      </c>
      <c r="AK35" s="47">
        <f t="shared" si="45"/>
        <v>8.7331159757801577E-2</v>
      </c>
      <c r="AL35" s="47">
        <f t="shared" si="45"/>
        <v>8.2683196181112181E-2</v>
      </c>
      <c r="AM35" s="47">
        <f t="shared" si="45"/>
        <v>8.597302357571357E-2</v>
      </c>
      <c r="AN35" s="47">
        <f t="shared" si="45"/>
        <v>8.8317226674003504E-2</v>
      </c>
      <c r="AO35" s="47">
        <f t="shared" si="45"/>
        <v>9.4174422612892106E-2</v>
      </c>
      <c r="AP35" s="47">
        <f t="shared" si="45"/>
        <v>9.0344807104036112E-2</v>
      </c>
      <c r="AQ35" s="47">
        <f t="shared" si="45"/>
        <v>9.9183029955568297E-2</v>
      </c>
      <c r="AR35" s="47">
        <f t="shared" si="45"/>
        <v>0.10498924432725001</v>
      </c>
      <c r="AS35" s="47">
        <f t="shared" si="45"/>
        <v>0.10662481056505738</v>
      </c>
      <c r="AT35" s="47">
        <f t="shared" si="45"/>
        <v>0.10163220892274211</v>
      </c>
      <c r="AU35" s="47">
        <f t="shared" si="45"/>
        <v>0.10979228486646884</v>
      </c>
      <c r="AV35" s="47">
        <f t="shared" si="45"/>
        <v>0.1102846963967624</v>
      </c>
      <c r="AW35" s="47">
        <f t="shared" si="45"/>
        <v>0.11333684765419083</v>
      </c>
      <c r="AX35" s="47">
        <f t="shared" si="45"/>
        <v>0.10236338252891902</v>
      </c>
      <c r="AY35" s="47">
        <f t="shared" si="45"/>
        <v>0.11227540803730626</v>
      </c>
      <c r="AZ35" s="47">
        <f t="shared" si="45"/>
        <v>0.11033759054029843</v>
      </c>
      <c r="BA35" s="47">
        <f t="shared" si="45"/>
        <v>0.11140949518342408</v>
      </c>
      <c r="BB35" s="47">
        <f t="shared" si="45"/>
        <v>0.10329434133840366</v>
      </c>
      <c r="BC35" s="47">
        <f>BC23/BC24</f>
        <v>0.10835657229285815</v>
      </c>
      <c r="BD35" s="47">
        <f>BD23/BD24</f>
        <v>0.10682717400454583</v>
      </c>
      <c r="BE35" s="47">
        <f>BE23/BE24</f>
        <v>0.10682717400454583</v>
      </c>
      <c r="BW35" s="47">
        <f t="shared" ref="BW35:BZ35" si="46">BW23/BW24</f>
        <v>8.5325423137323331E-2</v>
      </c>
      <c r="BX35" s="47">
        <f t="shared" si="46"/>
        <v>8.9816754148682676E-2</v>
      </c>
      <c r="BY35" s="47">
        <f t="shared" si="46"/>
        <v>0.10306237082900976</v>
      </c>
      <c r="BZ35" s="47">
        <f t="shared" si="46"/>
        <v>0.10859735215193252</v>
      </c>
      <c r="CA35" s="47">
        <f>CA23/CA24</f>
        <v>0.10895982395243797</v>
      </c>
    </row>
    <row r="36" spans="2:141">
      <c r="BE36" s="1"/>
    </row>
    <row r="37" spans="2:141" s="2" customFormat="1" ht="15">
      <c r="B37" s="2" t="s">
        <v>104</v>
      </c>
      <c r="C37" s="2">
        <v>1058</v>
      </c>
      <c r="D37" s="2">
        <v>1184</v>
      </c>
      <c r="E37" s="2">
        <v>1262</v>
      </c>
      <c r="F37" s="2">
        <v>1585</v>
      </c>
      <c r="G37" s="2">
        <v>1458</v>
      </c>
      <c r="H37" s="2">
        <v>1813</v>
      </c>
      <c r="I37" s="2">
        <v>2016</v>
      </c>
      <c r="J37" s="2">
        <v>2585</v>
      </c>
      <c r="K37" s="2">
        <v>2502</v>
      </c>
      <c r="L37" s="2">
        <v>2910</v>
      </c>
      <c r="M37" s="2">
        <v>3203</v>
      </c>
      <c r="N37" s="2">
        <v>3851</v>
      </c>
      <c r="O37" s="2">
        <v>3543</v>
      </c>
      <c r="P37" s="2">
        <v>4042</v>
      </c>
      <c r="Q37" s="2">
        <v>4501</v>
      </c>
      <c r="R37" s="2">
        <v>5842</v>
      </c>
      <c r="S37" s="2">
        <v>5382</v>
      </c>
      <c r="T37" s="2">
        <v>6436</v>
      </c>
      <c r="U37" s="2">
        <v>7011</v>
      </c>
      <c r="V37" s="2">
        <v>8809</v>
      </c>
      <c r="W37" s="2">
        <v>8032</v>
      </c>
      <c r="X37" s="2">
        <v>9321</v>
      </c>
      <c r="Y37" s="2">
        <v>10328</v>
      </c>
      <c r="Z37" s="2">
        <v>12972</v>
      </c>
      <c r="AA37" s="2">
        <v>11966</v>
      </c>
      <c r="AB37" s="2">
        <v>13231</v>
      </c>
      <c r="AC37" s="2">
        <v>13727</v>
      </c>
      <c r="AD37" s="2">
        <v>16914</v>
      </c>
      <c r="AE37" s="2">
        <v>15077</v>
      </c>
      <c r="AF37" s="2">
        <v>16886</v>
      </c>
      <c r="AG37" s="2">
        <v>17652</v>
      </c>
      <c r="AH37" s="2">
        <v>21082</v>
      </c>
      <c r="AI37" s="2">
        <v>17737</v>
      </c>
      <c r="AJ37" s="2">
        <f t="shared" ref="AJ37:BB37" si="47">AJ8</f>
        <v>18687</v>
      </c>
      <c r="AK37" s="2">
        <f t="shared" si="47"/>
        <v>21470</v>
      </c>
      <c r="AL37" s="2">
        <f t="shared" si="47"/>
        <v>28071</v>
      </c>
      <c r="AM37" s="2">
        <f t="shared" si="47"/>
        <v>26171</v>
      </c>
      <c r="AN37" s="2">
        <f t="shared" si="47"/>
        <v>29077</v>
      </c>
      <c r="AO37" s="2">
        <f t="shared" si="47"/>
        <v>29010</v>
      </c>
      <c r="AP37" s="2">
        <f t="shared" si="47"/>
        <v>33671</v>
      </c>
      <c r="AQ37" s="2">
        <f t="shared" si="47"/>
        <v>27908</v>
      </c>
      <c r="AR37" s="2">
        <f t="shared" si="47"/>
        <v>28822</v>
      </c>
      <c r="AS37" s="2">
        <f t="shared" si="47"/>
        <v>27714</v>
      </c>
      <c r="AT37" s="2">
        <f t="shared" si="47"/>
        <v>32165</v>
      </c>
      <c r="AU37" s="2">
        <f t="shared" si="47"/>
        <v>28645</v>
      </c>
      <c r="AV37" s="2">
        <f t="shared" si="47"/>
        <v>31999</v>
      </c>
      <c r="AW37" s="2">
        <f t="shared" si="47"/>
        <v>34146</v>
      </c>
      <c r="AX37" s="2">
        <f t="shared" si="47"/>
        <v>40112</v>
      </c>
      <c r="AY37" s="2">
        <f t="shared" si="47"/>
        <v>36455</v>
      </c>
      <c r="AZ37" s="2">
        <f t="shared" si="47"/>
        <v>39071</v>
      </c>
      <c r="BA37" s="2">
        <f t="shared" si="47"/>
        <v>40589</v>
      </c>
      <c r="BB37" s="2">
        <f t="shared" si="47"/>
        <v>48386</v>
      </c>
      <c r="BC37" s="2">
        <f>BC8</f>
        <v>42314</v>
      </c>
      <c r="BD37" s="2">
        <f>BD8</f>
        <v>47516</v>
      </c>
      <c r="BE37" s="2">
        <f>BE8</f>
        <v>51242</v>
      </c>
      <c r="BF37" s="34"/>
      <c r="BG37" s="34"/>
      <c r="BH37" s="34"/>
      <c r="BI37" s="34"/>
      <c r="BJ37" s="34"/>
      <c r="BO37" s="2">
        <f t="shared" ref="BO37:BO48" si="48">SUM(C37:F37)</f>
        <v>5089</v>
      </c>
      <c r="BP37" s="2">
        <f t="shared" ref="BP37:BP48" si="49">SUM(G37:J37)</f>
        <v>7872</v>
      </c>
      <c r="BQ37" s="2">
        <f t="shared" ref="BQ37:BQ48" si="50">SUM(K37:N37)</f>
        <v>12466</v>
      </c>
      <c r="BR37" s="2">
        <f t="shared" ref="BR37:BR48" si="51">SUM(O37:R37)</f>
        <v>17928</v>
      </c>
      <c r="BS37" s="2">
        <f t="shared" ref="BS37:BS48" si="52">SUM(S37:V37)</f>
        <v>27638</v>
      </c>
      <c r="BT37" s="2">
        <f t="shared" ref="BT37:BT48" si="53">SUM(W37:Z37)</f>
        <v>40653</v>
      </c>
      <c r="BU37" s="2">
        <f t="shared" ref="BU37:BU48" si="54">SUM(AA37:AD37)</f>
        <v>55838</v>
      </c>
      <c r="BV37" s="2">
        <f t="shared" ref="BV37:BV48" si="55">SUM(AE37:AH37)</f>
        <v>70697</v>
      </c>
      <c r="BW37" s="2">
        <f t="shared" ref="BW37:BW48" si="56">SUM(AI37:AL37)</f>
        <v>85965</v>
      </c>
      <c r="BX37" s="2">
        <f t="shared" ref="BX37:BX48" si="57">SUM(AM37:AP37)</f>
        <v>117929</v>
      </c>
      <c r="BY37" s="2">
        <f t="shared" ref="BY37:BY48" si="58">SUM(AQ37:AT37)</f>
        <v>116609</v>
      </c>
      <c r="BZ37" s="2">
        <f t="shared" ref="BZ37:BZ48" si="59">SUM(AU37:AX37)</f>
        <v>134902</v>
      </c>
      <c r="CA37" s="2">
        <f t="shared" ref="CA37:CA48" si="60">SUM(AY37:BB37)</f>
        <v>164501</v>
      </c>
      <c r="CB37" s="58">
        <f>CB8</f>
        <v>200362.14</v>
      </c>
      <c r="CC37" s="58">
        <f t="shared" ref="CC37:CK37" si="61">CC8</f>
        <v>236965.53700000001</v>
      </c>
      <c r="CD37" s="58">
        <f t="shared" si="61"/>
        <v>272569.34602200001</v>
      </c>
      <c r="CE37" s="58">
        <f t="shared" si="61"/>
        <v>308116.89552054001</v>
      </c>
      <c r="CF37" s="58">
        <f t="shared" si="61"/>
        <v>346800.59338926355</v>
      </c>
      <c r="CG37" s="58">
        <f t="shared" si="61"/>
        <v>388623.06420542923</v>
      </c>
      <c r="CH37" s="58">
        <f t="shared" si="61"/>
        <v>433556.20765783114</v>
      </c>
      <c r="CI37" s="58">
        <f t="shared" si="61"/>
        <v>481519.98506441916</v>
      </c>
      <c r="CJ37" s="58">
        <f t="shared" si="61"/>
        <v>532377.33895821904</v>
      </c>
      <c r="CK37" s="58">
        <f t="shared" si="61"/>
        <v>583340.8403559936</v>
      </c>
      <c r="CL37" s="34"/>
      <c r="CM37" s="34"/>
      <c r="CN37" s="34"/>
      <c r="CO37" s="34"/>
      <c r="CP37" s="34"/>
      <c r="CQ37" s="34"/>
      <c r="CR37" s="34"/>
      <c r="CS37" s="34"/>
      <c r="CT37" s="34"/>
      <c r="CU37" s="34"/>
      <c r="CV37" s="34"/>
      <c r="CW37" s="34"/>
      <c r="CX37" s="34"/>
      <c r="CY37" s="34"/>
      <c r="CZ37" s="34"/>
      <c r="DA37" s="34"/>
      <c r="DB37" s="34"/>
      <c r="DC37" s="34"/>
      <c r="DD37" s="34"/>
      <c r="DE37" s="34"/>
      <c r="DF37" s="34"/>
      <c r="DG37" s="34"/>
      <c r="DH37" s="34"/>
      <c r="DI37" s="34"/>
      <c r="DJ37" s="34"/>
      <c r="DK37" s="34"/>
      <c r="DL37" s="34"/>
      <c r="DM37" s="34"/>
      <c r="DN37" s="34"/>
      <c r="DO37" s="34"/>
      <c r="DP37" s="34"/>
      <c r="DQ37" s="34"/>
      <c r="DR37" s="34"/>
      <c r="DS37" s="34"/>
      <c r="DT37" s="34"/>
      <c r="DU37" s="34"/>
      <c r="DV37" s="34"/>
      <c r="DW37" s="34"/>
      <c r="DX37" s="34"/>
      <c r="DY37" s="34"/>
      <c r="DZ37" s="34"/>
      <c r="EA37" s="34"/>
      <c r="EB37" s="34"/>
      <c r="EC37" s="34"/>
      <c r="ED37" s="34"/>
      <c r="EE37" s="34"/>
      <c r="EF37" s="34"/>
      <c r="EG37" s="34"/>
      <c r="EH37" s="34"/>
      <c r="EI37" s="34"/>
      <c r="EJ37" s="34"/>
      <c r="EK37" s="34"/>
    </row>
    <row r="38" spans="2:141">
      <c r="B38" s="1" t="s">
        <v>109</v>
      </c>
      <c r="C38" s="1">
        <v>277</v>
      </c>
      <c r="D38" s="1">
        <v>367</v>
      </c>
      <c r="E38" s="1">
        <v>322</v>
      </c>
      <c r="F38" s="1">
        <v>398</v>
      </c>
      <c r="G38" s="1">
        <v>413</v>
      </c>
      <c r="H38" s="1">
        <v>465</v>
      </c>
      <c r="I38" s="1">
        <v>507</v>
      </c>
      <c r="J38" s="1">
        <v>490</v>
      </c>
      <c r="K38" s="1">
        <v>462</v>
      </c>
      <c r="L38" s="1">
        <v>473</v>
      </c>
      <c r="M38" s="1">
        <v>565</v>
      </c>
      <c r="N38" s="1">
        <v>653</v>
      </c>
      <c r="O38" s="1">
        <v>654</v>
      </c>
      <c r="P38" s="1">
        <v>668</v>
      </c>
      <c r="Q38" s="1">
        <v>720</v>
      </c>
      <c r="R38" s="1">
        <v>825</v>
      </c>
      <c r="S38" s="1">
        <v>838</v>
      </c>
      <c r="T38" s="1">
        <v>917</v>
      </c>
      <c r="U38" s="1">
        <v>987</v>
      </c>
      <c r="V38" s="1">
        <v>1047</v>
      </c>
      <c r="W38" s="1">
        <v>1159</v>
      </c>
      <c r="X38" s="1">
        <v>1237</v>
      </c>
      <c r="Y38" s="1">
        <v>1448</v>
      </c>
      <c r="Z38" s="1">
        <v>1610</v>
      </c>
      <c r="AA38" s="1">
        <v>1927</v>
      </c>
      <c r="AB38" s="1">
        <v>2214</v>
      </c>
      <c r="AC38" s="1">
        <v>2418</v>
      </c>
      <c r="AD38" s="1">
        <v>2796</v>
      </c>
      <c r="AE38" s="1">
        <v>2816</v>
      </c>
      <c r="AF38" s="1">
        <v>3307</v>
      </c>
      <c r="AG38" s="1">
        <v>3155</v>
      </c>
      <c r="AH38" s="1">
        <v>3492</v>
      </c>
      <c r="AI38" s="1">
        <v>3459</v>
      </c>
      <c r="AJ38" s="1">
        <v>3829</v>
      </c>
      <c r="AK38" s="1">
        <v>4194</v>
      </c>
      <c r="AL38" s="1">
        <f>16692-SUM(AI38:AK38)</f>
        <v>5210</v>
      </c>
      <c r="AM38" s="1">
        <v>5131</v>
      </c>
      <c r="AN38" s="1">
        <v>5399</v>
      </c>
      <c r="AO38" s="1">
        <v>5771</v>
      </c>
      <c r="AP38" s="1">
        <f>22649-SUM(AM38:AO38)</f>
        <v>6348</v>
      </c>
      <c r="AQ38" s="1">
        <v>6005</v>
      </c>
      <c r="AR38" s="1">
        <v>5192</v>
      </c>
      <c r="AS38" s="1">
        <v>5716</v>
      </c>
      <c r="AT38" s="1">
        <f>25249-SUM(AQ38:AS38)</f>
        <v>8336</v>
      </c>
      <c r="AU38" s="1">
        <v>6108</v>
      </c>
      <c r="AV38" s="1">
        <v>5945</v>
      </c>
      <c r="AW38" s="1">
        <v>6210</v>
      </c>
      <c r="AX38" s="1">
        <f>25959-SUM(AU38:AW38)</f>
        <v>7696</v>
      </c>
      <c r="AY38" s="1">
        <v>6640</v>
      </c>
      <c r="AZ38" s="1">
        <v>7308</v>
      </c>
      <c r="BA38" s="1">
        <v>7375</v>
      </c>
      <c r="BB38" s="1">
        <f>30161-SUM(AY38:BA38)</f>
        <v>8838</v>
      </c>
      <c r="BC38" s="1">
        <v>7572</v>
      </c>
      <c r="BD38" s="1">
        <v>8491</v>
      </c>
      <c r="BE38" s="1">
        <v>9206</v>
      </c>
      <c r="BO38" s="1">
        <f t="shared" si="48"/>
        <v>1364</v>
      </c>
      <c r="BP38" s="1">
        <f t="shared" si="49"/>
        <v>1875</v>
      </c>
      <c r="BQ38" s="1">
        <f t="shared" si="50"/>
        <v>2153</v>
      </c>
      <c r="BR38" s="1">
        <f t="shared" si="51"/>
        <v>2867</v>
      </c>
      <c r="BS38" s="1">
        <f t="shared" si="52"/>
        <v>3789</v>
      </c>
      <c r="BT38" s="1">
        <f t="shared" si="53"/>
        <v>5454</v>
      </c>
      <c r="BU38" s="1">
        <f t="shared" si="54"/>
        <v>9355</v>
      </c>
      <c r="BV38" s="1">
        <f t="shared" si="55"/>
        <v>12770</v>
      </c>
      <c r="BW38" s="1">
        <f t="shared" si="56"/>
        <v>16692</v>
      </c>
      <c r="BX38" s="1">
        <f t="shared" si="57"/>
        <v>22649</v>
      </c>
      <c r="BY38" s="1">
        <f t="shared" si="58"/>
        <v>25249</v>
      </c>
      <c r="BZ38" s="1">
        <f t="shared" si="59"/>
        <v>25959</v>
      </c>
      <c r="CA38" s="1">
        <f t="shared" si="60"/>
        <v>30161</v>
      </c>
      <c r="CB38" s="56">
        <f>CB37*(1-CB52)</f>
        <v>38068.806599999989</v>
      </c>
      <c r="CC38" s="56">
        <f t="shared" ref="CC38:CK38" si="62">CC37*(1-CC52)</f>
        <v>43838.624345000011</v>
      </c>
      <c r="CD38" s="56">
        <f t="shared" si="62"/>
        <v>49062.482283960017</v>
      </c>
      <c r="CE38" s="56">
        <f t="shared" si="62"/>
        <v>55461.041193697216</v>
      </c>
      <c r="CF38" s="56">
        <f t="shared" si="62"/>
        <v>62424.106810067453</v>
      </c>
      <c r="CG38" s="56">
        <f t="shared" si="62"/>
        <v>69952.151556977275</v>
      </c>
      <c r="CH38" s="56">
        <f t="shared" si="62"/>
        <v>78040.117378409632</v>
      </c>
      <c r="CI38" s="56">
        <f t="shared" si="62"/>
        <v>86673.597311595469</v>
      </c>
      <c r="CJ38" s="56">
        <f t="shared" si="62"/>
        <v>95827.921012479448</v>
      </c>
      <c r="CK38" s="56">
        <f t="shared" si="62"/>
        <v>105001.35126407888</v>
      </c>
    </row>
    <row r="39" spans="2:141">
      <c r="B39" s="1" t="s">
        <v>110</v>
      </c>
      <c r="C39" s="1">
        <f>C37-C38</f>
        <v>781</v>
      </c>
      <c r="D39" s="1">
        <f t="shared" ref="D39:BC39" si="63">D37-D38</f>
        <v>817</v>
      </c>
      <c r="E39" s="1">
        <f t="shared" si="63"/>
        <v>940</v>
      </c>
      <c r="F39" s="1">
        <f t="shared" si="63"/>
        <v>1187</v>
      </c>
      <c r="G39" s="1">
        <f t="shared" si="63"/>
        <v>1045</v>
      </c>
      <c r="H39" s="1">
        <f t="shared" si="63"/>
        <v>1348</v>
      </c>
      <c r="I39" s="1">
        <f t="shared" si="63"/>
        <v>1509</v>
      </c>
      <c r="J39" s="1">
        <f t="shared" si="63"/>
        <v>2095</v>
      </c>
      <c r="K39" s="1">
        <f t="shared" si="63"/>
        <v>2040</v>
      </c>
      <c r="L39" s="1">
        <f t="shared" si="63"/>
        <v>2437</v>
      </c>
      <c r="M39" s="1">
        <f t="shared" si="63"/>
        <v>2638</v>
      </c>
      <c r="N39" s="1">
        <f t="shared" si="63"/>
        <v>3198</v>
      </c>
      <c r="O39" s="1">
        <f t="shared" si="63"/>
        <v>2889</v>
      </c>
      <c r="P39" s="1">
        <f t="shared" si="63"/>
        <v>3374</v>
      </c>
      <c r="Q39" s="1">
        <f t="shared" si="63"/>
        <v>3781</v>
      </c>
      <c r="R39" s="1">
        <f t="shared" si="63"/>
        <v>5017</v>
      </c>
      <c r="S39" s="1">
        <f t="shared" si="63"/>
        <v>4544</v>
      </c>
      <c r="T39" s="1">
        <f t="shared" si="63"/>
        <v>5519</v>
      </c>
      <c r="U39" s="1">
        <f t="shared" si="63"/>
        <v>6024</v>
      </c>
      <c r="V39" s="1">
        <f t="shared" si="63"/>
        <v>7762</v>
      </c>
      <c r="W39" s="1">
        <f t="shared" si="63"/>
        <v>6873</v>
      </c>
      <c r="X39" s="1">
        <f t="shared" si="63"/>
        <v>8084</v>
      </c>
      <c r="Y39" s="1">
        <f t="shared" si="63"/>
        <v>8880</v>
      </c>
      <c r="Z39" s="1">
        <f t="shared" si="63"/>
        <v>11362</v>
      </c>
      <c r="AA39" s="1">
        <f t="shared" si="63"/>
        <v>10039</v>
      </c>
      <c r="AB39" s="1">
        <f t="shared" si="63"/>
        <v>11017</v>
      </c>
      <c r="AC39" s="1">
        <f t="shared" si="63"/>
        <v>11309</v>
      </c>
      <c r="AD39" s="1">
        <f t="shared" si="63"/>
        <v>14118</v>
      </c>
      <c r="AE39" s="1">
        <f t="shared" si="63"/>
        <v>12261</v>
      </c>
      <c r="AF39" s="1">
        <f t="shared" si="63"/>
        <v>13579</v>
      </c>
      <c r="AG39" s="1">
        <f t="shared" si="63"/>
        <v>14497</v>
      </c>
      <c r="AH39" s="1">
        <f t="shared" si="63"/>
        <v>17590</v>
      </c>
      <c r="AI39" s="1">
        <f t="shared" si="63"/>
        <v>14278</v>
      </c>
      <c r="AJ39" s="1">
        <f t="shared" si="63"/>
        <v>14858</v>
      </c>
      <c r="AK39" s="1">
        <f t="shared" si="63"/>
        <v>17276</v>
      </c>
      <c r="AL39" s="1">
        <f t="shared" si="63"/>
        <v>22861</v>
      </c>
      <c r="AM39" s="1">
        <f t="shared" si="63"/>
        <v>21040</v>
      </c>
      <c r="AN39" s="1">
        <f t="shared" si="63"/>
        <v>23678</v>
      </c>
      <c r="AO39" s="1">
        <f t="shared" si="63"/>
        <v>23239</v>
      </c>
      <c r="AP39" s="1">
        <f t="shared" si="63"/>
        <v>27323</v>
      </c>
      <c r="AQ39" s="1">
        <f t="shared" si="63"/>
        <v>21903</v>
      </c>
      <c r="AR39" s="1">
        <f t="shared" si="63"/>
        <v>23630</v>
      </c>
      <c r="AS39" s="1">
        <f t="shared" si="63"/>
        <v>21998</v>
      </c>
      <c r="AT39" s="1">
        <f t="shared" si="63"/>
        <v>23829</v>
      </c>
      <c r="AU39" s="1">
        <f t="shared" si="63"/>
        <v>22537</v>
      </c>
      <c r="AV39" s="1">
        <f t="shared" si="63"/>
        <v>26054</v>
      </c>
      <c r="AW39" s="1">
        <f t="shared" si="63"/>
        <v>27936</v>
      </c>
      <c r="AX39" s="1">
        <f t="shared" si="63"/>
        <v>32416</v>
      </c>
      <c r="AY39" s="1">
        <f t="shared" si="63"/>
        <v>29815</v>
      </c>
      <c r="AZ39" s="1">
        <f t="shared" si="63"/>
        <v>31763</v>
      </c>
      <c r="BA39" s="1">
        <f t="shared" si="63"/>
        <v>33214</v>
      </c>
      <c r="BB39" s="1">
        <f t="shared" si="63"/>
        <v>39548</v>
      </c>
      <c r="BC39" s="1">
        <f t="shared" si="63"/>
        <v>34742</v>
      </c>
      <c r="BD39" s="1">
        <f t="shared" ref="BD39:BE39" si="64">BD37-BD38</f>
        <v>39025</v>
      </c>
      <c r="BE39" s="1">
        <f t="shared" si="64"/>
        <v>42036</v>
      </c>
      <c r="BO39" s="1">
        <f t="shared" si="48"/>
        <v>3725</v>
      </c>
      <c r="BP39" s="1">
        <f t="shared" si="49"/>
        <v>5997</v>
      </c>
      <c r="BQ39" s="1">
        <f t="shared" si="50"/>
        <v>10313</v>
      </c>
      <c r="BR39" s="1">
        <f t="shared" si="51"/>
        <v>15061</v>
      </c>
      <c r="BS39" s="1">
        <f t="shared" si="52"/>
        <v>23849</v>
      </c>
      <c r="BT39" s="1">
        <f t="shared" si="53"/>
        <v>35199</v>
      </c>
      <c r="BU39" s="1">
        <f t="shared" si="54"/>
        <v>46483</v>
      </c>
      <c r="BV39" s="1">
        <f t="shared" si="55"/>
        <v>57927</v>
      </c>
      <c r="BW39" s="1">
        <f t="shared" si="56"/>
        <v>69273</v>
      </c>
      <c r="BX39" s="1">
        <f t="shared" si="57"/>
        <v>95280</v>
      </c>
      <c r="BY39" s="1">
        <f t="shared" si="58"/>
        <v>91360</v>
      </c>
      <c r="BZ39" s="1">
        <f t="shared" si="59"/>
        <v>108943</v>
      </c>
      <c r="CA39" s="1">
        <f t="shared" si="60"/>
        <v>134340</v>
      </c>
      <c r="CB39" s="56">
        <f>CB37-CB38</f>
        <v>162293.33340000003</v>
      </c>
      <c r="CC39" s="56">
        <f t="shared" ref="CC39:CK39" si="65">CC37-CC38</f>
        <v>193126.91265499999</v>
      </c>
      <c r="CD39" s="56">
        <f t="shared" si="65"/>
        <v>223506.86373804</v>
      </c>
      <c r="CE39" s="56">
        <f t="shared" si="65"/>
        <v>252655.85432684279</v>
      </c>
      <c r="CF39" s="56">
        <f t="shared" si="65"/>
        <v>284376.48657919612</v>
      </c>
      <c r="CG39" s="56">
        <f t="shared" si="65"/>
        <v>318670.91264845198</v>
      </c>
      <c r="CH39" s="56">
        <f t="shared" si="65"/>
        <v>355516.09027942154</v>
      </c>
      <c r="CI39" s="56">
        <f t="shared" si="65"/>
        <v>394846.38775282371</v>
      </c>
      <c r="CJ39" s="56">
        <f t="shared" si="65"/>
        <v>436549.41794573958</v>
      </c>
      <c r="CK39" s="56">
        <f t="shared" si="65"/>
        <v>478339.48909191473</v>
      </c>
    </row>
    <row r="40" spans="2:141">
      <c r="B40" s="1" t="s">
        <v>219</v>
      </c>
      <c r="C40" s="1">
        <v>153</v>
      </c>
      <c r="D40" s="1">
        <v>705</v>
      </c>
      <c r="E40" s="1">
        <v>244</v>
      </c>
      <c r="F40" s="1">
        <v>297</v>
      </c>
      <c r="G40" s="1">
        <v>293</v>
      </c>
      <c r="H40" s="1">
        <v>344</v>
      </c>
      <c r="I40" s="1">
        <v>369</v>
      </c>
      <c r="J40" s="1">
        <v>409</v>
      </c>
      <c r="K40" s="1">
        <v>455</v>
      </c>
      <c r="L40" s="1">
        <v>492</v>
      </c>
      <c r="M40" s="1">
        <v>608</v>
      </c>
      <c r="N40" s="1">
        <v>1111</v>
      </c>
      <c r="O40" s="1">
        <v>1062</v>
      </c>
      <c r="P40" s="1">
        <v>1170</v>
      </c>
      <c r="Q40" s="1">
        <v>1271</v>
      </c>
      <c r="R40" s="1">
        <v>1313</v>
      </c>
      <c r="S40" s="1">
        <v>1343</v>
      </c>
      <c r="T40" s="1">
        <v>1471</v>
      </c>
      <c r="U40" s="1">
        <v>1542</v>
      </c>
      <c r="V40" s="1">
        <v>1563</v>
      </c>
      <c r="W40" s="1">
        <v>1834</v>
      </c>
      <c r="X40" s="1">
        <v>1919</v>
      </c>
      <c r="Y40" s="1">
        <v>2052</v>
      </c>
      <c r="Z40" s="1">
        <v>1949</v>
      </c>
      <c r="AA40" s="1">
        <v>2238</v>
      </c>
      <c r="AB40" s="1">
        <v>2523</v>
      </c>
      <c r="AC40" s="1">
        <v>2657</v>
      </c>
      <c r="AD40" s="1">
        <v>2855</v>
      </c>
      <c r="AE40" s="1">
        <v>2860</v>
      </c>
      <c r="AF40" s="1">
        <v>3315</v>
      </c>
      <c r="AG40" s="1">
        <v>3548</v>
      </c>
      <c r="AH40" s="1">
        <v>3877</v>
      </c>
      <c r="AI40" s="1">
        <v>4015</v>
      </c>
      <c r="AJ40" s="1">
        <v>4462</v>
      </c>
      <c r="AK40" s="1">
        <v>4763</v>
      </c>
      <c r="AL40" s="1">
        <f>18447-SUM(AI40:AK40)</f>
        <v>5207</v>
      </c>
      <c r="AM40" s="1">
        <v>5197</v>
      </c>
      <c r="AN40" s="1">
        <v>6096</v>
      </c>
      <c r="AO40" s="1">
        <v>6316</v>
      </c>
      <c r="AP40" s="1">
        <f>24655-SUM(AM40:AO40)</f>
        <v>7046</v>
      </c>
      <c r="AQ40" s="1">
        <v>7707</v>
      </c>
      <c r="AR40" s="1">
        <v>8690</v>
      </c>
      <c r="AS40" s="1">
        <v>9170</v>
      </c>
      <c r="AT40" s="1">
        <f>35338-SUM(AQ40:AS40)</f>
        <v>9771</v>
      </c>
      <c r="AU40" s="1">
        <v>9381</v>
      </c>
      <c r="AV40" s="1">
        <v>9344</v>
      </c>
      <c r="AW40" s="1">
        <v>9241</v>
      </c>
      <c r="AX40" s="1">
        <f>38483-SUM(AU40:AW40)</f>
        <v>10517</v>
      </c>
      <c r="AY40" s="1">
        <v>9978</v>
      </c>
      <c r="AZ40" s="1">
        <v>10537</v>
      </c>
      <c r="BA40" s="1">
        <v>11177</v>
      </c>
      <c r="BB40" s="1">
        <f>43873-SUM(AY40:BA40)</f>
        <v>12181</v>
      </c>
      <c r="BC40" s="1">
        <v>12150</v>
      </c>
      <c r="BD40" s="1">
        <v>12942</v>
      </c>
      <c r="BE40" s="1">
        <v>15144</v>
      </c>
      <c r="BO40" s="1">
        <f t="shared" si="48"/>
        <v>1399</v>
      </c>
      <c r="BP40" s="1">
        <f t="shared" si="49"/>
        <v>1415</v>
      </c>
      <c r="BQ40" s="1">
        <f t="shared" si="50"/>
        <v>2666</v>
      </c>
      <c r="BR40" s="1">
        <f t="shared" si="51"/>
        <v>4816</v>
      </c>
      <c r="BS40" s="1">
        <f t="shared" si="52"/>
        <v>5919</v>
      </c>
      <c r="BT40" s="1">
        <f t="shared" si="53"/>
        <v>7754</v>
      </c>
      <c r="BU40" s="1">
        <f t="shared" si="54"/>
        <v>10273</v>
      </c>
      <c r="BV40" s="1">
        <f t="shared" si="55"/>
        <v>13600</v>
      </c>
      <c r="BW40" s="1">
        <f t="shared" si="56"/>
        <v>18447</v>
      </c>
      <c r="BX40" s="1">
        <f t="shared" si="57"/>
        <v>24655</v>
      </c>
      <c r="BY40" s="1">
        <f t="shared" si="58"/>
        <v>35338</v>
      </c>
      <c r="BZ40" s="1">
        <f t="shared" si="59"/>
        <v>38483</v>
      </c>
      <c r="CA40" s="1">
        <f t="shared" si="60"/>
        <v>43873</v>
      </c>
      <c r="CB40" s="56">
        <f>CB37*CB53</f>
        <v>58105.020600000003</v>
      </c>
      <c r="CC40" s="56">
        <f t="shared" ref="CC40:CK40" si="66">CC37*CC53</f>
        <v>75828.971839999998</v>
      </c>
      <c r="CD40" s="56">
        <f t="shared" si="66"/>
        <v>81770.803806600001</v>
      </c>
      <c r="CE40" s="56">
        <f t="shared" si="66"/>
        <v>83191.561790545806</v>
      </c>
      <c r="CF40" s="56">
        <f t="shared" si="66"/>
        <v>86700.148347315888</v>
      </c>
      <c r="CG40" s="56">
        <f t="shared" si="66"/>
        <v>93269.535409303004</v>
      </c>
      <c r="CH40" s="56">
        <f t="shared" si="66"/>
        <v>99717.927761301165</v>
      </c>
      <c r="CI40" s="56">
        <f t="shared" si="66"/>
        <v>105934.39671417221</v>
      </c>
      <c r="CJ40" s="56">
        <f t="shared" si="66"/>
        <v>111799.241181226</v>
      </c>
      <c r="CK40" s="56">
        <f t="shared" si="66"/>
        <v>116668.16807119873</v>
      </c>
    </row>
    <row r="41" spans="2:141">
      <c r="B41" s="46" t="s">
        <v>220</v>
      </c>
      <c r="AI41" s="1">
        <v>2787</v>
      </c>
      <c r="AJ41" s="1">
        <v>2840</v>
      </c>
      <c r="AK41" s="1">
        <v>2683</v>
      </c>
      <c r="AL41" s="1">
        <f>11591-SUM(AI41:AK41)</f>
        <v>3281</v>
      </c>
      <c r="AM41" s="1">
        <v>2843</v>
      </c>
      <c r="AN41" s="1">
        <v>3259</v>
      </c>
      <c r="AO41" s="1">
        <v>3554</v>
      </c>
      <c r="AP41" s="1">
        <f>14043-SUM(AM41:AO41)</f>
        <v>4387</v>
      </c>
      <c r="AQ41" s="1">
        <v>3312</v>
      </c>
      <c r="AR41" s="1">
        <v>3595</v>
      </c>
      <c r="AS41" s="1">
        <v>3780</v>
      </c>
      <c r="AT41" s="1">
        <f>15262-SUM(AQ41:AS41)</f>
        <v>4575</v>
      </c>
      <c r="AU41" s="1">
        <v>3044</v>
      </c>
      <c r="AV41" s="1">
        <v>3154</v>
      </c>
      <c r="AW41" s="1">
        <v>2877</v>
      </c>
      <c r="AX41" s="1">
        <f>12301-SUM(AU41:AW41)</f>
        <v>3226</v>
      </c>
      <c r="AY41" s="1">
        <v>2564</v>
      </c>
      <c r="AZ41" s="1">
        <v>2721</v>
      </c>
      <c r="BA41" s="1">
        <v>2822</v>
      </c>
      <c r="BB41" s="1">
        <f>11347-SUM(AY41:BA41)</f>
        <v>3240</v>
      </c>
      <c r="BC41" s="1">
        <v>2757</v>
      </c>
      <c r="BD41" s="1">
        <v>2979</v>
      </c>
      <c r="BE41" s="1">
        <v>2845</v>
      </c>
      <c r="BO41" s="1">
        <f t="shared" si="48"/>
        <v>0</v>
      </c>
      <c r="BP41" s="1">
        <f t="shared" si="49"/>
        <v>0</v>
      </c>
      <c r="BQ41" s="1">
        <f t="shared" si="50"/>
        <v>0</v>
      </c>
      <c r="BR41" s="1">
        <f t="shared" si="51"/>
        <v>0</v>
      </c>
      <c r="BS41" s="1">
        <f t="shared" si="52"/>
        <v>0</v>
      </c>
      <c r="BT41" s="1">
        <f t="shared" si="53"/>
        <v>0</v>
      </c>
      <c r="BU41" s="1">
        <f t="shared" si="54"/>
        <v>0</v>
      </c>
      <c r="BV41" s="1">
        <f t="shared" si="55"/>
        <v>0</v>
      </c>
      <c r="BW41" s="1">
        <f t="shared" si="56"/>
        <v>11591</v>
      </c>
      <c r="BX41" s="1">
        <f t="shared" si="57"/>
        <v>14043</v>
      </c>
      <c r="BY41" s="1">
        <f t="shared" si="58"/>
        <v>15262</v>
      </c>
      <c r="BZ41" s="1">
        <f t="shared" si="59"/>
        <v>12301</v>
      </c>
      <c r="CA41" s="1">
        <f t="shared" si="60"/>
        <v>11347</v>
      </c>
    </row>
    <row r="42" spans="2:141">
      <c r="B42" s="46" t="s">
        <v>221</v>
      </c>
      <c r="AI42" s="1">
        <v>1583</v>
      </c>
      <c r="AJ42" s="1">
        <v>1593</v>
      </c>
      <c r="AK42" s="1">
        <v>1790</v>
      </c>
      <c r="AL42" s="1">
        <f>6564-SUM(AI42:AK42)</f>
        <v>1598</v>
      </c>
      <c r="AM42" s="1">
        <v>1622</v>
      </c>
      <c r="AN42" s="1">
        <v>1956</v>
      </c>
      <c r="AO42" s="1">
        <v>2946</v>
      </c>
      <c r="AP42" s="1">
        <f>9829-SUM(AM42:AO42)</f>
        <v>3305</v>
      </c>
      <c r="AQ42" s="1">
        <v>2360</v>
      </c>
      <c r="AR42" s="1">
        <v>2987</v>
      </c>
      <c r="AS42" s="1">
        <v>3384</v>
      </c>
      <c r="AT42" s="1">
        <f>11816-SUM(AQ42:AS42)</f>
        <v>3085</v>
      </c>
      <c r="AU42" s="1">
        <v>2885</v>
      </c>
      <c r="AV42" s="1">
        <v>4164</v>
      </c>
      <c r="AW42" s="1">
        <v>2070</v>
      </c>
      <c r="AX42" s="1">
        <f>11408-SUM(AU42:AW42)</f>
        <v>2289</v>
      </c>
      <c r="AY42" s="1">
        <v>3455</v>
      </c>
      <c r="AZ42" s="1">
        <v>3658</v>
      </c>
      <c r="BA42" s="1">
        <v>1865</v>
      </c>
      <c r="BB42" s="1">
        <f>9740-SUM(AY42:BA42)</f>
        <v>762</v>
      </c>
      <c r="BC42" s="1">
        <v>2280</v>
      </c>
      <c r="BD42" s="1">
        <v>2663</v>
      </c>
      <c r="BE42" s="1">
        <v>3512</v>
      </c>
      <c r="BO42" s="1">
        <f t="shared" si="48"/>
        <v>0</v>
      </c>
      <c r="BP42" s="1">
        <f t="shared" si="49"/>
        <v>0</v>
      </c>
      <c r="BQ42" s="1">
        <f t="shared" si="50"/>
        <v>0</v>
      </c>
      <c r="BR42" s="1">
        <f t="shared" si="51"/>
        <v>0</v>
      </c>
      <c r="BS42" s="1">
        <f t="shared" si="52"/>
        <v>0</v>
      </c>
      <c r="BT42" s="1">
        <f t="shared" si="53"/>
        <v>0</v>
      </c>
      <c r="BU42" s="1">
        <f t="shared" si="54"/>
        <v>0</v>
      </c>
      <c r="BV42" s="1">
        <f t="shared" si="55"/>
        <v>0</v>
      </c>
      <c r="BW42" s="1">
        <f t="shared" si="56"/>
        <v>6564</v>
      </c>
      <c r="BX42" s="1">
        <f t="shared" si="57"/>
        <v>9829</v>
      </c>
      <c r="BY42" s="1">
        <f t="shared" si="58"/>
        <v>11816</v>
      </c>
      <c r="BZ42" s="1">
        <f t="shared" si="59"/>
        <v>11408</v>
      </c>
      <c r="CA42" s="1">
        <f t="shared" si="60"/>
        <v>9740</v>
      </c>
    </row>
    <row r="43" spans="2:141">
      <c r="B43" s="1" t="s">
        <v>222</v>
      </c>
      <c r="C43" s="1">
        <f>400-C40</f>
        <v>247</v>
      </c>
      <c r="D43" s="1">
        <f>1560-D40</f>
        <v>855</v>
      </c>
      <c r="E43" s="1">
        <f>563-E40</f>
        <v>319</v>
      </c>
      <c r="F43" s="1">
        <f>664-F40</f>
        <v>367</v>
      </c>
      <c r="G43" s="1">
        <f>672-G40</f>
        <v>379</v>
      </c>
      <c r="H43" s="1">
        <f>786-H40</f>
        <v>442</v>
      </c>
      <c r="I43" s="1">
        <f>773-I40</f>
        <v>404</v>
      </c>
      <c r="J43" s="1">
        <f>962-J40</f>
        <v>553</v>
      </c>
      <c r="K43" s="1">
        <f>965-K40</f>
        <v>510</v>
      </c>
      <c r="L43" s="1">
        <f>1047-L40</f>
        <v>555</v>
      </c>
      <c r="M43" s="1">
        <f>1241-M40</f>
        <v>633</v>
      </c>
      <c r="N43" s="1">
        <f>2066-N40</f>
        <v>955</v>
      </c>
      <c r="O43" s="1">
        <f>1956-O40</f>
        <v>894</v>
      </c>
      <c r="P43" s="1">
        <f>2101-P40</f>
        <v>931</v>
      </c>
      <c r="Q43" s="1">
        <f>2322-Q40</f>
        <v>1051</v>
      </c>
      <c r="R43" s="1">
        <f>2457-R40</f>
        <v>1144</v>
      </c>
      <c r="S43" s="1">
        <f>2534-S40</f>
        <v>1191</v>
      </c>
      <c r="T43" s="1">
        <f>2785-T40</f>
        <v>1314</v>
      </c>
      <c r="U43" s="1">
        <f>2907-U40</f>
        <v>1365</v>
      </c>
      <c r="V43" s="1">
        <f>3196-V40</f>
        <v>1633</v>
      </c>
      <c r="W43" s="1">
        <f>3546-W40</f>
        <v>1712</v>
      </c>
      <c r="X43" s="1">
        <f>3683-X40</f>
        <v>1764</v>
      </c>
      <c r="Y43" s="1">
        <f>3758-Y40</f>
        <v>1706</v>
      </c>
      <c r="Z43" s="1">
        <f>4009-Z40</f>
        <v>2060</v>
      </c>
      <c r="AA43" s="1">
        <f>4590-AA40</f>
        <v>2352</v>
      </c>
      <c r="AB43" s="1">
        <f>5154-AB40</f>
        <v>2631</v>
      </c>
      <c r="AC43" s="1">
        <f>5528-AC40</f>
        <v>2871</v>
      </c>
      <c r="AD43" s="1">
        <f>6298-AD40</f>
        <v>3443</v>
      </c>
      <c r="AE43" s="1">
        <f>8944-AE40</f>
        <v>6084</v>
      </c>
      <c r="AF43" s="1">
        <f>8953-AF40</f>
        <v>5638</v>
      </c>
      <c r="AG43" s="1">
        <f>7312-AG40</f>
        <v>3764</v>
      </c>
      <c r="AH43" s="1">
        <f>8732-AH40</f>
        <v>4855</v>
      </c>
      <c r="AI43" s="1">
        <f t="shared" ref="AI43:BB43" si="67">SUM(AI41:AI42)</f>
        <v>4370</v>
      </c>
      <c r="AJ43" s="1">
        <f t="shared" si="67"/>
        <v>4433</v>
      </c>
      <c r="AK43" s="1">
        <f t="shared" si="67"/>
        <v>4473</v>
      </c>
      <c r="AL43" s="1">
        <f t="shared" si="67"/>
        <v>4879</v>
      </c>
      <c r="AM43" s="1">
        <f t="shared" si="67"/>
        <v>4465</v>
      </c>
      <c r="AN43" s="1">
        <f t="shared" si="67"/>
        <v>5215</v>
      </c>
      <c r="AO43" s="1">
        <f t="shared" si="67"/>
        <v>6500</v>
      </c>
      <c r="AP43" s="1">
        <f t="shared" si="67"/>
        <v>7692</v>
      </c>
      <c r="AQ43" s="1">
        <f t="shared" si="67"/>
        <v>5672</v>
      </c>
      <c r="AR43" s="1">
        <f t="shared" si="67"/>
        <v>6582</v>
      </c>
      <c r="AS43" s="1">
        <f t="shared" si="67"/>
        <v>7164</v>
      </c>
      <c r="AT43" s="1">
        <f t="shared" si="67"/>
        <v>7660</v>
      </c>
      <c r="AU43" s="1">
        <f t="shared" si="67"/>
        <v>5929</v>
      </c>
      <c r="AV43" s="1">
        <f t="shared" si="67"/>
        <v>7318</v>
      </c>
      <c r="AW43" s="1">
        <f t="shared" si="67"/>
        <v>4947</v>
      </c>
      <c r="AX43" s="1">
        <f t="shared" si="67"/>
        <v>5515</v>
      </c>
      <c r="AY43" s="1">
        <f t="shared" si="67"/>
        <v>6019</v>
      </c>
      <c r="AZ43" s="1">
        <f t="shared" si="67"/>
        <v>6379</v>
      </c>
      <c r="BA43" s="1">
        <f t="shared" si="67"/>
        <v>4687</v>
      </c>
      <c r="BB43" s="1">
        <f t="shared" si="67"/>
        <v>4002</v>
      </c>
      <c r="BC43" s="1">
        <f>SUM(BC41:BC42)</f>
        <v>5037</v>
      </c>
      <c r="BD43" s="1">
        <f>SUM(BD41:BD42)</f>
        <v>5642</v>
      </c>
      <c r="BE43" s="1">
        <f>SUM(BE41:BE42)</f>
        <v>6357</v>
      </c>
      <c r="BO43" s="1">
        <f t="shared" si="48"/>
        <v>1788</v>
      </c>
      <c r="BP43" s="1">
        <f t="shared" si="49"/>
        <v>1778</v>
      </c>
      <c r="BQ43" s="1">
        <f t="shared" si="50"/>
        <v>2653</v>
      </c>
      <c r="BR43" s="1">
        <f t="shared" si="51"/>
        <v>4020</v>
      </c>
      <c r="BS43" s="1">
        <f t="shared" si="52"/>
        <v>5503</v>
      </c>
      <c r="BT43" s="1">
        <f t="shared" si="53"/>
        <v>7242</v>
      </c>
      <c r="BU43" s="1">
        <f t="shared" si="54"/>
        <v>11297</v>
      </c>
      <c r="BV43" s="1">
        <f t="shared" si="55"/>
        <v>20341</v>
      </c>
      <c r="BW43" s="1">
        <f t="shared" si="56"/>
        <v>18155</v>
      </c>
      <c r="BX43" s="1">
        <f t="shared" si="57"/>
        <v>23872</v>
      </c>
      <c r="BY43" s="1">
        <f t="shared" si="58"/>
        <v>27078</v>
      </c>
      <c r="BZ43" s="1">
        <f t="shared" si="59"/>
        <v>23709</v>
      </c>
      <c r="CA43" s="1">
        <f t="shared" si="60"/>
        <v>21087</v>
      </c>
      <c r="CB43" s="56">
        <f>CB37*CB54</f>
        <v>24544.362150000001</v>
      </c>
      <c r="CC43" s="56">
        <f t="shared" ref="CC43:CK43" si="68">CC37*CC54</f>
        <v>29620.692125000001</v>
      </c>
      <c r="CD43" s="56">
        <f t="shared" si="68"/>
        <v>33253.460214684004</v>
      </c>
      <c r="CE43" s="56">
        <f t="shared" si="68"/>
        <v>36974.027462464801</v>
      </c>
      <c r="CF43" s="56">
        <f t="shared" si="68"/>
        <v>40922.470019933098</v>
      </c>
      <c r="CG43" s="56">
        <f t="shared" si="68"/>
        <v>45080.275447829794</v>
      </c>
      <c r="CH43" s="56">
        <f t="shared" si="68"/>
        <v>49425.407672992755</v>
      </c>
      <c r="CI43" s="56">
        <f t="shared" si="68"/>
        <v>54411.758312279366</v>
      </c>
      <c r="CJ43" s="56">
        <f t="shared" si="68"/>
        <v>59626.261963320532</v>
      </c>
      <c r="CK43" s="56">
        <f t="shared" si="68"/>
        <v>64750.833279515289</v>
      </c>
    </row>
    <row r="44" spans="2:141">
      <c r="B44" s="1" t="s">
        <v>223</v>
      </c>
      <c r="C44" s="1">
        <f>C39-SUM(C40:C43)</f>
        <v>381</v>
      </c>
      <c r="D44" s="1">
        <f t="shared" ref="D44:AH44" si="69">D39-SUM(D40:D43)</f>
        <v>-743</v>
      </c>
      <c r="E44" s="1">
        <f t="shared" si="69"/>
        <v>377</v>
      </c>
      <c r="F44" s="1">
        <f t="shared" si="69"/>
        <v>523</v>
      </c>
      <c r="G44" s="1">
        <f t="shared" si="69"/>
        <v>373</v>
      </c>
      <c r="H44" s="1">
        <f t="shared" si="69"/>
        <v>562</v>
      </c>
      <c r="I44" s="1">
        <f t="shared" si="69"/>
        <v>736</v>
      </c>
      <c r="J44" s="1">
        <f t="shared" si="69"/>
        <v>1133</v>
      </c>
      <c r="K44" s="1">
        <f t="shared" si="69"/>
        <v>1075</v>
      </c>
      <c r="L44" s="1">
        <f t="shared" si="69"/>
        <v>1390</v>
      </c>
      <c r="M44" s="1">
        <f t="shared" si="69"/>
        <v>1397</v>
      </c>
      <c r="N44" s="1">
        <f t="shared" si="69"/>
        <v>1132</v>
      </c>
      <c r="O44" s="1">
        <f t="shared" si="69"/>
        <v>933</v>
      </c>
      <c r="P44" s="1">
        <f t="shared" si="69"/>
        <v>1273</v>
      </c>
      <c r="Q44" s="1">
        <f t="shared" si="69"/>
        <v>1459</v>
      </c>
      <c r="R44" s="1">
        <f t="shared" si="69"/>
        <v>2560</v>
      </c>
      <c r="S44" s="1">
        <f t="shared" si="69"/>
        <v>2010</v>
      </c>
      <c r="T44" s="1">
        <f t="shared" si="69"/>
        <v>2734</v>
      </c>
      <c r="U44" s="1">
        <f t="shared" si="69"/>
        <v>3117</v>
      </c>
      <c r="V44" s="1">
        <f t="shared" si="69"/>
        <v>4566</v>
      </c>
      <c r="W44" s="1">
        <f t="shared" si="69"/>
        <v>3327</v>
      </c>
      <c r="X44" s="1">
        <f t="shared" si="69"/>
        <v>4401</v>
      </c>
      <c r="Y44" s="1">
        <f t="shared" si="69"/>
        <v>5122</v>
      </c>
      <c r="Z44" s="1">
        <f t="shared" si="69"/>
        <v>7353</v>
      </c>
      <c r="AA44" s="1">
        <f t="shared" si="69"/>
        <v>5449</v>
      </c>
      <c r="AB44" s="1">
        <f t="shared" si="69"/>
        <v>5863</v>
      </c>
      <c r="AC44" s="1">
        <f t="shared" si="69"/>
        <v>5781</v>
      </c>
      <c r="AD44" s="1">
        <f t="shared" si="69"/>
        <v>7820</v>
      </c>
      <c r="AE44" s="1">
        <f t="shared" si="69"/>
        <v>3317</v>
      </c>
      <c r="AF44" s="1">
        <f t="shared" si="69"/>
        <v>4626</v>
      </c>
      <c r="AG44" s="1">
        <f t="shared" si="69"/>
        <v>7185</v>
      </c>
      <c r="AH44" s="1">
        <f t="shared" si="69"/>
        <v>8858</v>
      </c>
      <c r="AI44" s="1">
        <f>AI39-AI40-AI43</f>
        <v>5893</v>
      </c>
      <c r="AJ44" s="1">
        <f t="shared" ref="AJ44:BB44" si="70">AJ39-AJ40-AJ43</f>
        <v>5963</v>
      </c>
      <c r="AK44" s="1">
        <f t="shared" si="70"/>
        <v>8040</v>
      </c>
      <c r="AL44" s="1">
        <f t="shared" si="70"/>
        <v>12775</v>
      </c>
      <c r="AM44" s="1">
        <f t="shared" si="70"/>
        <v>11378</v>
      </c>
      <c r="AN44" s="1">
        <f t="shared" si="70"/>
        <v>12367</v>
      </c>
      <c r="AO44" s="1">
        <f t="shared" si="70"/>
        <v>10423</v>
      </c>
      <c r="AP44" s="1">
        <f t="shared" si="70"/>
        <v>12585</v>
      </c>
      <c r="AQ44" s="1">
        <f t="shared" si="70"/>
        <v>8524</v>
      </c>
      <c r="AR44" s="1">
        <f t="shared" si="70"/>
        <v>8358</v>
      </c>
      <c r="AS44" s="1">
        <f t="shared" si="70"/>
        <v>5664</v>
      </c>
      <c r="AT44" s="1">
        <f t="shared" si="70"/>
        <v>6398</v>
      </c>
      <c r="AU44" s="1">
        <f t="shared" si="70"/>
        <v>7227</v>
      </c>
      <c r="AV44" s="1">
        <f t="shared" si="70"/>
        <v>9392</v>
      </c>
      <c r="AW44" s="1">
        <f t="shared" si="70"/>
        <v>13748</v>
      </c>
      <c r="AX44" s="1">
        <f t="shared" si="70"/>
        <v>16384</v>
      </c>
      <c r="AY44" s="1">
        <f t="shared" si="70"/>
        <v>13818</v>
      </c>
      <c r="AZ44" s="1">
        <f t="shared" si="70"/>
        <v>14847</v>
      </c>
      <c r="BA44" s="1">
        <f t="shared" si="70"/>
        <v>17350</v>
      </c>
      <c r="BB44" s="1">
        <f t="shared" si="70"/>
        <v>23365</v>
      </c>
      <c r="BC44" s="1">
        <f>BC39-BC40-BC43</f>
        <v>17555</v>
      </c>
      <c r="BD44" s="1">
        <f>BD39-BD40-BD43</f>
        <v>20441</v>
      </c>
      <c r="BE44" s="1">
        <f>BE39-BE40-BE43</f>
        <v>20535</v>
      </c>
      <c r="BO44" s="1">
        <f t="shared" si="48"/>
        <v>538</v>
      </c>
      <c r="BP44" s="1">
        <f t="shared" si="49"/>
        <v>2804</v>
      </c>
      <c r="BQ44" s="1">
        <f t="shared" si="50"/>
        <v>4994</v>
      </c>
      <c r="BR44" s="1">
        <f t="shared" si="51"/>
        <v>6225</v>
      </c>
      <c r="BS44" s="1">
        <f t="shared" si="52"/>
        <v>12427</v>
      </c>
      <c r="BT44" s="1">
        <f t="shared" si="53"/>
        <v>20203</v>
      </c>
      <c r="BU44" s="1">
        <f t="shared" si="54"/>
        <v>24913</v>
      </c>
      <c r="BV44" s="1">
        <f t="shared" si="55"/>
        <v>23986</v>
      </c>
      <c r="BW44" s="1">
        <f t="shared" si="56"/>
        <v>32671</v>
      </c>
      <c r="BX44" s="1">
        <f t="shared" si="57"/>
        <v>46753</v>
      </c>
      <c r="BY44" s="1">
        <f t="shared" si="58"/>
        <v>28944</v>
      </c>
      <c r="BZ44" s="1">
        <f t="shared" si="59"/>
        <v>46751</v>
      </c>
      <c r="CA44" s="1">
        <f t="shared" si="60"/>
        <v>69380</v>
      </c>
      <c r="CB44" s="56">
        <f>CB39-SUM(CB40:CB43)</f>
        <v>79643.950650000028</v>
      </c>
      <c r="CC44" s="56">
        <f t="shared" ref="CC44:CK44" si="71">CC39-SUM(CC40:CC43)</f>
        <v>87677.248689999993</v>
      </c>
      <c r="CD44" s="56">
        <f t="shared" si="71"/>
        <v>108482.599716756</v>
      </c>
      <c r="CE44" s="56">
        <f t="shared" si="71"/>
        <v>132490.26507383218</v>
      </c>
      <c r="CF44" s="56">
        <f t="shared" si="71"/>
        <v>156753.86821194715</v>
      </c>
      <c r="CG44" s="56">
        <f t="shared" si="71"/>
        <v>180321.10179131918</v>
      </c>
      <c r="CH44" s="56">
        <f t="shared" si="71"/>
        <v>206372.75484512761</v>
      </c>
      <c r="CI44" s="56">
        <f t="shared" si="71"/>
        <v>234500.23272637214</v>
      </c>
      <c r="CJ44" s="56">
        <f t="shared" si="71"/>
        <v>265123.91480119305</v>
      </c>
      <c r="CK44" s="56">
        <f t="shared" si="71"/>
        <v>296920.48774120072</v>
      </c>
    </row>
    <row r="45" spans="2:141">
      <c r="B45" s="1" t="s">
        <v>224</v>
      </c>
      <c r="C45" s="1">
        <v>1</v>
      </c>
      <c r="D45" s="1">
        <v>-22</v>
      </c>
      <c r="E45" s="1">
        <v>-5</v>
      </c>
      <c r="F45" s="1">
        <v>-18</v>
      </c>
      <c r="G45" s="1">
        <v>-20</v>
      </c>
      <c r="H45" s="1">
        <v>-17</v>
      </c>
      <c r="I45" s="1">
        <v>-10</v>
      </c>
      <c r="J45" s="1">
        <v>-3</v>
      </c>
      <c r="K45" s="1">
        <v>0</v>
      </c>
      <c r="L45" s="1">
        <v>-4</v>
      </c>
      <c r="M45" s="1">
        <v>-61</v>
      </c>
      <c r="N45" s="1">
        <v>-19</v>
      </c>
      <c r="O45" s="1">
        <v>-1</v>
      </c>
      <c r="P45" s="1">
        <v>0</v>
      </c>
      <c r="Q45" s="1">
        <v>-27</v>
      </c>
      <c r="R45" s="1">
        <v>-3</v>
      </c>
      <c r="S45" s="1">
        <v>56</v>
      </c>
      <c r="T45" s="1">
        <v>20</v>
      </c>
      <c r="U45" s="1">
        <v>47</v>
      </c>
      <c r="V45" s="1">
        <v>-32</v>
      </c>
      <c r="W45" s="1">
        <v>81</v>
      </c>
      <c r="X45" s="1">
        <v>87</v>
      </c>
      <c r="Y45" s="1">
        <v>114</v>
      </c>
      <c r="Z45" s="1">
        <v>109</v>
      </c>
      <c r="AA45" s="1">
        <v>161</v>
      </c>
      <c r="AB45" s="1">
        <v>5</v>
      </c>
      <c r="AC45" s="1">
        <v>131</v>
      </c>
      <c r="AD45" s="1">
        <v>151</v>
      </c>
      <c r="AE45" s="1">
        <v>165</v>
      </c>
      <c r="AF45" s="1">
        <v>206</v>
      </c>
      <c r="AG45" s="1">
        <v>144</v>
      </c>
      <c r="AH45" s="1">
        <v>311</v>
      </c>
      <c r="AI45" s="1">
        <v>-32</v>
      </c>
      <c r="AJ45" s="1">
        <v>168</v>
      </c>
      <c r="AK45" s="1">
        <v>93</v>
      </c>
      <c r="AL45" s="1">
        <f>509-SUM(AI45:AK45)</f>
        <v>280</v>
      </c>
      <c r="AM45" s="1">
        <v>125</v>
      </c>
      <c r="AN45" s="1">
        <v>146</v>
      </c>
      <c r="AO45" s="1">
        <v>142</v>
      </c>
      <c r="AP45" s="1">
        <f>531-SUM(AM45:AO45)</f>
        <v>118</v>
      </c>
      <c r="AQ45" s="1">
        <v>384</v>
      </c>
      <c r="AR45" s="1">
        <v>-172</v>
      </c>
      <c r="AS45" s="1">
        <v>-88</v>
      </c>
      <c r="AT45" s="1">
        <f>-125-SUM(AQ45:AS45)</f>
        <v>-249</v>
      </c>
      <c r="AU45" s="1">
        <v>80</v>
      </c>
      <c r="AV45" s="1">
        <v>-99</v>
      </c>
      <c r="AW45" s="1">
        <v>272</v>
      </c>
      <c r="AX45" s="1">
        <f>677-SUM(AU45:AW45)</f>
        <v>424</v>
      </c>
      <c r="AY45" s="1">
        <v>365</v>
      </c>
      <c r="AZ45" s="1">
        <v>259</v>
      </c>
      <c r="BA45" s="1">
        <v>472</v>
      </c>
      <c r="BB45" s="1">
        <f>1283-SUM(AY45:BA45)</f>
        <v>187</v>
      </c>
      <c r="BC45" s="1">
        <v>827</v>
      </c>
      <c r="BD45" s="1">
        <v>93</v>
      </c>
      <c r="BE45" s="1">
        <v>1128</v>
      </c>
      <c r="BO45" s="1">
        <f t="shared" si="48"/>
        <v>-44</v>
      </c>
      <c r="BP45" s="1">
        <f t="shared" si="49"/>
        <v>-50</v>
      </c>
      <c r="BQ45" s="1">
        <f t="shared" si="50"/>
        <v>-84</v>
      </c>
      <c r="BR45" s="1">
        <f t="shared" si="51"/>
        <v>-31</v>
      </c>
      <c r="BS45" s="1">
        <f t="shared" si="52"/>
        <v>91</v>
      </c>
      <c r="BT45" s="1">
        <f t="shared" si="53"/>
        <v>391</v>
      </c>
      <c r="BU45" s="1">
        <f t="shared" si="54"/>
        <v>448</v>
      </c>
      <c r="BV45" s="1">
        <f t="shared" si="55"/>
        <v>826</v>
      </c>
      <c r="BW45" s="1">
        <f t="shared" si="56"/>
        <v>509</v>
      </c>
      <c r="BX45" s="1">
        <f t="shared" si="57"/>
        <v>531</v>
      </c>
      <c r="BY45" s="1">
        <f t="shared" si="58"/>
        <v>-125</v>
      </c>
      <c r="BZ45" s="1">
        <f t="shared" si="59"/>
        <v>677</v>
      </c>
      <c r="CA45" s="1">
        <f t="shared" si="60"/>
        <v>1283</v>
      </c>
      <c r="CB45" s="56">
        <f>CA45*(1+$CK$61)</f>
        <v>1651.8625000000002</v>
      </c>
      <c r="CC45" s="56">
        <f t="shared" ref="CC45:CK45" si="72">CB45*(1+$CK$61)</f>
        <v>2126.7729687500005</v>
      </c>
      <c r="CD45" s="56">
        <f t="shared" si="72"/>
        <v>2738.2201972656258</v>
      </c>
      <c r="CE45" s="56">
        <f t="shared" si="72"/>
        <v>3525.4585039794933</v>
      </c>
      <c r="CF45" s="56">
        <f t="shared" si="72"/>
        <v>4539.0278238735982</v>
      </c>
      <c r="CG45" s="56">
        <f t="shared" si="72"/>
        <v>5843.9983232372579</v>
      </c>
      <c r="CH45" s="56">
        <f t="shared" si="72"/>
        <v>7524.14784116797</v>
      </c>
      <c r="CI45" s="56">
        <f t="shared" si="72"/>
        <v>9687.3403455037624</v>
      </c>
      <c r="CJ45" s="56">
        <f t="shared" si="72"/>
        <v>12472.450694836094</v>
      </c>
      <c r="CK45" s="56">
        <f t="shared" si="72"/>
        <v>16058.280269601471</v>
      </c>
    </row>
    <row r="46" spans="2:141">
      <c r="B46" s="1" t="s">
        <v>225</v>
      </c>
      <c r="C46" s="1">
        <f>C44+C45</f>
        <v>382</v>
      </c>
      <c r="D46" s="1">
        <f t="shared" ref="D46:BC46" si="73">D44+D45</f>
        <v>-765</v>
      </c>
      <c r="E46" s="1">
        <f t="shared" si="73"/>
        <v>372</v>
      </c>
      <c r="F46" s="1">
        <f t="shared" si="73"/>
        <v>505</v>
      </c>
      <c r="G46" s="1">
        <f t="shared" si="73"/>
        <v>353</v>
      </c>
      <c r="H46" s="1">
        <f t="shared" si="73"/>
        <v>545</v>
      </c>
      <c r="I46" s="1">
        <f t="shared" si="73"/>
        <v>726</v>
      </c>
      <c r="J46" s="1">
        <f t="shared" si="73"/>
        <v>1130</v>
      </c>
      <c r="K46" s="1">
        <f t="shared" si="73"/>
        <v>1075</v>
      </c>
      <c r="L46" s="1">
        <f t="shared" si="73"/>
        <v>1386</v>
      </c>
      <c r="M46" s="1">
        <f t="shared" si="73"/>
        <v>1336</v>
      </c>
      <c r="N46" s="1">
        <f t="shared" si="73"/>
        <v>1113</v>
      </c>
      <c r="O46" s="1">
        <f t="shared" si="73"/>
        <v>932</v>
      </c>
      <c r="P46" s="1">
        <f t="shared" si="73"/>
        <v>1273</v>
      </c>
      <c r="Q46" s="1">
        <f t="shared" si="73"/>
        <v>1432</v>
      </c>
      <c r="R46" s="1">
        <f t="shared" si="73"/>
        <v>2557</v>
      </c>
      <c r="S46" s="1">
        <f t="shared" si="73"/>
        <v>2066</v>
      </c>
      <c r="T46" s="1">
        <f t="shared" si="73"/>
        <v>2754</v>
      </c>
      <c r="U46" s="1">
        <f t="shared" si="73"/>
        <v>3164</v>
      </c>
      <c r="V46" s="1">
        <f t="shared" si="73"/>
        <v>4534</v>
      </c>
      <c r="W46" s="1">
        <f t="shared" si="73"/>
        <v>3408</v>
      </c>
      <c r="X46" s="1">
        <f t="shared" si="73"/>
        <v>4488</v>
      </c>
      <c r="Y46" s="1">
        <f t="shared" si="73"/>
        <v>5236</v>
      </c>
      <c r="Z46" s="1">
        <f t="shared" si="73"/>
        <v>7462</v>
      </c>
      <c r="AA46" s="1">
        <f t="shared" si="73"/>
        <v>5610</v>
      </c>
      <c r="AB46" s="1">
        <f t="shared" si="73"/>
        <v>5868</v>
      </c>
      <c r="AC46" s="1">
        <f t="shared" si="73"/>
        <v>5912</v>
      </c>
      <c r="AD46" s="1">
        <f t="shared" si="73"/>
        <v>7971</v>
      </c>
      <c r="AE46" s="1">
        <f t="shared" si="73"/>
        <v>3482</v>
      </c>
      <c r="AF46" s="1">
        <f t="shared" si="73"/>
        <v>4832</v>
      </c>
      <c r="AG46" s="1">
        <f t="shared" si="73"/>
        <v>7329</v>
      </c>
      <c r="AH46" s="1">
        <f t="shared" si="73"/>
        <v>9169</v>
      </c>
      <c r="AI46" s="1">
        <f t="shared" si="73"/>
        <v>5861</v>
      </c>
      <c r="AJ46" s="1">
        <f t="shared" si="73"/>
        <v>6131</v>
      </c>
      <c r="AK46" s="1">
        <f t="shared" si="73"/>
        <v>8133</v>
      </c>
      <c r="AL46" s="1">
        <f t="shared" si="73"/>
        <v>13055</v>
      </c>
      <c r="AM46" s="1">
        <f t="shared" si="73"/>
        <v>11503</v>
      </c>
      <c r="AN46" s="1">
        <f t="shared" si="73"/>
        <v>12513</v>
      </c>
      <c r="AO46" s="1">
        <f t="shared" si="73"/>
        <v>10565</v>
      </c>
      <c r="AP46" s="1">
        <f t="shared" si="73"/>
        <v>12703</v>
      </c>
      <c r="AQ46" s="1">
        <f t="shared" si="73"/>
        <v>8908</v>
      </c>
      <c r="AR46" s="1">
        <f t="shared" si="73"/>
        <v>8186</v>
      </c>
      <c r="AS46" s="1">
        <f t="shared" si="73"/>
        <v>5576</v>
      </c>
      <c r="AT46" s="1">
        <f t="shared" si="73"/>
        <v>6149</v>
      </c>
      <c r="AU46" s="1">
        <f t="shared" si="73"/>
        <v>7307</v>
      </c>
      <c r="AV46" s="1">
        <f t="shared" si="73"/>
        <v>9293</v>
      </c>
      <c r="AW46" s="1">
        <f t="shared" si="73"/>
        <v>14020</v>
      </c>
      <c r="AX46" s="1">
        <f t="shared" si="73"/>
        <v>16808</v>
      </c>
      <c r="AY46" s="1">
        <f t="shared" si="73"/>
        <v>14183</v>
      </c>
      <c r="AZ46" s="1">
        <f t="shared" si="73"/>
        <v>15106</v>
      </c>
      <c r="BA46" s="1">
        <f t="shared" si="73"/>
        <v>17822</v>
      </c>
      <c r="BB46" s="1">
        <f t="shared" si="73"/>
        <v>23552</v>
      </c>
      <c r="BC46" s="1">
        <f t="shared" si="73"/>
        <v>18382</v>
      </c>
      <c r="BD46" s="1">
        <f t="shared" ref="BD46:BE46" si="74">BD44+BD45</f>
        <v>20534</v>
      </c>
      <c r="BE46" s="1">
        <f t="shared" si="74"/>
        <v>21663</v>
      </c>
      <c r="BO46" s="1">
        <f t="shared" si="48"/>
        <v>494</v>
      </c>
      <c r="BP46" s="1">
        <f t="shared" si="49"/>
        <v>2754</v>
      </c>
      <c r="BQ46" s="1">
        <f t="shared" si="50"/>
        <v>4910</v>
      </c>
      <c r="BR46" s="1">
        <f t="shared" si="51"/>
        <v>6194</v>
      </c>
      <c r="BS46" s="1">
        <f t="shared" si="52"/>
        <v>12518</v>
      </c>
      <c r="BT46" s="1">
        <f t="shared" si="53"/>
        <v>20594</v>
      </c>
      <c r="BU46" s="1">
        <f t="shared" si="54"/>
        <v>25361</v>
      </c>
      <c r="BV46" s="1">
        <f t="shared" si="55"/>
        <v>24812</v>
      </c>
      <c r="BW46" s="1">
        <f t="shared" si="56"/>
        <v>33180</v>
      </c>
      <c r="BX46" s="1">
        <f t="shared" si="57"/>
        <v>47284</v>
      </c>
      <c r="BY46" s="1">
        <f t="shared" si="58"/>
        <v>28819</v>
      </c>
      <c r="BZ46" s="1">
        <f t="shared" si="59"/>
        <v>47428</v>
      </c>
      <c r="CA46" s="1">
        <f t="shared" si="60"/>
        <v>70663</v>
      </c>
      <c r="CB46" s="56">
        <f>CB44+CB45</f>
        <v>81295.813150000031</v>
      </c>
      <c r="CC46" s="56">
        <f t="shared" ref="CC46:CK46" si="75">CC44+CC45</f>
        <v>89804.021658749989</v>
      </c>
      <c r="CD46" s="56">
        <f t="shared" si="75"/>
        <v>111220.81991402162</v>
      </c>
      <c r="CE46" s="56">
        <f t="shared" si="75"/>
        <v>136015.72357781167</v>
      </c>
      <c r="CF46" s="56">
        <f t="shared" si="75"/>
        <v>161292.89603582074</v>
      </c>
      <c r="CG46" s="56">
        <f t="shared" si="75"/>
        <v>186165.10011455644</v>
      </c>
      <c r="CH46" s="56">
        <f t="shared" si="75"/>
        <v>213896.90268629557</v>
      </c>
      <c r="CI46" s="56">
        <f t="shared" si="75"/>
        <v>244187.5730718759</v>
      </c>
      <c r="CJ46" s="56">
        <f t="shared" si="75"/>
        <v>277596.36549602915</v>
      </c>
      <c r="CK46" s="56">
        <f t="shared" si="75"/>
        <v>312978.76801080222</v>
      </c>
    </row>
    <row r="47" spans="2:141">
      <c r="B47" s="1" t="s">
        <v>226</v>
      </c>
      <c r="C47" s="1">
        <v>177</v>
      </c>
      <c r="D47" s="1">
        <v>-608</v>
      </c>
      <c r="E47" s="1">
        <v>431</v>
      </c>
      <c r="F47" s="1">
        <v>441</v>
      </c>
      <c r="G47" s="1">
        <v>134</v>
      </c>
      <c r="H47" s="1">
        <v>212</v>
      </c>
      <c r="I47" s="1">
        <v>301</v>
      </c>
      <c r="J47" s="1">
        <v>607</v>
      </c>
      <c r="K47" s="1">
        <v>433</v>
      </c>
      <c r="L47" s="1">
        <v>595</v>
      </c>
      <c r="M47" s="1">
        <v>530</v>
      </c>
      <c r="N47" s="1">
        <v>412</v>
      </c>
      <c r="O47" s="1">
        <v>420</v>
      </c>
      <c r="P47" s="1">
        <v>554</v>
      </c>
      <c r="Q47" s="1">
        <v>536</v>
      </c>
      <c r="R47" s="1">
        <v>996</v>
      </c>
      <c r="S47" s="1">
        <v>328</v>
      </c>
      <c r="T47" s="1">
        <v>471</v>
      </c>
      <c r="U47" s="1">
        <v>537</v>
      </c>
      <c r="V47" s="1">
        <v>965</v>
      </c>
      <c r="W47" s="1">
        <v>344</v>
      </c>
      <c r="X47" s="1">
        <v>594</v>
      </c>
      <c r="Y47" s="1">
        <v>529</v>
      </c>
      <c r="Z47" s="1">
        <v>3193</v>
      </c>
      <c r="AA47" s="1">
        <v>622</v>
      </c>
      <c r="AB47" s="1">
        <v>762</v>
      </c>
      <c r="AC47" s="1">
        <v>775</v>
      </c>
      <c r="AD47" s="1">
        <v>1090</v>
      </c>
      <c r="AE47" s="1">
        <v>1053</v>
      </c>
      <c r="AF47" s="1">
        <v>2216</v>
      </c>
      <c r="AG47" s="1">
        <v>1238</v>
      </c>
      <c r="AH47" s="1">
        <v>1820</v>
      </c>
      <c r="AI47" s="1">
        <v>959</v>
      </c>
      <c r="AJ47" s="1">
        <v>953</v>
      </c>
      <c r="AK47" s="1">
        <v>287</v>
      </c>
      <c r="AL47" s="1">
        <f>4034-SUM(AI47:AK47)</f>
        <v>1835</v>
      </c>
      <c r="AM47" s="1">
        <v>2006</v>
      </c>
      <c r="AN47" s="1">
        <v>2119</v>
      </c>
      <c r="AO47" s="1">
        <v>1371</v>
      </c>
      <c r="AP47" s="1">
        <f>7914-SUM(AM47:AO47)</f>
        <v>2418</v>
      </c>
      <c r="AQ47" s="1">
        <v>1443</v>
      </c>
      <c r="AR47" s="1">
        <v>1499</v>
      </c>
      <c r="AS47" s="1">
        <v>1181</v>
      </c>
      <c r="AT47" s="1">
        <f>5619-SUM(AQ47:AS47)</f>
        <v>1496</v>
      </c>
      <c r="AU47" s="1">
        <v>1598</v>
      </c>
      <c r="AV47" s="1">
        <v>1505</v>
      </c>
      <c r="AW47" s="1">
        <v>2437</v>
      </c>
      <c r="AX47" s="1">
        <f>8330-SUM(AU47:AW47)</f>
        <v>2790</v>
      </c>
      <c r="AY47" s="1">
        <v>1814</v>
      </c>
      <c r="AZ47" s="1">
        <v>1641</v>
      </c>
      <c r="BA47" s="1">
        <v>2134</v>
      </c>
      <c r="BB47" s="1">
        <f>8303-SUM(AY47:BA47)</f>
        <v>2714</v>
      </c>
      <c r="BC47" s="1">
        <v>1738</v>
      </c>
      <c r="BD47" s="1">
        <v>2197</v>
      </c>
      <c r="BE47" s="1">
        <v>18954</v>
      </c>
      <c r="BO47" s="1">
        <f t="shared" si="48"/>
        <v>441</v>
      </c>
      <c r="BP47" s="1">
        <f t="shared" si="49"/>
        <v>1254</v>
      </c>
      <c r="BQ47" s="1">
        <f t="shared" si="50"/>
        <v>1970</v>
      </c>
      <c r="BR47" s="1">
        <f t="shared" si="51"/>
        <v>2506</v>
      </c>
      <c r="BS47" s="1">
        <f t="shared" si="52"/>
        <v>2301</v>
      </c>
      <c r="BT47" s="1">
        <f t="shared" si="53"/>
        <v>4660</v>
      </c>
      <c r="BU47" s="1">
        <f t="shared" si="54"/>
        <v>3249</v>
      </c>
      <c r="BV47" s="1">
        <f t="shared" si="55"/>
        <v>6327</v>
      </c>
      <c r="BW47" s="1">
        <f t="shared" si="56"/>
        <v>4034</v>
      </c>
      <c r="BX47" s="1">
        <f t="shared" si="57"/>
        <v>7914</v>
      </c>
      <c r="BY47" s="1">
        <f t="shared" si="58"/>
        <v>5619</v>
      </c>
      <c r="BZ47" s="1">
        <f t="shared" si="59"/>
        <v>8330</v>
      </c>
      <c r="CA47" s="1">
        <f t="shared" si="60"/>
        <v>8303</v>
      </c>
      <c r="CB47" s="56">
        <f>CB46*CB56</f>
        <v>23982.264879250008</v>
      </c>
      <c r="CC47" s="56">
        <f t="shared" ref="CC47:CK47" si="76">CC46*CC56</f>
        <v>18858.844548337496</v>
      </c>
      <c r="CD47" s="56">
        <f t="shared" si="76"/>
        <v>23356.372181944538</v>
      </c>
      <c r="CE47" s="56">
        <f t="shared" si="76"/>
        <v>28563.301951340451</v>
      </c>
      <c r="CF47" s="56">
        <f t="shared" si="76"/>
        <v>33871.508167522356</v>
      </c>
      <c r="CG47" s="56">
        <f t="shared" si="76"/>
        <v>39094.67102405685</v>
      </c>
      <c r="CH47" s="56">
        <f t="shared" si="76"/>
        <v>44918.349564122065</v>
      </c>
      <c r="CI47" s="56">
        <f t="shared" si="76"/>
        <v>51279.39034509394</v>
      </c>
      <c r="CJ47" s="56">
        <f t="shared" si="76"/>
        <v>58295.236754166115</v>
      </c>
      <c r="CK47" s="56">
        <f t="shared" si="76"/>
        <v>65725.541282268459</v>
      </c>
    </row>
    <row r="48" spans="2:141" s="2" customFormat="1" ht="15">
      <c r="B48" s="2" t="s">
        <v>227</v>
      </c>
      <c r="C48" s="2">
        <f>C46-C47</f>
        <v>205</v>
      </c>
      <c r="D48" s="2">
        <f t="shared" ref="D48:BC48" si="77">D46-D47</f>
        <v>-157</v>
      </c>
      <c r="E48" s="2">
        <f t="shared" si="77"/>
        <v>-59</v>
      </c>
      <c r="F48" s="2">
        <f t="shared" si="77"/>
        <v>64</v>
      </c>
      <c r="G48" s="2">
        <f t="shared" si="77"/>
        <v>219</v>
      </c>
      <c r="H48" s="2">
        <f t="shared" si="77"/>
        <v>333</v>
      </c>
      <c r="I48" s="2">
        <f t="shared" si="77"/>
        <v>425</v>
      </c>
      <c r="J48" s="2">
        <f t="shared" si="77"/>
        <v>523</v>
      </c>
      <c r="K48" s="2">
        <f t="shared" si="77"/>
        <v>642</v>
      </c>
      <c r="L48" s="2">
        <f t="shared" si="77"/>
        <v>791</v>
      </c>
      <c r="M48" s="2">
        <f t="shared" si="77"/>
        <v>806</v>
      </c>
      <c r="N48" s="2">
        <f t="shared" si="77"/>
        <v>701</v>
      </c>
      <c r="O48" s="2">
        <f t="shared" si="77"/>
        <v>512</v>
      </c>
      <c r="P48" s="2">
        <f t="shared" si="77"/>
        <v>719</v>
      </c>
      <c r="Q48" s="2">
        <f t="shared" si="77"/>
        <v>896</v>
      </c>
      <c r="R48" s="2">
        <f t="shared" si="77"/>
        <v>1561</v>
      </c>
      <c r="S48" s="2">
        <f t="shared" si="77"/>
        <v>1738</v>
      </c>
      <c r="T48" s="2">
        <f t="shared" si="77"/>
        <v>2283</v>
      </c>
      <c r="U48" s="2">
        <f t="shared" si="77"/>
        <v>2627</v>
      </c>
      <c r="V48" s="2">
        <f t="shared" si="77"/>
        <v>3569</v>
      </c>
      <c r="W48" s="2">
        <f t="shared" si="77"/>
        <v>3064</v>
      </c>
      <c r="X48" s="2">
        <f t="shared" si="77"/>
        <v>3894</v>
      </c>
      <c r="Y48" s="2">
        <f t="shared" si="77"/>
        <v>4707</v>
      </c>
      <c r="Z48" s="2">
        <f t="shared" si="77"/>
        <v>4269</v>
      </c>
      <c r="AA48" s="2">
        <f t="shared" si="77"/>
        <v>4988</v>
      </c>
      <c r="AB48" s="2">
        <f t="shared" si="77"/>
        <v>5106</v>
      </c>
      <c r="AC48" s="2">
        <f t="shared" si="77"/>
        <v>5137</v>
      </c>
      <c r="AD48" s="2">
        <f t="shared" si="77"/>
        <v>6881</v>
      </c>
      <c r="AE48" s="2">
        <f t="shared" si="77"/>
        <v>2429</v>
      </c>
      <c r="AF48" s="2">
        <f t="shared" si="77"/>
        <v>2616</v>
      </c>
      <c r="AG48" s="2">
        <f t="shared" si="77"/>
        <v>6091</v>
      </c>
      <c r="AH48" s="2">
        <f t="shared" si="77"/>
        <v>7349</v>
      </c>
      <c r="AI48" s="2">
        <f t="shared" si="77"/>
        <v>4902</v>
      </c>
      <c r="AJ48" s="2">
        <f t="shared" si="77"/>
        <v>5178</v>
      </c>
      <c r="AK48" s="2">
        <f t="shared" si="77"/>
        <v>7846</v>
      </c>
      <c r="AL48" s="2">
        <f t="shared" si="77"/>
        <v>11220</v>
      </c>
      <c r="AM48" s="2">
        <f t="shared" si="77"/>
        <v>9497</v>
      </c>
      <c r="AN48" s="2">
        <f t="shared" si="77"/>
        <v>10394</v>
      </c>
      <c r="AO48" s="2">
        <f t="shared" si="77"/>
        <v>9194</v>
      </c>
      <c r="AP48" s="2">
        <f t="shared" si="77"/>
        <v>10285</v>
      </c>
      <c r="AQ48" s="2">
        <f t="shared" si="77"/>
        <v>7465</v>
      </c>
      <c r="AR48" s="2">
        <f t="shared" si="77"/>
        <v>6687</v>
      </c>
      <c r="AS48" s="2">
        <f t="shared" si="77"/>
        <v>4395</v>
      </c>
      <c r="AT48" s="2">
        <f t="shared" si="77"/>
        <v>4653</v>
      </c>
      <c r="AU48" s="2">
        <f t="shared" si="77"/>
        <v>5709</v>
      </c>
      <c r="AV48" s="2">
        <f t="shared" si="77"/>
        <v>7788</v>
      </c>
      <c r="AW48" s="2">
        <f t="shared" si="77"/>
        <v>11583</v>
      </c>
      <c r="AX48" s="2">
        <f t="shared" si="77"/>
        <v>14018</v>
      </c>
      <c r="AY48" s="2">
        <f t="shared" si="77"/>
        <v>12369</v>
      </c>
      <c r="AZ48" s="2">
        <f t="shared" si="77"/>
        <v>13465</v>
      </c>
      <c r="BA48" s="2">
        <f t="shared" si="77"/>
        <v>15688</v>
      </c>
      <c r="BB48" s="2">
        <f t="shared" si="77"/>
        <v>20838</v>
      </c>
      <c r="BC48" s="2">
        <f t="shared" si="77"/>
        <v>16644</v>
      </c>
      <c r="BD48" s="2">
        <f t="shared" ref="BD48:BE48" si="78">BD46-BD47</f>
        <v>18337</v>
      </c>
      <c r="BE48" s="2">
        <f t="shared" si="78"/>
        <v>2709</v>
      </c>
      <c r="BF48" s="34"/>
      <c r="BG48" s="34"/>
      <c r="BH48" s="34"/>
      <c r="BI48" s="34"/>
      <c r="BJ48" s="34"/>
      <c r="BO48" s="2">
        <f t="shared" si="48"/>
        <v>53</v>
      </c>
      <c r="BP48" s="2">
        <f t="shared" si="49"/>
        <v>1500</v>
      </c>
      <c r="BQ48" s="2">
        <f t="shared" si="50"/>
        <v>2940</v>
      </c>
      <c r="BR48" s="2">
        <f t="shared" si="51"/>
        <v>3688</v>
      </c>
      <c r="BS48" s="2">
        <f t="shared" si="52"/>
        <v>10217</v>
      </c>
      <c r="BT48" s="2">
        <f t="shared" si="53"/>
        <v>15934</v>
      </c>
      <c r="BU48" s="2">
        <f t="shared" si="54"/>
        <v>22112</v>
      </c>
      <c r="BV48" s="2">
        <f t="shared" si="55"/>
        <v>18485</v>
      </c>
      <c r="BW48" s="2">
        <f t="shared" si="56"/>
        <v>29146</v>
      </c>
      <c r="BX48" s="2">
        <f t="shared" si="57"/>
        <v>39370</v>
      </c>
      <c r="BY48" s="2">
        <f t="shared" si="58"/>
        <v>23200</v>
      </c>
      <c r="BZ48" s="2">
        <f t="shared" si="59"/>
        <v>39098</v>
      </c>
      <c r="CA48" s="2">
        <f t="shared" si="60"/>
        <v>62360</v>
      </c>
      <c r="CB48" s="58">
        <f>CB46-CB47</f>
        <v>57313.54827075002</v>
      </c>
      <c r="CC48" s="58">
        <f t="shared" ref="CC48:CK48" si="79">CC46-CC47</f>
        <v>70945.177110412493</v>
      </c>
      <c r="CD48" s="58">
        <f t="shared" si="79"/>
        <v>87864.447732077082</v>
      </c>
      <c r="CE48" s="58">
        <f t="shared" si="79"/>
        <v>107452.42162647122</v>
      </c>
      <c r="CF48" s="58">
        <f t="shared" si="79"/>
        <v>127421.38786829839</v>
      </c>
      <c r="CG48" s="58">
        <f t="shared" si="79"/>
        <v>147070.42909049959</v>
      </c>
      <c r="CH48" s="58">
        <f t="shared" si="79"/>
        <v>168978.5531221735</v>
      </c>
      <c r="CI48" s="58">
        <f t="shared" si="79"/>
        <v>192908.18272678196</v>
      </c>
      <c r="CJ48" s="58">
        <f t="shared" si="79"/>
        <v>219301.12874186304</v>
      </c>
      <c r="CK48" s="58">
        <f t="shared" si="79"/>
        <v>247253.22672853374</v>
      </c>
      <c r="CL48" s="58">
        <f>CK48*(1+$CK$62)</f>
        <v>253434.55739674706</v>
      </c>
      <c r="CM48" s="58">
        <f t="shared" ref="CM48:EI48" si="80">CL48*(1+$CK$62)</f>
        <v>259770.42133166571</v>
      </c>
      <c r="CN48" s="58">
        <f t="shared" si="80"/>
        <v>266264.68186495733</v>
      </c>
      <c r="CO48" s="58">
        <f t="shared" si="80"/>
        <v>272921.29891158122</v>
      </c>
      <c r="CP48" s="58">
        <f t="shared" si="80"/>
        <v>279744.33138437074</v>
      </c>
      <c r="CQ48" s="58">
        <f t="shared" si="80"/>
        <v>286737.93966897996</v>
      </c>
      <c r="CR48" s="58">
        <f t="shared" si="80"/>
        <v>293906.38816070446</v>
      </c>
      <c r="CS48" s="58">
        <f t="shared" si="80"/>
        <v>301254.04786472203</v>
      </c>
      <c r="CT48" s="58">
        <f t="shared" si="80"/>
        <v>308785.39906134008</v>
      </c>
      <c r="CU48" s="58">
        <f t="shared" si="80"/>
        <v>316505.03403787356</v>
      </c>
      <c r="CV48" s="58">
        <f t="shared" si="80"/>
        <v>324417.65988882037</v>
      </c>
      <c r="CW48" s="58">
        <f t="shared" si="80"/>
        <v>332528.10138604086</v>
      </c>
      <c r="CX48" s="58">
        <f t="shared" si="80"/>
        <v>340841.30392069183</v>
      </c>
      <c r="CY48" s="58">
        <f t="shared" si="80"/>
        <v>349362.33651870908</v>
      </c>
      <c r="CZ48" s="58">
        <f t="shared" si="80"/>
        <v>358096.3949316768</v>
      </c>
      <c r="DA48" s="58">
        <f t="shared" si="80"/>
        <v>367048.80480496871</v>
      </c>
      <c r="DB48" s="58">
        <f t="shared" si="80"/>
        <v>376225.02492509288</v>
      </c>
      <c r="DC48" s="58">
        <f t="shared" si="80"/>
        <v>385630.65054822015</v>
      </c>
      <c r="DD48" s="58">
        <f t="shared" si="80"/>
        <v>395271.41681192559</v>
      </c>
      <c r="DE48" s="58">
        <f t="shared" si="80"/>
        <v>405153.2022322237</v>
      </c>
      <c r="DF48" s="58">
        <f t="shared" si="80"/>
        <v>415282.03228802927</v>
      </c>
      <c r="DG48" s="58">
        <f t="shared" si="80"/>
        <v>425664.08309522999</v>
      </c>
      <c r="DH48" s="58">
        <f t="shared" si="80"/>
        <v>436305.68517261068</v>
      </c>
      <c r="DI48" s="58">
        <f t="shared" si="80"/>
        <v>447213.32730192592</v>
      </c>
      <c r="DJ48" s="58">
        <f t="shared" si="80"/>
        <v>458393.66048447404</v>
      </c>
      <c r="DK48" s="58">
        <f t="shared" si="80"/>
        <v>469853.50199658587</v>
      </c>
      <c r="DL48" s="58">
        <f t="shared" si="80"/>
        <v>481599.83954650047</v>
      </c>
      <c r="DM48" s="58">
        <f t="shared" si="80"/>
        <v>493639.83553516294</v>
      </c>
      <c r="DN48" s="58">
        <f t="shared" si="80"/>
        <v>505980.831423542</v>
      </c>
      <c r="DO48" s="58">
        <f t="shared" si="80"/>
        <v>518630.35220913048</v>
      </c>
      <c r="DP48" s="58">
        <f t="shared" si="80"/>
        <v>531596.1110143587</v>
      </c>
      <c r="DQ48" s="58">
        <f t="shared" si="80"/>
        <v>544886.01378971757</v>
      </c>
      <c r="DR48" s="58">
        <f t="shared" si="80"/>
        <v>558508.1641344605</v>
      </c>
      <c r="DS48" s="58">
        <f t="shared" si="80"/>
        <v>572470.86823782197</v>
      </c>
      <c r="DT48" s="58">
        <f t="shared" si="80"/>
        <v>586782.63994376746</v>
      </c>
      <c r="DU48" s="58">
        <f t="shared" si="80"/>
        <v>601452.20594236162</v>
      </c>
      <c r="DV48" s="58">
        <f t="shared" si="80"/>
        <v>616488.51109092066</v>
      </c>
      <c r="DW48" s="58">
        <f t="shared" si="80"/>
        <v>631900.72386819357</v>
      </c>
      <c r="DX48" s="58">
        <f t="shared" si="80"/>
        <v>647698.24196489831</v>
      </c>
      <c r="DY48" s="58">
        <f t="shared" si="80"/>
        <v>663890.69801402069</v>
      </c>
      <c r="DZ48" s="58">
        <f t="shared" si="80"/>
        <v>680487.96546437114</v>
      </c>
      <c r="EA48" s="58">
        <f t="shared" si="80"/>
        <v>697500.16460098035</v>
      </c>
      <c r="EB48" s="58">
        <f t="shared" si="80"/>
        <v>714937.66871600482</v>
      </c>
      <c r="EC48" s="58">
        <f t="shared" si="80"/>
        <v>732811.11043390492</v>
      </c>
      <c r="ED48" s="58">
        <f t="shared" si="80"/>
        <v>751131.38819475251</v>
      </c>
      <c r="EE48" s="58">
        <f t="shared" si="80"/>
        <v>769909.67289962131</v>
      </c>
      <c r="EF48" s="58">
        <f t="shared" si="80"/>
        <v>789157.41472211177</v>
      </c>
      <c r="EG48" s="58">
        <f t="shared" si="80"/>
        <v>808886.35009016446</v>
      </c>
      <c r="EH48" s="58">
        <f t="shared" si="80"/>
        <v>829108.50884241855</v>
      </c>
      <c r="EI48" s="58">
        <f t="shared" si="80"/>
        <v>849836.22156347893</v>
      </c>
      <c r="EJ48" s="34"/>
      <c r="EK48" s="34"/>
    </row>
    <row r="49" spans="2:89">
      <c r="B49" s="1" t="s">
        <v>128</v>
      </c>
      <c r="C49" s="1">
        <v>1347</v>
      </c>
      <c r="D49" s="1">
        <v>1879</v>
      </c>
      <c r="E49" s="1">
        <v>2420</v>
      </c>
      <c r="F49" s="1">
        <v>2386</v>
      </c>
      <c r="G49" s="1">
        <v>2386</v>
      </c>
      <c r="H49" s="1">
        <v>2407</v>
      </c>
      <c r="I49" s="1">
        <v>2430</v>
      </c>
      <c r="J49" s="1">
        <v>2420</v>
      </c>
      <c r="K49" s="1">
        <v>2545</v>
      </c>
      <c r="L49" s="1">
        <v>2560</v>
      </c>
      <c r="M49" s="1">
        <v>2587</v>
      </c>
      <c r="N49" s="1">
        <v>2614</v>
      </c>
      <c r="O49" s="1">
        <v>2784</v>
      </c>
      <c r="P49" s="1">
        <v>2796</v>
      </c>
      <c r="Q49" s="1">
        <v>2808</v>
      </c>
      <c r="R49" s="1">
        <v>2803</v>
      </c>
      <c r="S49" s="1">
        <v>2843</v>
      </c>
      <c r="T49" s="1">
        <v>2856</v>
      </c>
      <c r="U49" s="1">
        <v>2871</v>
      </c>
      <c r="V49" s="1">
        <v>2863</v>
      </c>
      <c r="W49" s="1">
        <v>2891</v>
      </c>
      <c r="X49" s="1">
        <v>2900</v>
      </c>
      <c r="Y49" s="1">
        <v>2904</v>
      </c>
      <c r="Z49" s="1">
        <v>2901</v>
      </c>
      <c r="AA49" s="1">
        <v>2906</v>
      </c>
      <c r="AB49" s="1">
        <v>2895</v>
      </c>
      <c r="AC49" s="1">
        <v>2885</v>
      </c>
      <c r="AD49" s="1">
        <v>2890</v>
      </c>
      <c r="AE49" s="1">
        <v>2856</v>
      </c>
      <c r="AF49" s="1">
        <v>2855</v>
      </c>
      <c r="AG49" s="1">
        <v>2854</v>
      </c>
      <c r="AH49" s="1">
        <v>2854</v>
      </c>
      <c r="AI49" s="1">
        <v>2851</v>
      </c>
      <c r="AJ49" s="1">
        <v>2850</v>
      </c>
      <c r="AK49" s="1">
        <v>2850</v>
      </c>
      <c r="AL49" s="1">
        <v>2851</v>
      </c>
      <c r="AM49" s="1">
        <v>2847</v>
      </c>
      <c r="AN49" s="1">
        <v>2834</v>
      </c>
      <c r="AO49" s="1">
        <v>2814</v>
      </c>
      <c r="AP49" s="1">
        <v>2815</v>
      </c>
      <c r="AQ49" s="1">
        <v>2725</v>
      </c>
      <c r="AR49" s="1">
        <v>2704</v>
      </c>
      <c r="AS49" s="1">
        <v>2682</v>
      </c>
      <c r="AT49" s="1">
        <v>2687</v>
      </c>
      <c r="AU49" s="1">
        <v>2587</v>
      </c>
      <c r="AV49" s="1">
        <v>2568</v>
      </c>
      <c r="AW49" s="1">
        <v>2576</v>
      </c>
      <c r="AX49" s="1">
        <v>2574</v>
      </c>
      <c r="AY49" s="1">
        <v>2545</v>
      </c>
      <c r="AZ49" s="1">
        <v>2534</v>
      </c>
      <c r="BA49" s="1">
        <v>2529</v>
      </c>
      <c r="BB49" s="1">
        <v>2534</v>
      </c>
      <c r="BC49" s="1">
        <v>2527</v>
      </c>
      <c r="BD49" s="1">
        <v>2518</v>
      </c>
      <c r="BE49" s="1">
        <v>2517</v>
      </c>
      <c r="BO49" s="67">
        <f>AVERAGE(C49:E49)</f>
        <v>1882</v>
      </c>
      <c r="BP49" s="67">
        <f>AVERAGE(F49:J49)</f>
        <v>2405.8000000000002</v>
      </c>
      <c r="BQ49" s="67">
        <f>AVERAGE(K49:N49)</f>
        <v>2576.5</v>
      </c>
      <c r="BR49" s="67">
        <f>AVERAGE(O49:R49)</f>
        <v>2797.75</v>
      </c>
      <c r="BS49" s="67">
        <f>AVERAGE(S49:V49)</f>
        <v>2858.25</v>
      </c>
      <c r="BT49" s="67">
        <f>AVERAGE(W49:Z49)</f>
        <v>2899</v>
      </c>
      <c r="BU49" s="67">
        <f>AVERAGE(AA49:AD49)</f>
        <v>2894</v>
      </c>
      <c r="BV49" s="67">
        <f>AVERAGE(AE49:AH49)</f>
        <v>2854.75</v>
      </c>
      <c r="BW49" s="67">
        <f>AVERAGE(AI49:AL49)</f>
        <v>2850.5</v>
      </c>
      <c r="BX49" s="67">
        <f>AVERAGE(AM49:AP49)</f>
        <v>2827.5</v>
      </c>
      <c r="BY49" s="67">
        <f>AVERAGE(AQ49:AT49)</f>
        <v>2699.5</v>
      </c>
      <c r="BZ49" s="67">
        <f>AVERAGE(AU49:AX49)</f>
        <v>2576.25</v>
      </c>
      <c r="CA49" s="67">
        <f>AVERAGE(AY49:BB49)</f>
        <v>2535.5</v>
      </c>
      <c r="CB49" s="70">
        <f>CA49</f>
        <v>2535.5</v>
      </c>
      <c r="CC49" s="70">
        <f>CB49</f>
        <v>2535.5</v>
      </c>
      <c r="CD49" s="70">
        <f t="shared" ref="CD49:CK49" si="81">CC49</f>
        <v>2535.5</v>
      </c>
      <c r="CE49" s="70">
        <f t="shared" si="81"/>
        <v>2535.5</v>
      </c>
      <c r="CF49" s="70">
        <f t="shared" si="81"/>
        <v>2535.5</v>
      </c>
      <c r="CG49" s="70">
        <f t="shared" si="81"/>
        <v>2535.5</v>
      </c>
      <c r="CH49" s="70">
        <f t="shared" si="81"/>
        <v>2535.5</v>
      </c>
      <c r="CI49" s="70">
        <f t="shared" si="81"/>
        <v>2535.5</v>
      </c>
      <c r="CJ49" s="70">
        <f t="shared" si="81"/>
        <v>2535.5</v>
      </c>
      <c r="CK49" s="70">
        <f t="shared" si="81"/>
        <v>2535.5</v>
      </c>
    </row>
    <row r="50" spans="2:89">
      <c r="B50" s="1" t="s">
        <v>228</v>
      </c>
      <c r="C50" s="39">
        <f>C48/C49</f>
        <v>0.15219005196733482</v>
      </c>
      <c r="D50" s="39">
        <f t="shared" ref="D50:I50" si="82">D48/D49</f>
        <v>-8.3555082490686536E-2</v>
      </c>
      <c r="E50" s="39">
        <f t="shared" si="82"/>
        <v>-2.4380165289256198E-2</v>
      </c>
      <c r="F50" s="39">
        <f t="shared" si="82"/>
        <v>2.6823134953897737E-2</v>
      </c>
      <c r="G50" s="39">
        <f t="shared" si="82"/>
        <v>9.1785414920368819E-2</v>
      </c>
      <c r="H50" s="39">
        <f t="shared" si="82"/>
        <v>0.13834648940589947</v>
      </c>
      <c r="I50" s="39">
        <f t="shared" si="82"/>
        <v>0.17489711934156379</v>
      </c>
      <c r="J50" s="39">
        <f t="shared" ref="J50:BC50" si="83">J48/J49</f>
        <v>0.21611570247933884</v>
      </c>
      <c r="K50" s="39">
        <f t="shared" si="83"/>
        <v>0.25225933202357564</v>
      </c>
      <c r="L50" s="39">
        <f t="shared" si="83"/>
        <v>0.30898437499999998</v>
      </c>
      <c r="M50" s="39">
        <f t="shared" si="83"/>
        <v>0.31155778894472363</v>
      </c>
      <c r="N50" s="39">
        <f t="shared" si="83"/>
        <v>0.26817138485080338</v>
      </c>
      <c r="O50" s="39">
        <f t="shared" si="83"/>
        <v>0.18390804597701149</v>
      </c>
      <c r="P50" s="39">
        <f t="shared" si="83"/>
        <v>0.25715307582260372</v>
      </c>
      <c r="Q50" s="39">
        <f t="shared" si="83"/>
        <v>0.31908831908831908</v>
      </c>
      <c r="R50" s="39">
        <f t="shared" si="83"/>
        <v>0.55690331787370673</v>
      </c>
      <c r="S50" s="39">
        <f t="shared" si="83"/>
        <v>0.61132606401688361</v>
      </c>
      <c r="T50" s="39">
        <f t="shared" si="83"/>
        <v>0.79936974789915971</v>
      </c>
      <c r="U50" s="39">
        <f t="shared" si="83"/>
        <v>0.91501219087425989</v>
      </c>
      <c r="V50" s="39">
        <f t="shared" si="83"/>
        <v>1.2465944813133076</v>
      </c>
      <c r="W50" s="39">
        <f t="shared" si="83"/>
        <v>1.0598408855067452</v>
      </c>
      <c r="X50" s="39">
        <f t="shared" si="83"/>
        <v>1.3427586206896551</v>
      </c>
      <c r="Y50" s="39">
        <f t="shared" si="83"/>
        <v>1.6208677685950412</v>
      </c>
      <c r="Z50" s="39">
        <f t="shared" si="83"/>
        <v>1.4715615305067218</v>
      </c>
      <c r="AA50" s="39">
        <f t="shared" si="83"/>
        <v>1.7164487267721955</v>
      </c>
      <c r="AB50" s="39">
        <f t="shared" si="83"/>
        <v>1.7637305699481864</v>
      </c>
      <c r="AC50" s="39">
        <f t="shared" si="83"/>
        <v>1.7805892547660311</v>
      </c>
      <c r="AD50" s="39">
        <f t="shared" si="83"/>
        <v>2.3809688581314878</v>
      </c>
      <c r="AE50" s="39">
        <f t="shared" si="83"/>
        <v>0.85049019607843135</v>
      </c>
      <c r="AF50" s="39">
        <f t="shared" si="83"/>
        <v>0.91628721541155866</v>
      </c>
      <c r="AG50" s="39">
        <f t="shared" si="83"/>
        <v>2.1341976173791171</v>
      </c>
      <c r="AH50" s="39">
        <f t="shared" si="83"/>
        <v>2.5749824807288015</v>
      </c>
      <c r="AI50" s="39">
        <f t="shared" si="83"/>
        <v>1.7193967029112591</v>
      </c>
      <c r="AJ50" s="39">
        <f t="shared" si="83"/>
        <v>1.8168421052631578</v>
      </c>
      <c r="AK50" s="39">
        <f t="shared" si="83"/>
        <v>2.7529824561403511</v>
      </c>
      <c r="AL50" s="39">
        <f t="shared" si="83"/>
        <v>3.9354612416695898</v>
      </c>
      <c r="AM50" s="39">
        <f t="shared" si="83"/>
        <v>3.335792061819459</v>
      </c>
      <c r="AN50" s="39">
        <f t="shared" si="83"/>
        <v>3.667607621736062</v>
      </c>
      <c r="AO50" s="39">
        <f t="shared" si="83"/>
        <v>3.2672352523098791</v>
      </c>
      <c r="AP50" s="39">
        <f t="shared" si="83"/>
        <v>3.6536412078152751</v>
      </c>
      <c r="AQ50" s="39">
        <f t="shared" si="83"/>
        <v>2.7394495412844035</v>
      </c>
      <c r="AR50" s="39">
        <f t="shared" si="83"/>
        <v>2.4730029585798818</v>
      </c>
      <c r="AS50" s="39">
        <f t="shared" si="83"/>
        <v>1.638702460850112</v>
      </c>
      <c r="AT50" s="39">
        <f t="shared" si="83"/>
        <v>1.731671008559732</v>
      </c>
      <c r="AU50" s="39">
        <f t="shared" si="83"/>
        <v>2.206803247004252</v>
      </c>
      <c r="AV50" s="39">
        <f t="shared" si="83"/>
        <v>3.0327102803738319</v>
      </c>
      <c r="AW50" s="39">
        <f t="shared" si="83"/>
        <v>4.4965062111801242</v>
      </c>
      <c r="AX50" s="39">
        <f t="shared" si="83"/>
        <v>5.4459984459984456</v>
      </c>
      <c r="AY50" s="39">
        <f t="shared" si="83"/>
        <v>4.8601178781925345</v>
      </c>
      <c r="AZ50" s="39">
        <f t="shared" si="83"/>
        <v>5.3137332280978686</v>
      </c>
      <c r="BA50" s="39">
        <f t="shared" si="83"/>
        <v>6.2032423882957692</v>
      </c>
      <c r="BB50" s="39">
        <f t="shared" si="83"/>
        <v>8.2233622730860301</v>
      </c>
      <c r="BC50" s="39">
        <f t="shared" si="83"/>
        <v>6.5864661654135341</v>
      </c>
      <c r="BD50" s="39">
        <f t="shared" ref="BD50:BE50" si="84">BD48/BD49</f>
        <v>7.2823669579030978</v>
      </c>
      <c r="BE50" s="39">
        <f t="shared" si="84"/>
        <v>1.0762812872467222</v>
      </c>
      <c r="BO50" s="39">
        <f>SUM(C50:F50)</f>
        <v>7.107793914128982E-2</v>
      </c>
      <c r="BP50" s="39">
        <f>SUM(G50:J50)</f>
        <v>0.62114472614717098</v>
      </c>
      <c r="BQ50" s="39">
        <f>SUM(K50:N50)</f>
        <v>1.1409728808191026</v>
      </c>
      <c r="BR50" s="39">
        <f>SUM(O50:R50)</f>
        <v>1.317052758761641</v>
      </c>
      <c r="BS50" s="39">
        <f>SUM(S50:V50)</f>
        <v>3.5723024841036111</v>
      </c>
      <c r="BT50" s="39">
        <f>SUM(W50:Z50)</f>
        <v>5.4950288052981628</v>
      </c>
      <c r="BU50" s="39">
        <f>SUM(AA50:AD50)</f>
        <v>7.6417374096179014</v>
      </c>
      <c r="BV50" s="39">
        <f>SUM(AE50:AH50)</f>
        <v>6.4759575095979081</v>
      </c>
      <c r="BW50" s="39">
        <f>SUM(AI50:AL50)</f>
        <v>10.224682505984358</v>
      </c>
      <c r="BX50" s="39">
        <f>SUM(AM50:AP50)</f>
        <v>13.924276143680675</v>
      </c>
      <c r="BY50" s="39">
        <f>SUM(AQ50:AT50)</f>
        <v>8.5828259692741291</v>
      </c>
      <c r="BZ50" s="39">
        <f>SUM(AU50:AX50)</f>
        <v>15.182018184556654</v>
      </c>
      <c r="CA50" s="39">
        <f>SUM(AY50:BB50)</f>
        <v>24.600455767672202</v>
      </c>
      <c r="CB50" s="55">
        <f>CB48/CB49</f>
        <v>22.604436312660233</v>
      </c>
      <c r="CC50" s="55">
        <f t="shared" ref="CC50:CK50" si="85">CC48/CC49</f>
        <v>27.980744275453556</v>
      </c>
      <c r="CD50" s="55">
        <f t="shared" si="85"/>
        <v>34.653696601095277</v>
      </c>
      <c r="CE50" s="55">
        <f t="shared" si="85"/>
        <v>42.379184234459167</v>
      </c>
      <c r="CF50" s="55">
        <f t="shared" si="85"/>
        <v>50.254935069334806</v>
      </c>
      <c r="CG50" s="55">
        <f t="shared" si="85"/>
        <v>58.004507627883882</v>
      </c>
      <c r="CH50" s="55">
        <f t="shared" si="85"/>
        <v>66.645061377311578</v>
      </c>
      <c r="CI50" s="55">
        <f t="shared" si="85"/>
        <v>76.082895967967644</v>
      </c>
      <c r="CJ50" s="55">
        <f t="shared" si="85"/>
        <v>86.492261385077114</v>
      </c>
      <c r="CK50" s="55">
        <f t="shared" si="85"/>
        <v>97.516555601866983</v>
      </c>
    </row>
    <row r="51" spans="2:89">
      <c r="BE51" s="1"/>
    </row>
    <row r="52" spans="2:89">
      <c r="B52" s="37" t="s">
        <v>111</v>
      </c>
      <c r="C52" s="47">
        <f>C39/C37</f>
        <v>0.73818525519848777</v>
      </c>
      <c r="D52" s="47">
        <f t="shared" ref="D52:BC52" si="86">D39/D37</f>
        <v>0.69003378378378377</v>
      </c>
      <c r="E52" s="47">
        <f t="shared" si="86"/>
        <v>0.74484944532488118</v>
      </c>
      <c r="F52" s="47">
        <f t="shared" si="86"/>
        <v>0.74889589905362774</v>
      </c>
      <c r="G52" s="47">
        <f t="shared" si="86"/>
        <v>0.71673525377229086</v>
      </c>
      <c r="H52" s="47">
        <f t="shared" si="86"/>
        <v>0.74351902923331492</v>
      </c>
      <c r="I52" s="47">
        <f t="shared" si="86"/>
        <v>0.74851190476190477</v>
      </c>
      <c r="J52" s="47">
        <f t="shared" si="86"/>
        <v>0.8104448742746615</v>
      </c>
      <c r="K52" s="47">
        <f t="shared" si="86"/>
        <v>0.815347721822542</v>
      </c>
      <c r="L52" s="47">
        <f t="shared" si="86"/>
        <v>0.83745704467353954</v>
      </c>
      <c r="M52" s="47">
        <f t="shared" si="86"/>
        <v>0.82360287230721196</v>
      </c>
      <c r="N52" s="47">
        <f t="shared" si="86"/>
        <v>0.83043365359646848</v>
      </c>
      <c r="O52" s="47">
        <f t="shared" si="86"/>
        <v>0.81541066892464009</v>
      </c>
      <c r="P52" s="47">
        <f t="shared" si="86"/>
        <v>0.83473527956457194</v>
      </c>
      <c r="Q52" s="47">
        <f t="shared" si="86"/>
        <v>0.84003554765607646</v>
      </c>
      <c r="R52" s="47">
        <f t="shared" si="86"/>
        <v>0.85878123930160899</v>
      </c>
      <c r="S52" s="47">
        <f t="shared" si="86"/>
        <v>0.84429580081753997</v>
      </c>
      <c r="T52" s="47">
        <f t="shared" si="86"/>
        <v>0.85752019888129272</v>
      </c>
      <c r="U52" s="47">
        <f t="shared" si="86"/>
        <v>0.85922122379118526</v>
      </c>
      <c r="V52" s="47">
        <f t="shared" si="86"/>
        <v>0.88114428425473945</v>
      </c>
      <c r="W52" s="47">
        <f t="shared" si="86"/>
        <v>0.85570219123505975</v>
      </c>
      <c r="X52" s="47">
        <f t="shared" si="86"/>
        <v>0.86728891749812254</v>
      </c>
      <c r="Y52" s="47">
        <f t="shared" si="86"/>
        <v>0.85979860573199074</v>
      </c>
      <c r="Z52" s="47">
        <f t="shared" si="86"/>
        <v>0.87588652482269502</v>
      </c>
      <c r="AA52" s="47">
        <f t="shared" si="86"/>
        <v>0.8389603877653351</v>
      </c>
      <c r="AB52" s="47">
        <f t="shared" si="86"/>
        <v>0.83266570931902351</v>
      </c>
      <c r="AC52" s="47">
        <f t="shared" si="86"/>
        <v>0.82385080498288044</v>
      </c>
      <c r="AD52" s="47">
        <f t="shared" si="86"/>
        <v>0.83469315360056762</v>
      </c>
      <c r="AE52" s="47">
        <f t="shared" si="86"/>
        <v>0.81322544272733299</v>
      </c>
      <c r="AF52" s="47">
        <f t="shared" si="86"/>
        <v>0.80415729006277392</v>
      </c>
      <c r="AG52" s="47">
        <f t="shared" si="86"/>
        <v>0.82126671198731027</v>
      </c>
      <c r="AH52" s="47">
        <f t="shared" si="86"/>
        <v>0.83436106631249407</v>
      </c>
      <c r="AI52" s="47">
        <f t="shared" si="86"/>
        <v>0.80498393189378137</v>
      </c>
      <c r="AJ52" s="47">
        <f t="shared" si="86"/>
        <v>0.7950981966072671</v>
      </c>
      <c r="AK52" s="47">
        <f t="shared" si="86"/>
        <v>0.80465766185374943</v>
      </c>
      <c r="AL52" s="47">
        <f t="shared" si="86"/>
        <v>0.81439920202344052</v>
      </c>
      <c r="AM52" s="47">
        <f t="shared" si="86"/>
        <v>0.80394329601467274</v>
      </c>
      <c r="AN52" s="47">
        <f t="shared" si="86"/>
        <v>0.81432059703545756</v>
      </c>
      <c r="AO52" s="47">
        <f t="shared" si="86"/>
        <v>0.80106859703550504</v>
      </c>
      <c r="AP52" s="47">
        <f t="shared" si="86"/>
        <v>0.81146981081642955</v>
      </c>
      <c r="AQ52" s="47">
        <f t="shared" si="86"/>
        <v>0.78482872294682526</v>
      </c>
      <c r="AR52" s="47">
        <f t="shared" si="86"/>
        <v>0.81985982929706469</v>
      </c>
      <c r="AS52" s="47">
        <f t="shared" si="86"/>
        <v>0.79375045103557773</v>
      </c>
      <c r="AT52" s="47">
        <f t="shared" si="86"/>
        <v>0.74083631276231932</v>
      </c>
      <c r="AU52" s="47">
        <f t="shared" si="86"/>
        <v>0.7867690696456624</v>
      </c>
      <c r="AV52" s="47">
        <f t="shared" si="86"/>
        <v>0.81421294415450485</v>
      </c>
      <c r="AW52" s="47">
        <f t="shared" si="86"/>
        <v>0.81813389562467054</v>
      </c>
      <c r="AX52" s="47">
        <f t="shared" si="86"/>
        <v>0.8081372157957718</v>
      </c>
      <c r="AY52" s="47">
        <f t="shared" si="86"/>
        <v>0.81785763269784661</v>
      </c>
      <c r="AZ52" s="47">
        <f t="shared" si="86"/>
        <v>0.81295590079598679</v>
      </c>
      <c r="BA52" s="47">
        <f t="shared" si="86"/>
        <v>0.81830052477272164</v>
      </c>
      <c r="BB52" s="47">
        <f t="shared" si="86"/>
        <v>0.81734385979415536</v>
      </c>
      <c r="BC52" s="47">
        <f t="shared" si="86"/>
        <v>0.82105213404546962</v>
      </c>
      <c r="BD52" s="47">
        <f t="shared" ref="BD52:BE52" si="87">BD39/BD37</f>
        <v>0.82130229817324696</v>
      </c>
      <c r="BE52" s="47">
        <f t="shared" si="87"/>
        <v>0.82034268763904605</v>
      </c>
      <c r="BO52" s="47">
        <f t="shared" ref="BO52:BV52" si="88">BO39/BO37</f>
        <v>0.73197091766555311</v>
      </c>
      <c r="BP52" s="47">
        <f t="shared" si="88"/>
        <v>0.76181402439024393</v>
      </c>
      <c r="BQ52" s="47">
        <f t="shared" si="88"/>
        <v>0.82729022942403341</v>
      </c>
      <c r="BR52" s="47">
        <f t="shared" si="88"/>
        <v>0.84008255243195007</v>
      </c>
      <c r="BS52" s="47">
        <f t="shared" si="88"/>
        <v>0.86290614371517471</v>
      </c>
      <c r="BT52" s="47">
        <f t="shared" si="88"/>
        <v>0.86584015939783043</v>
      </c>
      <c r="BU52" s="47">
        <f t="shared" si="88"/>
        <v>0.8324617643898421</v>
      </c>
      <c r="BV52" s="47">
        <f t="shared" si="88"/>
        <v>0.81936998741106415</v>
      </c>
      <c r="BW52" s="47">
        <f t="shared" ref="BW52:CA52" si="89">BW39/BW37</f>
        <v>0.80582795323678236</v>
      </c>
      <c r="BX52" s="47">
        <f t="shared" si="89"/>
        <v>0.80794376277251567</v>
      </c>
      <c r="BY52" s="47">
        <f t="shared" si="89"/>
        <v>0.78347297378418479</v>
      </c>
      <c r="BZ52" s="47">
        <f t="shared" si="89"/>
        <v>0.8075714222176098</v>
      </c>
      <c r="CA52" s="47">
        <f t="shared" si="89"/>
        <v>0.81665157050717019</v>
      </c>
      <c r="CB52" s="57">
        <v>0.81</v>
      </c>
      <c r="CC52" s="57">
        <v>0.81499999999999995</v>
      </c>
      <c r="CD52" s="57">
        <v>0.82</v>
      </c>
      <c r="CE52" s="57">
        <v>0.82</v>
      </c>
      <c r="CF52" s="57">
        <v>0.82</v>
      </c>
      <c r="CG52" s="57">
        <v>0.82</v>
      </c>
      <c r="CH52" s="57">
        <v>0.82</v>
      </c>
      <c r="CI52" s="57">
        <v>0.82</v>
      </c>
      <c r="CJ52" s="57">
        <v>0.82</v>
      </c>
      <c r="CK52" s="57">
        <v>0.82</v>
      </c>
    </row>
    <row r="53" spans="2:89">
      <c r="B53" s="37" t="s">
        <v>112</v>
      </c>
      <c r="C53" s="47">
        <f>C40/C37</f>
        <v>0.14461247637051039</v>
      </c>
      <c r="D53" s="47">
        <f t="shared" ref="D53:BC53" si="90">D40/D37</f>
        <v>0.59543918918918914</v>
      </c>
      <c r="E53" s="47">
        <f t="shared" si="90"/>
        <v>0.19334389857369255</v>
      </c>
      <c r="F53" s="47">
        <f t="shared" si="90"/>
        <v>0.18738170347003155</v>
      </c>
      <c r="G53" s="47">
        <f t="shared" si="90"/>
        <v>0.20096021947873799</v>
      </c>
      <c r="H53" s="47">
        <f t="shared" si="90"/>
        <v>0.18974076116933261</v>
      </c>
      <c r="I53" s="47">
        <f t="shared" si="90"/>
        <v>0.18303571428571427</v>
      </c>
      <c r="J53" s="47">
        <f t="shared" si="90"/>
        <v>0.15822050290135398</v>
      </c>
      <c r="K53" s="47">
        <f t="shared" si="90"/>
        <v>0.18185451638689049</v>
      </c>
      <c r="L53" s="47">
        <f t="shared" si="90"/>
        <v>0.16907216494845362</v>
      </c>
      <c r="M53" s="47">
        <f t="shared" si="90"/>
        <v>0.18982204183577897</v>
      </c>
      <c r="N53" s="47">
        <f t="shared" si="90"/>
        <v>0.28849649441703451</v>
      </c>
      <c r="O53" s="47">
        <f t="shared" si="90"/>
        <v>0.29974597798475866</v>
      </c>
      <c r="P53" s="47">
        <f t="shared" si="90"/>
        <v>0.28946066303809997</v>
      </c>
      <c r="Q53" s="47">
        <f t="shared" si="90"/>
        <v>0.28238169295712062</v>
      </c>
      <c r="R53" s="47">
        <f t="shared" si="90"/>
        <v>0.22475179732968162</v>
      </c>
      <c r="S53" s="47">
        <f t="shared" si="90"/>
        <v>0.24953548866592346</v>
      </c>
      <c r="T53" s="47">
        <f t="shared" si="90"/>
        <v>0.22855811062771908</v>
      </c>
      <c r="U53" s="47">
        <f t="shared" si="90"/>
        <v>0.21994009413778348</v>
      </c>
      <c r="V53" s="47">
        <f t="shared" si="90"/>
        <v>0.17743217164263822</v>
      </c>
      <c r="W53" s="47">
        <f t="shared" si="90"/>
        <v>0.22833665338645417</v>
      </c>
      <c r="X53" s="47">
        <f t="shared" si="90"/>
        <v>0.20587919751099668</v>
      </c>
      <c r="Y53" s="47">
        <f t="shared" si="90"/>
        <v>0.19868319132455461</v>
      </c>
      <c r="Z53" s="47">
        <f t="shared" si="90"/>
        <v>0.15024668516805428</v>
      </c>
      <c r="AA53" s="47">
        <f t="shared" si="90"/>
        <v>0.18702991810128697</v>
      </c>
      <c r="AB53" s="47">
        <f t="shared" si="90"/>
        <v>0.19068853450230519</v>
      </c>
      <c r="AC53" s="47">
        <f t="shared" si="90"/>
        <v>0.19356013695636337</v>
      </c>
      <c r="AD53" s="47">
        <f t="shared" si="90"/>
        <v>0.16879508099798984</v>
      </c>
      <c r="AE53" s="47">
        <f t="shared" si="90"/>
        <v>0.1896929097300524</v>
      </c>
      <c r="AF53" s="47">
        <f t="shared" si="90"/>
        <v>0.19631647518654508</v>
      </c>
      <c r="AG53" s="47">
        <f t="shared" si="90"/>
        <v>0.20099705415816904</v>
      </c>
      <c r="AH53" s="47">
        <f t="shared" si="90"/>
        <v>0.1839009581633621</v>
      </c>
      <c r="AI53" s="47">
        <f t="shared" si="90"/>
        <v>0.22636297006258105</v>
      </c>
      <c r="AJ53" s="47">
        <f t="shared" si="90"/>
        <v>0.23877561941456626</v>
      </c>
      <c r="AK53" s="47">
        <f t="shared" si="90"/>
        <v>0.22184443409408477</v>
      </c>
      <c r="AL53" s="47">
        <f t="shared" si="90"/>
        <v>0.18549392611592033</v>
      </c>
      <c r="AM53" s="47">
        <f t="shared" si="90"/>
        <v>0.19857857934354819</v>
      </c>
      <c r="AN53" s="47">
        <f t="shared" si="90"/>
        <v>0.2096502390205317</v>
      </c>
      <c r="AO53" s="47">
        <f t="shared" si="90"/>
        <v>0.21771802826611514</v>
      </c>
      <c r="AP53" s="47">
        <f t="shared" si="90"/>
        <v>0.20926019423242553</v>
      </c>
      <c r="AQ53" s="47">
        <f t="shared" si="90"/>
        <v>0.27615737422961156</v>
      </c>
      <c r="AR53" s="47">
        <f t="shared" si="90"/>
        <v>0.30150579418499757</v>
      </c>
      <c r="AS53" s="47">
        <f t="shared" si="90"/>
        <v>0.33087969979071952</v>
      </c>
      <c r="AT53" s="47">
        <f t="shared" si="90"/>
        <v>0.30377739779263174</v>
      </c>
      <c r="AU53" s="47">
        <f t="shared" si="90"/>
        <v>0.32749170884971202</v>
      </c>
      <c r="AV53" s="47">
        <f t="shared" si="90"/>
        <v>0.29200912528516515</v>
      </c>
      <c r="AW53" s="47">
        <f t="shared" si="90"/>
        <v>0.27063199203420607</v>
      </c>
      <c r="AX53" s="47">
        <f t="shared" si="90"/>
        <v>0.2621908655763861</v>
      </c>
      <c r="AY53" s="47">
        <f t="shared" si="90"/>
        <v>0.27370731038266355</v>
      </c>
      <c r="AZ53" s="47">
        <f t="shared" si="90"/>
        <v>0.26968851577896652</v>
      </c>
      <c r="BA53" s="47">
        <f t="shared" si="90"/>
        <v>0.27537017418512405</v>
      </c>
      <c r="BB53" s="47">
        <f t="shared" si="90"/>
        <v>0.25174637291778612</v>
      </c>
      <c r="BC53" s="47">
        <f t="shared" si="90"/>
        <v>0.28713900836602541</v>
      </c>
      <c r="BD53" s="47">
        <f t="shared" ref="BD53:BE53" si="91">BD40/BD37</f>
        <v>0.27237141173499452</v>
      </c>
      <c r="BE53" s="47">
        <f t="shared" si="91"/>
        <v>0.29553881581515162</v>
      </c>
      <c r="BO53" s="47">
        <f t="shared" ref="BO53:BV53" si="92">BO40/BO37</f>
        <v>0.27490666142660641</v>
      </c>
      <c r="BP53" s="47">
        <f t="shared" si="92"/>
        <v>0.1797510162601626</v>
      </c>
      <c r="BQ53" s="47">
        <f t="shared" si="92"/>
        <v>0.21386170383442965</v>
      </c>
      <c r="BR53" s="47">
        <f t="shared" si="92"/>
        <v>0.26863007585899151</v>
      </c>
      <c r="BS53" s="47">
        <f t="shared" si="92"/>
        <v>0.21416166148057023</v>
      </c>
      <c r="BT53" s="47">
        <f t="shared" si="92"/>
        <v>0.19073623102846038</v>
      </c>
      <c r="BU53" s="47">
        <f t="shared" si="92"/>
        <v>0.18397865253053475</v>
      </c>
      <c r="BV53" s="47">
        <f t="shared" si="92"/>
        <v>0.19237025616362788</v>
      </c>
      <c r="BW53" s="47">
        <f t="shared" ref="BW53:CA53" si="93">BW40/BW37</f>
        <v>0.21458733205374281</v>
      </c>
      <c r="BX53" s="47">
        <f t="shared" si="93"/>
        <v>0.20906647219937419</v>
      </c>
      <c r="BY53" s="47">
        <f t="shared" si="93"/>
        <v>0.30304693462768739</v>
      </c>
      <c r="BZ53" s="47">
        <f t="shared" si="93"/>
        <v>0.28526634149234259</v>
      </c>
      <c r="CA53" s="47">
        <f t="shared" si="93"/>
        <v>0.26670354587510109</v>
      </c>
      <c r="CB53" s="57">
        <v>0.28999999999999998</v>
      </c>
      <c r="CC53" s="57">
        <v>0.32</v>
      </c>
      <c r="CD53" s="57">
        <v>0.3</v>
      </c>
      <c r="CE53" s="57">
        <v>0.27</v>
      </c>
      <c r="CF53" s="57">
        <v>0.25</v>
      </c>
      <c r="CG53" s="57">
        <v>0.24</v>
      </c>
      <c r="CH53" s="57">
        <v>0.23</v>
      </c>
      <c r="CI53" s="57">
        <v>0.22</v>
      </c>
      <c r="CJ53" s="57">
        <v>0.21</v>
      </c>
      <c r="CK53" s="57">
        <v>0.2</v>
      </c>
    </row>
    <row r="54" spans="2:89">
      <c r="B54" s="37" t="s">
        <v>113</v>
      </c>
      <c r="C54" s="47">
        <f>C43/C37</f>
        <v>0.23345935727788281</v>
      </c>
      <c r="D54" s="47">
        <f t="shared" ref="D54:BC54" si="94">D43/D37</f>
        <v>0.7221283783783784</v>
      </c>
      <c r="E54" s="47">
        <f t="shared" si="94"/>
        <v>0.25277337559429475</v>
      </c>
      <c r="F54" s="47">
        <f t="shared" si="94"/>
        <v>0.23154574132492114</v>
      </c>
      <c r="G54" s="47">
        <f t="shared" si="94"/>
        <v>0.25994513031550071</v>
      </c>
      <c r="H54" s="47">
        <f t="shared" si="94"/>
        <v>0.24379481522338664</v>
      </c>
      <c r="I54" s="47">
        <f t="shared" si="94"/>
        <v>0.20039682539682541</v>
      </c>
      <c r="J54" s="47">
        <f t="shared" si="94"/>
        <v>0.21392649903288202</v>
      </c>
      <c r="K54" s="47">
        <f t="shared" si="94"/>
        <v>0.2038369304556355</v>
      </c>
      <c r="L54" s="47">
        <f t="shared" si="94"/>
        <v>0.19072164948453607</v>
      </c>
      <c r="M54" s="47">
        <f t="shared" si="94"/>
        <v>0.19762722447705278</v>
      </c>
      <c r="N54" s="47">
        <f t="shared" si="94"/>
        <v>0.2479875357050117</v>
      </c>
      <c r="O54" s="47">
        <f t="shared" si="94"/>
        <v>0.2523285351397121</v>
      </c>
      <c r="P54" s="47">
        <f t="shared" si="94"/>
        <v>0.23033151904997526</v>
      </c>
      <c r="Q54" s="47">
        <f t="shared" si="94"/>
        <v>0.23350366585203289</v>
      </c>
      <c r="R54" s="47">
        <f t="shared" si="94"/>
        <v>0.19582334816843547</v>
      </c>
      <c r="S54" s="47">
        <f t="shared" si="94"/>
        <v>0.22129319955406912</v>
      </c>
      <c r="T54" s="47">
        <f t="shared" si="94"/>
        <v>0.20416407706650094</v>
      </c>
      <c r="U54" s="47">
        <f t="shared" si="94"/>
        <v>0.19469405220367994</v>
      </c>
      <c r="V54" s="47">
        <f t="shared" si="94"/>
        <v>0.18537859007832899</v>
      </c>
      <c r="W54" s="47">
        <f t="shared" si="94"/>
        <v>0.21314741035856574</v>
      </c>
      <c r="X54" s="47">
        <f t="shared" si="94"/>
        <v>0.18925008046346958</v>
      </c>
      <c r="Y54" s="47">
        <f t="shared" si="94"/>
        <v>0.16518202943454685</v>
      </c>
      <c r="Z54" s="47">
        <f t="shared" si="94"/>
        <v>0.1588035769349368</v>
      </c>
      <c r="AA54" s="47">
        <f t="shared" si="94"/>
        <v>0.19655691124853752</v>
      </c>
      <c r="AB54" s="47">
        <f t="shared" si="94"/>
        <v>0.19885118282820649</v>
      </c>
      <c r="AC54" s="47">
        <f t="shared" si="94"/>
        <v>0.20914985065928463</v>
      </c>
      <c r="AD54" s="47">
        <f t="shared" si="94"/>
        <v>0.20355918174293486</v>
      </c>
      <c r="AE54" s="47">
        <f t="shared" si="94"/>
        <v>0.40352855342574784</v>
      </c>
      <c r="AF54" s="47">
        <f t="shared" si="94"/>
        <v>0.3338860594575388</v>
      </c>
      <c r="AG54" s="47">
        <f t="shared" si="94"/>
        <v>0.21323362791751643</v>
      </c>
      <c r="AH54" s="47">
        <f t="shared" si="94"/>
        <v>0.23029124371501755</v>
      </c>
      <c r="AI54" s="47">
        <f t="shared" si="94"/>
        <v>0.24637762868579804</v>
      </c>
      <c r="AJ54" s="47">
        <f t="shared" si="94"/>
        <v>0.23722373842778402</v>
      </c>
      <c r="AK54" s="47">
        <f t="shared" si="94"/>
        <v>0.20833721471821146</v>
      </c>
      <c r="AL54" s="47">
        <f t="shared" si="94"/>
        <v>0.17380926935271276</v>
      </c>
      <c r="AM54" s="47">
        <f t="shared" si="94"/>
        <v>0.17060868900691606</v>
      </c>
      <c r="AN54" s="47">
        <f t="shared" si="94"/>
        <v>0.17935137737730852</v>
      </c>
      <c r="AO54" s="47">
        <f t="shared" si="94"/>
        <v>0.22406066873491901</v>
      </c>
      <c r="AP54" s="47">
        <f t="shared" si="94"/>
        <v>0.22844584360428855</v>
      </c>
      <c r="AQ54" s="47">
        <f t="shared" si="94"/>
        <v>0.20323921456213273</v>
      </c>
      <c r="AR54" s="47">
        <f t="shared" si="94"/>
        <v>0.22836721948511554</v>
      </c>
      <c r="AS54" s="47">
        <f t="shared" si="94"/>
        <v>0.25849751028361118</v>
      </c>
      <c r="AT54" s="47">
        <f t="shared" si="94"/>
        <v>0.23814705425151561</v>
      </c>
      <c r="AU54" s="47">
        <f t="shared" si="94"/>
        <v>0.20698202129516496</v>
      </c>
      <c r="AV54" s="47">
        <f t="shared" si="94"/>
        <v>0.22869464670770961</v>
      </c>
      <c r="AW54" s="47">
        <f t="shared" si="94"/>
        <v>0.14487787735020208</v>
      </c>
      <c r="AX54" s="47">
        <f t="shared" si="94"/>
        <v>0.13749002792181891</v>
      </c>
      <c r="AY54" s="47">
        <f t="shared" si="94"/>
        <v>0.16510766698669593</v>
      </c>
      <c r="AZ54" s="47">
        <f t="shared" si="94"/>
        <v>0.16326687312840726</v>
      </c>
      <c r="BA54" s="47">
        <f t="shared" si="94"/>
        <v>0.11547463598511912</v>
      </c>
      <c r="BB54" s="47">
        <f t="shared" si="94"/>
        <v>8.2709874757161156E-2</v>
      </c>
      <c r="BC54" s="47">
        <f t="shared" si="94"/>
        <v>0.11903861606087819</v>
      </c>
      <c r="BD54" s="47">
        <f t="shared" ref="BD54:BE54" si="95">BD43/BD37</f>
        <v>0.1187389510901591</v>
      </c>
      <c r="BE54" s="47">
        <f t="shared" si="95"/>
        <v>0.12405838960227938</v>
      </c>
      <c r="BO54" s="47">
        <f t="shared" ref="BO54:BV54" si="96">BO43/BO37</f>
        <v>0.35134604047946549</v>
      </c>
      <c r="BP54" s="47">
        <f t="shared" si="96"/>
        <v>0.22586382113821138</v>
      </c>
      <c r="BQ54" s="47">
        <f t="shared" si="96"/>
        <v>0.21281886731910798</v>
      </c>
      <c r="BR54" s="47">
        <f t="shared" si="96"/>
        <v>0.22423025435073629</v>
      </c>
      <c r="BS54" s="47">
        <f t="shared" si="96"/>
        <v>0.19910992112309139</v>
      </c>
      <c r="BT54" s="47">
        <f t="shared" si="96"/>
        <v>0.17814183455095564</v>
      </c>
      <c r="BU54" s="47">
        <f t="shared" si="96"/>
        <v>0.20231741824563917</v>
      </c>
      <c r="BV54" s="47">
        <f t="shared" si="96"/>
        <v>0.28772083681061433</v>
      </c>
      <c r="BW54" s="47">
        <f t="shared" ref="BW54:CA54" si="97">BW43/BW37</f>
        <v>0.21119060082591753</v>
      </c>
      <c r="BX54" s="47">
        <f t="shared" si="97"/>
        <v>0.20242688397255976</v>
      </c>
      <c r="BY54" s="47">
        <f t="shared" si="97"/>
        <v>0.2322119218928213</v>
      </c>
      <c r="BZ54" s="47">
        <f t="shared" si="97"/>
        <v>0.17574980356110362</v>
      </c>
      <c r="CA54" s="47">
        <f t="shared" si="97"/>
        <v>0.12818767059166813</v>
      </c>
      <c r="CB54" s="57">
        <v>0.1225</v>
      </c>
      <c r="CC54" s="57">
        <v>0.125</v>
      </c>
      <c r="CD54" s="57">
        <v>0.122</v>
      </c>
      <c r="CE54" s="57">
        <v>0.12</v>
      </c>
      <c r="CF54" s="57">
        <v>0.11799999999999999</v>
      </c>
      <c r="CG54" s="57">
        <v>0.11600000000000001</v>
      </c>
      <c r="CH54" s="57">
        <v>0.114</v>
      </c>
      <c r="CI54" s="57">
        <v>0.113</v>
      </c>
      <c r="CJ54" s="57">
        <v>0.112</v>
      </c>
      <c r="CK54" s="57">
        <v>0.111</v>
      </c>
    </row>
    <row r="55" spans="2:89">
      <c r="B55" s="37" t="s">
        <v>114</v>
      </c>
      <c r="C55" s="47">
        <f>C44/C37</f>
        <v>0.36011342155009451</v>
      </c>
      <c r="D55" s="47">
        <f t="shared" ref="D55:BC55" si="98">D44/D37</f>
        <v>-0.62753378378378377</v>
      </c>
      <c r="E55" s="47">
        <f t="shared" si="98"/>
        <v>0.29873217115689382</v>
      </c>
      <c r="F55" s="47">
        <f t="shared" si="98"/>
        <v>0.3299684542586751</v>
      </c>
      <c r="G55" s="47">
        <f t="shared" si="98"/>
        <v>0.25582990397805211</v>
      </c>
      <c r="H55" s="47">
        <f t="shared" si="98"/>
        <v>0.3099834528405957</v>
      </c>
      <c r="I55" s="47">
        <f t="shared" si="98"/>
        <v>0.36507936507936506</v>
      </c>
      <c r="J55" s="47">
        <f t="shared" si="98"/>
        <v>0.43829787234042555</v>
      </c>
      <c r="K55" s="47">
        <f t="shared" si="98"/>
        <v>0.42965627498001596</v>
      </c>
      <c r="L55" s="47">
        <f t="shared" si="98"/>
        <v>0.47766323024054985</v>
      </c>
      <c r="M55" s="47">
        <f t="shared" si="98"/>
        <v>0.43615360599438024</v>
      </c>
      <c r="N55" s="47">
        <f t="shared" si="98"/>
        <v>0.29394962347442222</v>
      </c>
      <c r="O55" s="47">
        <f t="shared" si="98"/>
        <v>0.26333615580016934</v>
      </c>
      <c r="P55" s="47">
        <f t="shared" si="98"/>
        <v>0.31494309747649679</v>
      </c>
      <c r="Q55" s="47">
        <f t="shared" si="98"/>
        <v>0.32415018884692293</v>
      </c>
      <c r="R55" s="47">
        <f t="shared" si="98"/>
        <v>0.43820609380349196</v>
      </c>
      <c r="S55" s="47">
        <f t="shared" si="98"/>
        <v>0.37346711259754739</v>
      </c>
      <c r="T55" s="47">
        <f t="shared" si="98"/>
        <v>0.42479801118707272</v>
      </c>
      <c r="U55" s="47">
        <f t="shared" si="98"/>
        <v>0.44458707744972187</v>
      </c>
      <c r="V55" s="47">
        <f t="shared" si="98"/>
        <v>0.5183335225337723</v>
      </c>
      <c r="W55" s="47">
        <f t="shared" si="98"/>
        <v>0.41421812749003983</v>
      </c>
      <c r="X55" s="47">
        <f t="shared" si="98"/>
        <v>0.47215963952365625</v>
      </c>
      <c r="Y55" s="47">
        <f t="shared" si="98"/>
        <v>0.49593338497288925</v>
      </c>
      <c r="Z55" s="47">
        <f t="shared" si="98"/>
        <v>0.566836262719704</v>
      </c>
      <c r="AA55" s="47">
        <f t="shared" si="98"/>
        <v>0.45537355841551064</v>
      </c>
      <c r="AB55" s="47">
        <f t="shared" si="98"/>
        <v>0.44312599198851182</v>
      </c>
      <c r="AC55" s="47">
        <f t="shared" si="98"/>
        <v>0.42114081736723247</v>
      </c>
      <c r="AD55" s="47">
        <f t="shared" si="98"/>
        <v>0.46233889085964291</v>
      </c>
      <c r="AE55" s="47">
        <f t="shared" si="98"/>
        <v>0.22000397957153281</v>
      </c>
      <c r="AF55" s="47">
        <f t="shared" si="98"/>
        <v>0.27395475541869002</v>
      </c>
      <c r="AG55" s="47">
        <f t="shared" si="98"/>
        <v>0.40703602991162474</v>
      </c>
      <c r="AH55" s="47">
        <f t="shared" si="98"/>
        <v>0.42016886443411439</v>
      </c>
      <c r="AI55" s="47">
        <f t="shared" si="98"/>
        <v>0.33224333314540228</v>
      </c>
      <c r="AJ55" s="47">
        <f t="shared" si="98"/>
        <v>0.31909883876491679</v>
      </c>
      <c r="AK55" s="47">
        <f t="shared" si="98"/>
        <v>0.37447601304145317</v>
      </c>
      <c r="AL55" s="47">
        <f t="shared" si="98"/>
        <v>0.45509600655480748</v>
      </c>
      <c r="AM55" s="47">
        <f t="shared" si="98"/>
        <v>0.43475602766420846</v>
      </c>
      <c r="AN55" s="47">
        <f t="shared" si="98"/>
        <v>0.42531898063761736</v>
      </c>
      <c r="AO55" s="47">
        <f t="shared" si="98"/>
        <v>0.35928990003447087</v>
      </c>
      <c r="AP55" s="47">
        <f t="shared" si="98"/>
        <v>0.37376377297971547</v>
      </c>
      <c r="AQ55" s="47">
        <f t="shared" si="98"/>
        <v>0.30543213415508097</v>
      </c>
      <c r="AR55" s="47">
        <f t="shared" si="98"/>
        <v>0.28998681562695161</v>
      </c>
      <c r="AS55" s="47">
        <f t="shared" si="98"/>
        <v>0.20437324096124701</v>
      </c>
      <c r="AT55" s="47">
        <f t="shared" si="98"/>
        <v>0.19891186071817193</v>
      </c>
      <c r="AU55" s="47">
        <f t="shared" si="98"/>
        <v>0.25229533950078548</v>
      </c>
      <c r="AV55" s="47">
        <f t="shared" si="98"/>
        <v>0.29350917216163003</v>
      </c>
      <c r="AW55" s="47">
        <f t="shared" si="98"/>
        <v>0.40262402624026239</v>
      </c>
      <c r="AX55" s="47">
        <f t="shared" si="98"/>
        <v>0.40845632229756679</v>
      </c>
      <c r="AY55" s="47">
        <f t="shared" si="98"/>
        <v>0.37904265532848719</v>
      </c>
      <c r="AZ55" s="47">
        <f t="shared" si="98"/>
        <v>0.38000051188861306</v>
      </c>
      <c r="BA55" s="47">
        <f t="shared" si="98"/>
        <v>0.4274557146024785</v>
      </c>
      <c r="BB55" s="47">
        <f t="shared" si="98"/>
        <v>0.48288761211920805</v>
      </c>
      <c r="BC55" s="47">
        <f t="shared" si="98"/>
        <v>0.41487450961856598</v>
      </c>
      <c r="BD55" s="47">
        <f t="shared" ref="BD55:BE55" si="99">BD44/BD37</f>
        <v>0.43019193534809325</v>
      </c>
      <c r="BE55" s="47">
        <f t="shared" si="99"/>
        <v>0.4007454822216151</v>
      </c>
      <c r="BO55" s="47">
        <f t="shared" ref="BO55:BV55" si="100">BO44/BO37</f>
        <v>0.10571821575948123</v>
      </c>
      <c r="BP55" s="47">
        <f t="shared" si="100"/>
        <v>0.35619918699186992</v>
      </c>
      <c r="BQ55" s="47">
        <f t="shared" si="100"/>
        <v>0.40060965827049577</v>
      </c>
      <c r="BR55" s="47">
        <f t="shared" si="100"/>
        <v>0.34722222222222221</v>
      </c>
      <c r="BS55" s="47">
        <f t="shared" si="100"/>
        <v>0.44963456111151312</v>
      </c>
      <c r="BT55" s="47">
        <f t="shared" si="100"/>
        <v>0.49696209381841439</v>
      </c>
      <c r="BU55" s="47">
        <f t="shared" si="100"/>
        <v>0.44616569361366809</v>
      </c>
      <c r="BV55" s="47">
        <f t="shared" si="100"/>
        <v>0.33927889443682191</v>
      </c>
      <c r="BW55" s="47">
        <f t="shared" ref="BW55:CA55" si="101">BW44/BW37</f>
        <v>0.3800500203571221</v>
      </c>
      <c r="BX55" s="47">
        <f t="shared" si="101"/>
        <v>0.39645040660058173</v>
      </c>
      <c r="BY55" s="47">
        <f t="shared" si="101"/>
        <v>0.24821411726367604</v>
      </c>
      <c r="BZ55" s="47">
        <f t="shared" si="101"/>
        <v>0.34655527716416362</v>
      </c>
      <c r="CA55" s="47">
        <f t="shared" si="101"/>
        <v>0.42176035404040096</v>
      </c>
      <c r="CB55" s="57">
        <f>CB44/CB37</f>
        <v>0.39750000000000013</v>
      </c>
      <c r="CC55" s="57">
        <f t="shared" ref="CC55:CK55" si="102">CC44/CC37</f>
        <v>0.36999999999999994</v>
      </c>
      <c r="CD55" s="57">
        <f t="shared" si="102"/>
        <v>0.39799999999999996</v>
      </c>
      <c r="CE55" s="57">
        <f t="shared" si="102"/>
        <v>0.42999999999999994</v>
      </c>
      <c r="CF55" s="57">
        <f t="shared" si="102"/>
        <v>0.45200000000000007</v>
      </c>
      <c r="CG55" s="57">
        <f t="shared" si="102"/>
        <v>0.46400000000000002</v>
      </c>
      <c r="CH55" s="57">
        <f t="shared" si="102"/>
        <v>0.47599999999999998</v>
      </c>
      <c r="CI55" s="57">
        <f t="shared" si="102"/>
        <v>0.48699999999999999</v>
      </c>
      <c r="CJ55" s="57">
        <f t="shared" si="102"/>
        <v>0.49799999999999994</v>
      </c>
      <c r="CK55" s="57">
        <f t="shared" si="102"/>
        <v>0.50900000000000001</v>
      </c>
    </row>
    <row r="56" spans="2:89">
      <c r="B56" s="37" t="s">
        <v>115</v>
      </c>
      <c r="C56" s="47">
        <f>C47/C46</f>
        <v>0.46335078534031415</v>
      </c>
      <c r="D56" s="47">
        <f t="shared" ref="D56:BC56" si="103">D47/D46</f>
        <v>0.79477124183006531</v>
      </c>
      <c r="E56" s="47">
        <f t="shared" si="103"/>
        <v>1.1586021505376345</v>
      </c>
      <c r="F56" s="47">
        <f t="shared" si="103"/>
        <v>0.87326732673267327</v>
      </c>
      <c r="G56" s="47">
        <f t="shared" si="103"/>
        <v>0.37960339943342775</v>
      </c>
      <c r="H56" s="47">
        <f t="shared" si="103"/>
        <v>0.38899082568807342</v>
      </c>
      <c r="I56" s="47">
        <f t="shared" si="103"/>
        <v>0.41460055096418735</v>
      </c>
      <c r="J56" s="47">
        <f t="shared" si="103"/>
        <v>0.53716814159292037</v>
      </c>
      <c r="K56" s="47">
        <f t="shared" si="103"/>
        <v>0.40279069767441861</v>
      </c>
      <c r="L56" s="47">
        <f t="shared" si="103"/>
        <v>0.42929292929292928</v>
      </c>
      <c r="M56" s="47">
        <f t="shared" si="103"/>
        <v>0.3967065868263473</v>
      </c>
      <c r="N56" s="49">
        <f t="shared" si="103"/>
        <v>0.37017070979335132</v>
      </c>
      <c r="O56" s="47">
        <f t="shared" si="103"/>
        <v>0.45064377682403434</v>
      </c>
      <c r="P56" s="47">
        <f t="shared" si="103"/>
        <v>0.43519245875883739</v>
      </c>
      <c r="Q56" s="47">
        <f t="shared" si="103"/>
        <v>0.37430167597765363</v>
      </c>
      <c r="R56" s="47">
        <f t="shared" si="103"/>
        <v>0.38951896754008603</v>
      </c>
      <c r="S56" s="47">
        <f t="shared" si="103"/>
        <v>0.15876089060987417</v>
      </c>
      <c r="T56" s="47">
        <f t="shared" si="103"/>
        <v>0.17102396514161219</v>
      </c>
      <c r="U56" s="47">
        <f t="shared" si="103"/>
        <v>0.16972187104930467</v>
      </c>
      <c r="V56" s="47">
        <f t="shared" si="103"/>
        <v>0.21283634759594178</v>
      </c>
      <c r="W56" s="47">
        <f t="shared" si="103"/>
        <v>0.10093896713615023</v>
      </c>
      <c r="X56" s="47">
        <f t="shared" si="103"/>
        <v>0.13235294117647059</v>
      </c>
      <c r="Y56" s="47">
        <f t="shared" si="103"/>
        <v>0.10103132161955691</v>
      </c>
      <c r="Z56" s="47">
        <f t="shared" si="103"/>
        <v>0.42790136692575714</v>
      </c>
      <c r="AA56" s="47">
        <f t="shared" si="103"/>
        <v>0.11087344028520499</v>
      </c>
      <c r="AB56" s="47">
        <f t="shared" si="103"/>
        <v>0.12985685071574643</v>
      </c>
      <c r="AC56" s="47">
        <f t="shared" si="103"/>
        <v>0.13108930987821379</v>
      </c>
      <c r="AD56" s="47">
        <f t="shared" si="103"/>
        <v>0.13674570317400578</v>
      </c>
      <c r="AE56" s="47">
        <f t="shared" si="103"/>
        <v>0.30241240666283747</v>
      </c>
      <c r="AF56" s="47">
        <f t="shared" si="103"/>
        <v>0.45860927152317882</v>
      </c>
      <c r="AG56" s="47">
        <f t="shared" si="103"/>
        <v>0.16891799699822621</v>
      </c>
      <c r="AH56" s="47">
        <f t="shared" si="103"/>
        <v>0.19849492856363835</v>
      </c>
      <c r="AI56" s="47">
        <f t="shared" si="103"/>
        <v>0.16362395495649207</v>
      </c>
      <c r="AJ56" s="47">
        <f t="shared" si="103"/>
        <v>0.15543956940140272</v>
      </c>
      <c r="AK56" s="47">
        <f t="shared" si="103"/>
        <v>3.5288331488995447E-2</v>
      </c>
      <c r="AL56" s="47">
        <f t="shared" si="103"/>
        <v>0.14055917273075449</v>
      </c>
      <c r="AM56" s="47">
        <f t="shared" si="103"/>
        <v>0.17438928975049986</v>
      </c>
      <c r="AN56" s="47">
        <f t="shared" si="103"/>
        <v>0.16934388236234316</v>
      </c>
      <c r="AO56" s="47">
        <f t="shared" si="103"/>
        <v>0.12976810222432561</v>
      </c>
      <c r="AP56" s="47">
        <f t="shared" si="103"/>
        <v>0.19034873651893253</v>
      </c>
      <c r="AQ56" s="47">
        <f t="shared" si="103"/>
        <v>0.1619892231701841</v>
      </c>
      <c r="AR56" s="47">
        <f t="shared" si="103"/>
        <v>0.18311751771316884</v>
      </c>
      <c r="AS56" s="47">
        <f t="shared" si="103"/>
        <v>0.21180057388809181</v>
      </c>
      <c r="AT56" s="47">
        <f t="shared" si="103"/>
        <v>0.24329159212880144</v>
      </c>
      <c r="AU56" s="47">
        <f t="shared" si="103"/>
        <v>0.21869440262761736</v>
      </c>
      <c r="AV56" s="47">
        <f t="shared" si="103"/>
        <v>0.16194985472936618</v>
      </c>
      <c r="AW56" s="47">
        <f t="shared" si="103"/>
        <v>0.1738231098430813</v>
      </c>
      <c r="AX56" s="47">
        <f t="shared" si="103"/>
        <v>0.16599238457877202</v>
      </c>
      <c r="AY56" s="47">
        <f t="shared" si="103"/>
        <v>0.12789959811041388</v>
      </c>
      <c r="AZ56" s="47">
        <f t="shared" si="103"/>
        <v>0.10863233152389778</v>
      </c>
      <c r="BA56" s="47">
        <f t="shared" si="103"/>
        <v>0.11973964762652901</v>
      </c>
      <c r="BB56" s="47">
        <f t="shared" si="103"/>
        <v>0.115234375</v>
      </c>
      <c r="BC56" s="47">
        <f t="shared" si="103"/>
        <v>9.4549015341094556E-2</v>
      </c>
      <c r="BD56" s="47">
        <f t="shared" ref="BD56:BE56" si="104">BD47/BD46</f>
        <v>0.10699327943897925</v>
      </c>
      <c r="BE56" s="47">
        <f t="shared" si="104"/>
        <v>0.87494806813460735</v>
      </c>
      <c r="BO56" s="47">
        <f t="shared" ref="BO56:BV56" si="105">BO47/BO46</f>
        <v>0.89271255060728749</v>
      </c>
      <c r="BP56" s="47">
        <f t="shared" si="105"/>
        <v>0.45533769063180829</v>
      </c>
      <c r="BQ56" s="47">
        <f t="shared" si="105"/>
        <v>0.40122199592668023</v>
      </c>
      <c r="BR56" s="47">
        <f t="shared" si="105"/>
        <v>0.4045850823377462</v>
      </c>
      <c r="BS56" s="47">
        <f t="shared" si="105"/>
        <v>0.18381530595941845</v>
      </c>
      <c r="BT56" s="47">
        <f t="shared" si="105"/>
        <v>0.22627949888316987</v>
      </c>
      <c r="BU56" s="47">
        <f t="shared" si="105"/>
        <v>0.12811009029612397</v>
      </c>
      <c r="BV56" s="47">
        <f t="shared" si="105"/>
        <v>0.25499758181525067</v>
      </c>
      <c r="BW56" s="47">
        <f t="shared" ref="BW56:CA56" si="106">BW47/BW46</f>
        <v>0.12157926461723931</v>
      </c>
      <c r="BX56" s="47">
        <f t="shared" si="106"/>
        <v>0.16737162676592504</v>
      </c>
      <c r="BY56" s="47">
        <f t="shared" si="106"/>
        <v>0.19497553697213643</v>
      </c>
      <c r="BZ56" s="47">
        <f t="shared" si="106"/>
        <v>0.17563464620055663</v>
      </c>
      <c r="CA56" s="47">
        <f t="shared" si="106"/>
        <v>0.11750137978857393</v>
      </c>
      <c r="CB56" s="57">
        <v>0.29499999999999998</v>
      </c>
      <c r="CC56" s="57">
        <v>0.21</v>
      </c>
      <c r="CD56" s="57">
        <v>0.21</v>
      </c>
      <c r="CE56" s="57">
        <v>0.21</v>
      </c>
      <c r="CF56" s="57">
        <v>0.21</v>
      </c>
      <c r="CG56" s="57">
        <v>0.21</v>
      </c>
      <c r="CH56" s="57">
        <v>0.21</v>
      </c>
      <c r="CI56" s="57">
        <v>0.21</v>
      </c>
      <c r="CJ56" s="57">
        <v>0.21</v>
      </c>
      <c r="CK56" s="57">
        <v>0.21</v>
      </c>
    </row>
    <row r="57" spans="2:89">
      <c r="B57" s="37" t="s">
        <v>116</v>
      </c>
      <c r="C57" s="47">
        <f>C48/C37</f>
        <v>0.1937618147448015</v>
      </c>
      <c r="D57" s="47">
        <f t="shared" ref="D57:BC57" si="107">D48/D37</f>
        <v>-0.13260135135135134</v>
      </c>
      <c r="E57" s="47">
        <f t="shared" si="107"/>
        <v>-4.6751188589540409E-2</v>
      </c>
      <c r="F57" s="47">
        <f t="shared" si="107"/>
        <v>4.0378548895899057E-2</v>
      </c>
      <c r="G57" s="47">
        <f t="shared" si="107"/>
        <v>0.15020576131687244</v>
      </c>
      <c r="H57" s="47">
        <f t="shared" si="107"/>
        <v>0.18367346938775511</v>
      </c>
      <c r="I57" s="47">
        <f t="shared" si="107"/>
        <v>0.21081349206349206</v>
      </c>
      <c r="J57" s="47">
        <f t="shared" si="107"/>
        <v>0.202321083172147</v>
      </c>
      <c r="K57" s="47">
        <f t="shared" si="107"/>
        <v>0.25659472422062352</v>
      </c>
      <c r="L57" s="47">
        <f t="shared" si="107"/>
        <v>0.27182130584192438</v>
      </c>
      <c r="M57" s="47">
        <f t="shared" si="107"/>
        <v>0.25163908835466747</v>
      </c>
      <c r="N57" s="47">
        <f t="shared" si="107"/>
        <v>0.18203064139184627</v>
      </c>
      <c r="O57" s="47">
        <f t="shared" si="107"/>
        <v>0.14451030200395146</v>
      </c>
      <c r="P57" s="47">
        <f t="shared" si="107"/>
        <v>0.17788223651657595</v>
      </c>
      <c r="Q57" s="47">
        <f t="shared" si="107"/>
        <v>0.19906687402799378</v>
      </c>
      <c r="R57" s="47">
        <f t="shared" si="107"/>
        <v>0.26720301266689489</v>
      </c>
      <c r="S57" s="47">
        <f t="shared" si="107"/>
        <v>0.32292827945001856</v>
      </c>
      <c r="T57" s="47">
        <f t="shared" si="107"/>
        <v>0.35472343070229956</v>
      </c>
      <c r="U57" s="47">
        <f t="shared" si="107"/>
        <v>0.37469690486378548</v>
      </c>
      <c r="V57" s="47">
        <f t="shared" si="107"/>
        <v>0.40515381995686228</v>
      </c>
      <c r="W57" s="47">
        <f t="shared" si="107"/>
        <v>0.38147410358565736</v>
      </c>
      <c r="X57" s="47">
        <f t="shared" si="107"/>
        <v>0.41776633408432573</v>
      </c>
      <c r="Y57" s="47">
        <f t="shared" si="107"/>
        <v>0.4557513555383424</v>
      </c>
      <c r="Z57" s="47">
        <f t="shared" si="107"/>
        <v>0.32909343200740054</v>
      </c>
      <c r="AA57" s="47">
        <f t="shared" si="107"/>
        <v>0.41684773524987462</v>
      </c>
      <c r="AB57" s="47">
        <f t="shared" si="107"/>
        <v>0.38591187363011109</v>
      </c>
      <c r="AC57" s="47">
        <f t="shared" si="107"/>
        <v>0.37422597799956292</v>
      </c>
      <c r="AD57" s="47">
        <f t="shared" si="107"/>
        <v>0.40682275038429705</v>
      </c>
      <c r="AE57" s="47">
        <f t="shared" si="107"/>
        <v>0.16110632088611793</v>
      </c>
      <c r="AF57" s="47">
        <f t="shared" si="107"/>
        <v>0.15492123652730072</v>
      </c>
      <c r="AG57" s="47">
        <f t="shared" si="107"/>
        <v>0.34506004985270788</v>
      </c>
      <c r="AH57" s="47">
        <f t="shared" si="107"/>
        <v>0.34859121525471964</v>
      </c>
      <c r="AI57" s="47">
        <f t="shared" si="107"/>
        <v>0.27637142696059086</v>
      </c>
      <c r="AJ57" s="47">
        <f t="shared" si="107"/>
        <v>0.27709102584684542</v>
      </c>
      <c r="AK57" s="47">
        <f t="shared" si="107"/>
        <v>0.3654401490451793</v>
      </c>
      <c r="AL57" s="47">
        <f t="shared" si="107"/>
        <v>0.39970075879021055</v>
      </c>
      <c r="AM57" s="47">
        <f t="shared" si="107"/>
        <v>0.36288257995491191</v>
      </c>
      <c r="AN57" s="47">
        <f t="shared" si="107"/>
        <v>0.35746466279189737</v>
      </c>
      <c r="AO57" s="47">
        <f t="shared" si="107"/>
        <v>0.31692519820751464</v>
      </c>
      <c r="AP57" s="47">
        <f t="shared" si="107"/>
        <v>0.30545573342045085</v>
      </c>
      <c r="AQ57" s="47">
        <f t="shared" si="107"/>
        <v>0.26748602551239786</v>
      </c>
      <c r="AR57" s="47">
        <f t="shared" si="107"/>
        <v>0.23201026993269031</v>
      </c>
      <c r="AS57" s="47">
        <f t="shared" si="107"/>
        <v>0.15858410911452694</v>
      </c>
      <c r="AT57" s="47">
        <f t="shared" si="107"/>
        <v>0.1446603450956008</v>
      </c>
      <c r="AU57" s="47">
        <f t="shared" si="107"/>
        <v>0.19930179787048349</v>
      </c>
      <c r="AV57" s="47">
        <f t="shared" si="107"/>
        <v>0.24338260570642833</v>
      </c>
      <c r="AW57" s="47">
        <f t="shared" si="107"/>
        <v>0.33921982076963625</v>
      </c>
      <c r="AX57" s="47">
        <f t="shared" si="107"/>
        <v>0.34947147985640209</v>
      </c>
      <c r="AY57" s="47">
        <f t="shared" si="107"/>
        <v>0.33929502125908656</v>
      </c>
      <c r="AZ57" s="47">
        <f t="shared" si="107"/>
        <v>0.34462900872770086</v>
      </c>
      <c r="BA57" s="47">
        <f t="shared" si="107"/>
        <v>0.38650865998176848</v>
      </c>
      <c r="BB57" s="47">
        <f t="shared" si="107"/>
        <v>0.43066176166659775</v>
      </c>
      <c r="BC57" s="47">
        <f t="shared" si="107"/>
        <v>0.39334499220116276</v>
      </c>
      <c r="BD57" s="47">
        <f t="shared" ref="BD57:BE57" si="108">BD48/BD37</f>
        <v>0.38591211381429413</v>
      </c>
      <c r="BE57" s="47">
        <f t="shared" si="108"/>
        <v>5.2866788962179459E-2</v>
      </c>
      <c r="BO57" s="47">
        <f t="shared" ref="BO57:BV57" si="109">BO48/BO37</f>
        <v>1.0414619768127334E-2</v>
      </c>
      <c r="BP57" s="47">
        <f t="shared" si="109"/>
        <v>0.19054878048780488</v>
      </c>
      <c r="BQ57" s="47">
        <f t="shared" si="109"/>
        <v>0.2358414888496711</v>
      </c>
      <c r="BR57" s="47">
        <f t="shared" si="109"/>
        <v>0.20571173583221777</v>
      </c>
      <c r="BS57" s="47">
        <f t="shared" si="109"/>
        <v>0.36967219046240685</v>
      </c>
      <c r="BT57" s="47">
        <f t="shared" si="109"/>
        <v>0.39195139350109465</v>
      </c>
      <c r="BU57" s="47">
        <f t="shared" si="109"/>
        <v>0.39600272216053584</v>
      </c>
      <c r="BV57" s="47">
        <f t="shared" si="109"/>
        <v>0.26146795479298979</v>
      </c>
      <c r="BW57" s="47">
        <f t="shared" ref="BW57:CA57" si="110">BW48/BW37</f>
        <v>0.3390449601582039</v>
      </c>
      <c r="BX57" s="47">
        <f t="shared" si="110"/>
        <v>0.33384494059985248</v>
      </c>
      <c r="BY57" s="47">
        <f t="shared" si="110"/>
        <v>0.19895548371051977</v>
      </c>
      <c r="BZ57" s="47">
        <f t="shared" si="110"/>
        <v>0.28982520644616094</v>
      </c>
      <c r="CA57" s="47">
        <f t="shared" si="110"/>
        <v>0.37908584142345642</v>
      </c>
      <c r="CB57" s="57">
        <f>CB48/CB37</f>
        <v>0.28604979099719147</v>
      </c>
      <c r="CC57" s="57">
        <f t="shared" ref="CC57:CK57" si="111">CC48/CC37</f>
        <v>0.29939027425077636</v>
      </c>
      <c r="CD57" s="57">
        <f t="shared" si="111"/>
        <v>0.32235630680562749</v>
      </c>
      <c r="CE57" s="57">
        <f t="shared" si="111"/>
        <v>0.34873914150322249</v>
      </c>
      <c r="CF57" s="57">
        <f t="shared" si="111"/>
        <v>0.36741975157255652</v>
      </c>
      <c r="CG57" s="57">
        <f t="shared" si="111"/>
        <v>0.37843978558297042</v>
      </c>
      <c r="CH57" s="57">
        <f t="shared" si="111"/>
        <v>0.38975004886917414</v>
      </c>
      <c r="CI57" s="57">
        <f t="shared" si="111"/>
        <v>0.40062341898638776</v>
      </c>
      <c r="CJ57" s="57">
        <f t="shared" si="111"/>
        <v>0.41192799297393418</v>
      </c>
      <c r="CK57" s="57">
        <f t="shared" si="111"/>
        <v>0.42385721969619561</v>
      </c>
    </row>
    <row r="58" spans="2:89">
      <c r="BE58" s="1"/>
    </row>
    <row r="59" spans="2:89">
      <c r="B59" s="1" t="s">
        <v>117</v>
      </c>
      <c r="AL59" s="1">
        <v>17576</v>
      </c>
      <c r="AM59" s="1">
        <v>19513</v>
      </c>
      <c r="AN59" s="1">
        <v>16186</v>
      </c>
      <c r="AO59" s="1">
        <v>14496</v>
      </c>
      <c r="AP59" s="1">
        <v>16601</v>
      </c>
      <c r="AQ59" s="1">
        <v>14886</v>
      </c>
      <c r="AR59" s="1">
        <v>12681</v>
      </c>
      <c r="AS59" s="1">
        <v>14308</v>
      </c>
      <c r="AT59" s="1">
        <v>14681</v>
      </c>
      <c r="AU59" s="1">
        <v>11551</v>
      </c>
      <c r="AV59" s="1">
        <v>28785</v>
      </c>
      <c r="AW59" s="1">
        <v>36890</v>
      </c>
      <c r="AX59" s="1">
        <v>41862</v>
      </c>
      <c r="AY59" s="1">
        <v>32307</v>
      </c>
      <c r="AZ59" s="1">
        <v>32045</v>
      </c>
      <c r="BA59" s="1">
        <v>43852</v>
      </c>
      <c r="BB59" s="1">
        <v>43889</v>
      </c>
      <c r="BC59" s="1">
        <v>28750</v>
      </c>
      <c r="BD59" s="1">
        <v>12005</v>
      </c>
      <c r="BE59" s="1">
        <v>10187</v>
      </c>
      <c r="BW59" s="1">
        <f t="shared" ref="BW59:BW68" si="112">AL59</f>
        <v>17576</v>
      </c>
      <c r="BX59" s="1">
        <f t="shared" ref="BX59:BX68" si="113">AP59</f>
        <v>16601</v>
      </c>
      <c r="BY59" s="1">
        <f t="shared" ref="BY59:BY68" si="114">AT59</f>
        <v>14681</v>
      </c>
      <c r="BZ59" s="1">
        <f t="shared" ref="BZ59:BZ68" si="115">AX59</f>
        <v>41862</v>
      </c>
      <c r="CA59" s="1">
        <f t="shared" ref="CA59:CA68" si="116">BB59</f>
        <v>43889</v>
      </c>
      <c r="CB59" s="56">
        <f>CA59+CB48</f>
        <v>101202.54827075002</v>
      </c>
      <c r="CC59" s="56">
        <f t="shared" ref="CC59:CK59" si="117">CB59+CC48</f>
        <v>172147.72538116251</v>
      </c>
      <c r="CD59" s="56">
        <f t="shared" si="117"/>
        <v>260012.17311323958</v>
      </c>
      <c r="CE59" s="56">
        <f t="shared" si="117"/>
        <v>367464.5947397108</v>
      </c>
      <c r="CF59" s="56">
        <f t="shared" si="117"/>
        <v>494885.98260800919</v>
      </c>
      <c r="CG59" s="56">
        <f t="shared" si="117"/>
        <v>641956.41169850877</v>
      </c>
      <c r="CH59" s="56">
        <f t="shared" si="117"/>
        <v>810934.9648206823</v>
      </c>
      <c r="CI59" s="56">
        <f t="shared" si="117"/>
        <v>1003843.1475474642</v>
      </c>
      <c r="CJ59" s="56">
        <f t="shared" si="117"/>
        <v>1223144.2762893273</v>
      </c>
      <c r="CK59" s="56">
        <f t="shared" si="117"/>
        <v>1470397.5030178609</v>
      </c>
    </row>
    <row r="60" spans="2:89">
      <c r="B60" s="1" t="s">
        <v>118</v>
      </c>
      <c r="AL60" s="1">
        <v>44378</v>
      </c>
      <c r="AM60" s="1">
        <v>44706</v>
      </c>
      <c r="AN60" s="1">
        <v>47894</v>
      </c>
      <c r="AO60" s="1">
        <v>43579</v>
      </c>
      <c r="AP60" s="1">
        <v>31397</v>
      </c>
      <c r="AQ60" s="1">
        <v>29004</v>
      </c>
      <c r="AR60" s="1">
        <v>27808</v>
      </c>
      <c r="AS60" s="1">
        <v>27468</v>
      </c>
      <c r="AT60" s="1">
        <v>26057</v>
      </c>
      <c r="AU60" s="1">
        <v>25888</v>
      </c>
      <c r="AV60" s="1">
        <v>24661</v>
      </c>
      <c r="AW60" s="1">
        <v>24233</v>
      </c>
      <c r="AX60" s="1">
        <v>23541</v>
      </c>
      <c r="AY60" s="1">
        <v>25813</v>
      </c>
      <c r="AZ60" s="1">
        <v>26035</v>
      </c>
      <c r="BA60" s="1">
        <v>27048</v>
      </c>
      <c r="BB60" s="1">
        <v>33926</v>
      </c>
      <c r="BC60" s="1">
        <v>41480</v>
      </c>
      <c r="BD60" s="1">
        <v>35066</v>
      </c>
      <c r="BE60" s="1">
        <v>34261</v>
      </c>
      <c r="BW60" s="1">
        <f t="shared" si="112"/>
        <v>44378</v>
      </c>
      <c r="BX60" s="1">
        <f t="shared" si="113"/>
        <v>31397</v>
      </c>
      <c r="BY60" s="1">
        <f t="shared" si="114"/>
        <v>26057</v>
      </c>
      <c r="BZ60" s="1">
        <f t="shared" si="115"/>
        <v>23541</v>
      </c>
      <c r="CA60" s="1">
        <f t="shared" si="116"/>
        <v>33926</v>
      </c>
    </row>
    <row r="61" spans="2:89" ht="15" customHeight="1">
      <c r="B61" s="1" t="s">
        <v>233</v>
      </c>
      <c r="AL61" s="1">
        <v>11335</v>
      </c>
      <c r="AM61" s="1">
        <v>10276</v>
      </c>
      <c r="AN61" s="1">
        <v>11698</v>
      </c>
      <c r="AO61" s="1">
        <v>12088</v>
      </c>
      <c r="AP61" s="1">
        <v>14039</v>
      </c>
      <c r="AQ61" s="1">
        <v>11390</v>
      </c>
      <c r="AR61" s="1">
        <v>11525</v>
      </c>
      <c r="AS61" s="1">
        <v>11227</v>
      </c>
      <c r="AT61" s="1">
        <v>13466</v>
      </c>
      <c r="AU61" s="1">
        <v>11044</v>
      </c>
      <c r="AV61" s="1">
        <v>12511</v>
      </c>
      <c r="AW61" s="1">
        <v>12944</v>
      </c>
      <c r="AX61" s="1">
        <v>16169</v>
      </c>
      <c r="AY61" s="1">
        <v>13430</v>
      </c>
      <c r="AZ61" s="1">
        <v>14505</v>
      </c>
      <c r="BA61" s="1">
        <v>14700</v>
      </c>
      <c r="BB61" s="1">
        <v>16994</v>
      </c>
      <c r="BC61" s="1">
        <v>14514</v>
      </c>
      <c r="BD61" s="1">
        <v>16561</v>
      </c>
      <c r="BE61" s="1">
        <v>17297</v>
      </c>
      <c r="BW61" s="1">
        <f t="shared" si="112"/>
        <v>11335</v>
      </c>
      <c r="BX61" s="1">
        <f t="shared" si="113"/>
        <v>14039</v>
      </c>
      <c r="BY61" s="1">
        <f t="shared" si="114"/>
        <v>13466</v>
      </c>
      <c r="BZ61" s="1">
        <f t="shared" si="115"/>
        <v>16169</v>
      </c>
      <c r="CA61" s="1">
        <f t="shared" si="116"/>
        <v>16994</v>
      </c>
      <c r="CC61" s="59" t="s">
        <v>1516</v>
      </c>
      <c r="CF61" s="59" t="s">
        <v>1517</v>
      </c>
      <c r="CH61" s="60" t="s">
        <v>1518</v>
      </c>
      <c r="CJ61" s="61" t="s">
        <v>1519</v>
      </c>
      <c r="CK61" s="62">
        <v>0.28749999999999998</v>
      </c>
    </row>
    <row r="62" spans="2:89" ht="15" customHeight="1">
      <c r="B62" s="1" t="s">
        <v>234</v>
      </c>
      <c r="AL62" s="1">
        <v>2381</v>
      </c>
      <c r="AM62" s="1">
        <v>2827</v>
      </c>
      <c r="AN62" s="1">
        <v>4919</v>
      </c>
      <c r="AO62" s="1">
        <v>5258</v>
      </c>
      <c r="AP62" s="1">
        <v>4629</v>
      </c>
      <c r="AQ62" s="1">
        <v>3985</v>
      </c>
      <c r="AR62" s="1">
        <v>3973</v>
      </c>
      <c r="AS62" s="1">
        <v>5312</v>
      </c>
      <c r="AT62" s="1">
        <v>5345</v>
      </c>
      <c r="AU62" s="1">
        <v>4000</v>
      </c>
      <c r="AV62" s="1">
        <v>3603</v>
      </c>
      <c r="AW62" s="1">
        <v>4311</v>
      </c>
      <c r="AX62" s="1">
        <v>3793</v>
      </c>
      <c r="AY62" s="1">
        <v>3780</v>
      </c>
      <c r="AZ62" s="1">
        <v>3846</v>
      </c>
      <c r="BA62" s="1">
        <v>5467</v>
      </c>
      <c r="BB62" s="1">
        <v>5236</v>
      </c>
      <c r="BC62" s="1">
        <v>5483</v>
      </c>
      <c r="BD62" s="1">
        <v>9981</v>
      </c>
      <c r="BE62" s="1">
        <v>11373</v>
      </c>
      <c r="BW62" s="1">
        <f t="shared" si="112"/>
        <v>2381</v>
      </c>
      <c r="BX62" s="1">
        <f t="shared" si="113"/>
        <v>4629</v>
      </c>
      <c r="BY62" s="1">
        <f t="shared" si="114"/>
        <v>5345</v>
      </c>
      <c r="BZ62" s="1">
        <f t="shared" si="115"/>
        <v>3793</v>
      </c>
      <c r="CA62" s="1">
        <f t="shared" si="116"/>
        <v>5236</v>
      </c>
      <c r="CC62" s="35">
        <v>2024</v>
      </c>
      <c r="CE62" s="35">
        <v>2023</v>
      </c>
      <c r="CF62" s="35">
        <v>2024</v>
      </c>
      <c r="CH62" s="60" t="s">
        <v>1520</v>
      </c>
      <c r="CJ62" s="61" t="s">
        <v>1521</v>
      </c>
      <c r="CK62" s="63">
        <v>2.5000000000000001E-2</v>
      </c>
    </row>
    <row r="63" spans="2:89" ht="15" customHeight="1">
      <c r="B63" s="1" t="s">
        <v>235</v>
      </c>
      <c r="AL63" s="1">
        <v>6234</v>
      </c>
      <c r="AM63" s="1">
        <v>6342</v>
      </c>
      <c r="AN63" s="1">
        <v>6393</v>
      </c>
      <c r="AO63" s="1">
        <v>6758</v>
      </c>
      <c r="AP63" s="1">
        <v>6775</v>
      </c>
      <c r="AQ63" s="1">
        <v>6775</v>
      </c>
      <c r="AR63" s="1">
        <v>6536</v>
      </c>
      <c r="AS63" s="1">
        <v>6528</v>
      </c>
      <c r="AT63" s="1">
        <v>6201</v>
      </c>
      <c r="AU63" s="1">
        <v>6167</v>
      </c>
      <c r="AV63" s="1">
        <v>6208</v>
      </c>
      <c r="AW63" s="1">
        <v>6142</v>
      </c>
      <c r="AX63" s="1">
        <v>6141</v>
      </c>
      <c r="AY63" s="1">
        <v>6218</v>
      </c>
      <c r="AZ63" s="1">
        <v>6207</v>
      </c>
      <c r="BA63" s="1">
        <v>6071</v>
      </c>
      <c r="BB63" s="1">
        <v>6070</v>
      </c>
      <c r="BC63" s="1">
        <v>6168</v>
      </c>
      <c r="BD63" s="1">
        <v>21988</v>
      </c>
      <c r="BE63" s="1">
        <v>25074</v>
      </c>
      <c r="BW63" s="1">
        <f t="shared" si="112"/>
        <v>6234</v>
      </c>
      <c r="BX63" s="1">
        <f t="shared" si="113"/>
        <v>6775</v>
      </c>
      <c r="BY63" s="1">
        <f t="shared" si="114"/>
        <v>6201</v>
      </c>
      <c r="BZ63" s="1">
        <f t="shared" si="115"/>
        <v>6141</v>
      </c>
      <c r="CA63" s="1">
        <f t="shared" si="116"/>
        <v>6070</v>
      </c>
      <c r="CC63" s="56">
        <f>CB44*(1-CB56)</f>
        <v>56148.985208250022</v>
      </c>
      <c r="CE63" s="35">
        <f>SUM(BZ59:BZ61)-SUM(BZ71)+BZ64+BZ67+BZ65</f>
        <v>207258</v>
      </c>
      <c r="CF63" s="35">
        <f>SUM(CA59:CA61)-SUM(CA71)+CA64+CA67+CA65</f>
        <v>244044</v>
      </c>
      <c r="CH63" s="35">
        <f>AVERAGE(CE63:CF63)</f>
        <v>225651</v>
      </c>
      <c r="CJ63" s="61" t="s">
        <v>1522</v>
      </c>
      <c r="CK63" s="63">
        <v>3.9899999999999998E-2</v>
      </c>
    </row>
    <row r="64" spans="2:89" ht="15" customHeight="1">
      <c r="B64" s="1" t="s">
        <v>236</v>
      </c>
      <c r="AL64" s="1">
        <v>45633</v>
      </c>
      <c r="AM64" s="1">
        <v>47720</v>
      </c>
      <c r="AN64" s="1">
        <v>50909</v>
      </c>
      <c r="AO64" s="1">
        <v>53726</v>
      </c>
      <c r="AP64" s="1">
        <v>57809</v>
      </c>
      <c r="AQ64" s="1">
        <v>61582</v>
      </c>
      <c r="AR64" s="1">
        <v>67588</v>
      </c>
      <c r="AS64" s="1">
        <v>73738</v>
      </c>
      <c r="AT64" s="1">
        <v>79518</v>
      </c>
      <c r="AU64" s="1">
        <v>84156</v>
      </c>
      <c r="AV64" s="1">
        <v>87949</v>
      </c>
      <c r="AW64" s="1">
        <v>91772</v>
      </c>
      <c r="AX64" s="1">
        <v>96587</v>
      </c>
      <c r="AY64" s="1">
        <v>98908</v>
      </c>
      <c r="AZ64" s="1">
        <v>102959</v>
      </c>
      <c r="BA64" s="1">
        <v>112162</v>
      </c>
      <c r="BB64" s="1">
        <v>121346</v>
      </c>
      <c r="BC64" s="1">
        <v>133567</v>
      </c>
      <c r="BD64" s="1">
        <v>147039</v>
      </c>
      <c r="BE64" s="1">
        <v>160270</v>
      </c>
      <c r="BW64" s="1">
        <f t="shared" si="112"/>
        <v>45633</v>
      </c>
      <c r="BX64" s="1">
        <f t="shared" si="113"/>
        <v>57809</v>
      </c>
      <c r="BY64" s="1">
        <f t="shared" si="114"/>
        <v>79518</v>
      </c>
      <c r="BZ64" s="1">
        <f t="shared" si="115"/>
        <v>96587</v>
      </c>
      <c r="CA64" s="1">
        <f t="shared" si="116"/>
        <v>121346</v>
      </c>
      <c r="CC64" s="57">
        <f>CC63/CH63</f>
        <v>0.24883109407115422</v>
      </c>
      <c r="CJ64" s="61" t="s">
        <v>1523</v>
      </c>
      <c r="CK64" s="63">
        <f>8.4%-CK63</f>
        <v>4.4100000000000007E-2</v>
      </c>
    </row>
    <row r="65" spans="2:141" ht="15" customHeight="1">
      <c r="B65" s="1" t="s">
        <v>237</v>
      </c>
      <c r="AL65" s="1">
        <v>9348</v>
      </c>
      <c r="AM65" s="1">
        <v>10202</v>
      </c>
      <c r="AN65" s="1">
        <v>10525</v>
      </c>
      <c r="AO65" s="1">
        <v>11063</v>
      </c>
      <c r="AP65" s="1">
        <v>12155</v>
      </c>
      <c r="AQ65" s="1">
        <v>12241</v>
      </c>
      <c r="AR65" s="1">
        <v>14130</v>
      </c>
      <c r="AS65" s="1">
        <v>13641</v>
      </c>
      <c r="AT65" s="1">
        <v>12673</v>
      </c>
      <c r="AU65" s="1">
        <v>12899</v>
      </c>
      <c r="AV65" s="1">
        <v>12955</v>
      </c>
      <c r="AW65" s="1">
        <v>13033</v>
      </c>
      <c r="AX65" s="1">
        <v>13294</v>
      </c>
      <c r="AY65" s="1">
        <v>13555</v>
      </c>
      <c r="AZ65" s="1">
        <v>14058</v>
      </c>
      <c r="BA65" s="1">
        <v>14812</v>
      </c>
      <c r="BB65" s="1">
        <v>14922</v>
      </c>
      <c r="BC65" s="1">
        <v>15505</v>
      </c>
      <c r="BD65" s="1">
        <v>15662</v>
      </c>
      <c r="BE65" s="1">
        <v>17372</v>
      </c>
      <c r="BW65" s="1">
        <f t="shared" si="112"/>
        <v>9348</v>
      </c>
      <c r="BX65" s="1">
        <f t="shared" si="113"/>
        <v>12155</v>
      </c>
      <c r="BY65" s="1">
        <f t="shared" si="114"/>
        <v>12673</v>
      </c>
      <c r="BZ65" s="1">
        <f t="shared" si="115"/>
        <v>13294</v>
      </c>
      <c r="CA65" s="1">
        <f t="shared" si="116"/>
        <v>14922</v>
      </c>
      <c r="CJ65" s="61" t="s">
        <v>1524</v>
      </c>
      <c r="CK65" s="35">
        <v>1.27</v>
      </c>
    </row>
    <row r="66" spans="2:141" ht="15" customHeight="1">
      <c r="B66" s="1" t="s">
        <v>253</v>
      </c>
      <c r="AL66" s="1">
        <v>623</v>
      </c>
      <c r="AM66" s="1">
        <v>505</v>
      </c>
      <c r="AN66" s="1">
        <v>514</v>
      </c>
      <c r="AO66" s="1">
        <v>365</v>
      </c>
      <c r="AP66" s="1">
        <v>634</v>
      </c>
      <c r="AQ66" s="1">
        <v>910</v>
      </c>
      <c r="AR66" s="1">
        <v>965</v>
      </c>
      <c r="AS66" s="1">
        <v>875</v>
      </c>
      <c r="AT66" s="1">
        <v>897</v>
      </c>
      <c r="AU66" s="1">
        <v>949</v>
      </c>
      <c r="AV66" s="1">
        <v>856</v>
      </c>
      <c r="AW66" s="1">
        <v>813</v>
      </c>
      <c r="AX66" s="1">
        <v>0</v>
      </c>
      <c r="AY66" s="1">
        <v>0</v>
      </c>
      <c r="AZ66" s="1">
        <v>0</v>
      </c>
      <c r="BA66" s="1">
        <v>0</v>
      </c>
      <c r="BB66" s="1">
        <v>0</v>
      </c>
      <c r="BC66" s="1">
        <v>0</v>
      </c>
      <c r="BD66" s="1">
        <v>0</v>
      </c>
      <c r="BE66" s="1">
        <v>0</v>
      </c>
      <c r="BW66" s="1">
        <f t="shared" si="112"/>
        <v>623</v>
      </c>
      <c r="BX66" s="1">
        <f t="shared" si="113"/>
        <v>634</v>
      </c>
      <c r="BY66" s="1">
        <f t="shared" si="114"/>
        <v>897</v>
      </c>
      <c r="BZ66" s="1">
        <f t="shared" si="115"/>
        <v>0</v>
      </c>
      <c r="CA66" s="1">
        <f t="shared" si="116"/>
        <v>0</v>
      </c>
      <c r="CJ66" s="61" t="s">
        <v>1525</v>
      </c>
      <c r="CK66" s="63">
        <f>+CK63+(CK64*CK65)</f>
        <v>9.5907000000000006E-2</v>
      </c>
    </row>
    <row r="67" spans="2:141" ht="15" customHeight="1">
      <c r="B67" s="1" t="s">
        <v>238</v>
      </c>
      <c r="AL67" s="1">
        <v>19050</v>
      </c>
      <c r="AM67" s="1">
        <v>19056</v>
      </c>
      <c r="AN67" s="1">
        <v>19219</v>
      </c>
      <c r="AO67" s="1">
        <v>19065</v>
      </c>
      <c r="AP67" s="1">
        <v>19197</v>
      </c>
      <c r="AQ67" s="1">
        <v>19923</v>
      </c>
      <c r="AR67" s="1">
        <v>20229</v>
      </c>
      <c r="AS67" s="1">
        <v>20268</v>
      </c>
      <c r="AT67" s="1">
        <v>20306</v>
      </c>
      <c r="AU67" s="1">
        <v>20649</v>
      </c>
      <c r="AV67" s="1">
        <v>20659</v>
      </c>
      <c r="AW67" s="1">
        <v>20668</v>
      </c>
      <c r="AX67" s="1">
        <v>20654</v>
      </c>
      <c r="AY67" s="1">
        <v>20654</v>
      </c>
      <c r="AZ67" s="1">
        <v>20654</v>
      </c>
      <c r="BA67" s="1">
        <v>20654</v>
      </c>
      <c r="BB67" s="1">
        <v>20654</v>
      </c>
      <c r="BC67" s="1">
        <v>20654</v>
      </c>
      <c r="BD67" s="1">
        <v>20654</v>
      </c>
      <c r="BE67" s="1">
        <v>21158</v>
      </c>
      <c r="BW67" s="1">
        <f t="shared" si="112"/>
        <v>19050</v>
      </c>
      <c r="BX67" s="1">
        <f t="shared" si="113"/>
        <v>19197</v>
      </c>
      <c r="BY67" s="1">
        <f t="shared" si="114"/>
        <v>20306</v>
      </c>
      <c r="BZ67" s="1">
        <f t="shared" si="115"/>
        <v>20654</v>
      </c>
      <c r="CA67" s="1">
        <f t="shared" si="116"/>
        <v>20654</v>
      </c>
      <c r="CJ67" s="61"/>
    </row>
    <row r="68" spans="2:141" ht="15" customHeight="1">
      <c r="B68" s="1" t="s">
        <v>239</v>
      </c>
      <c r="AL68" s="1">
        <v>2758</v>
      </c>
      <c r="AM68" s="1">
        <v>2376</v>
      </c>
      <c r="AN68" s="1">
        <v>2352</v>
      </c>
      <c r="AO68" s="1">
        <v>3187</v>
      </c>
      <c r="AP68" s="1">
        <v>2751</v>
      </c>
      <c r="AQ68" s="1">
        <v>3522</v>
      </c>
      <c r="AR68" s="1">
        <v>4344</v>
      </c>
      <c r="AS68" s="1">
        <v>5529</v>
      </c>
      <c r="AT68" s="1">
        <v>6583</v>
      </c>
      <c r="AU68" s="1">
        <v>7188</v>
      </c>
      <c r="AV68" s="1">
        <v>8501</v>
      </c>
      <c r="AW68" s="1">
        <v>5468</v>
      </c>
      <c r="AX68" s="1">
        <v>7582</v>
      </c>
      <c r="AY68" s="1">
        <v>8179</v>
      </c>
      <c r="AZ68" s="1">
        <v>9929</v>
      </c>
      <c r="BA68" s="1">
        <v>11642</v>
      </c>
      <c r="BB68" s="1">
        <v>13017</v>
      </c>
      <c r="BC68" s="1">
        <v>14092</v>
      </c>
      <c r="BD68" s="1">
        <v>15788</v>
      </c>
      <c r="BE68" s="1">
        <v>6852</v>
      </c>
      <c r="BW68" s="1">
        <f t="shared" si="112"/>
        <v>2758</v>
      </c>
      <c r="BX68" s="1">
        <f t="shared" si="113"/>
        <v>2751</v>
      </c>
      <c r="BY68" s="1">
        <f t="shared" si="114"/>
        <v>6583</v>
      </c>
      <c r="BZ68" s="1">
        <f t="shared" si="115"/>
        <v>7582</v>
      </c>
      <c r="CA68" s="1">
        <f t="shared" si="116"/>
        <v>13017</v>
      </c>
      <c r="CJ68" s="61" t="s">
        <v>1526</v>
      </c>
      <c r="CK68" s="56">
        <f>NPV(CK66,CB48:EJ48)</f>
        <v>2174851.55355309</v>
      </c>
    </row>
    <row r="69" spans="2:141" s="2" customFormat="1" ht="15" customHeight="1">
      <c r="B69" s="2" t="s">
        <v>249</v>
      </c>
      <c r="AL69" s="2">
        <f t="shared" ref="AL69:AX69" si="118">SUM(AL59:AL68)</f>
        <v>159316</v>
      </c>
      <c r="AM69" s="2">
        <f t="shared" si="118"/>
        <v>163523</v>
      </c>
      <c r="AN69" s="2">
        <f t="shared" si="118"/>
        <v>170609</v>
      </c>
      <c r="AO69" s="2">
        <f t="shared" si="118"/>
        <v>169585</v>
      </c>
      <c r="AP69" s="2">
        <f t="shared" si="118"/>
        <v>165987</v>
      </c>
      <c r="AQ69" s="2">
        <f t="shared" si="118"/>
        <v>164218</v>
      </c>
      <c r="AR69" s="2">
        <f t="shared" si="118"/>
        <v>169779</v>
      </c>
      <c r="AS69" s="2">
        <f t="shared" si="118"/>
        <v>178894</v>
      </c>
      <c r="AT69" s="2">
        <f t="shared" si="118"/>
        <v>185727</v>
      </c>
      <c r="AU69" s="2">
        <f t="shared" si="118"/>
        <v>184491</v>
      </c>
      <c r="AV69" s="2">
        <f t="shared" si="118"/>
        <v>206688</v>
      </c>
      <c r="AW69" s="2">
        <f t="shared" si="118"/>
        <v>216274</v>
      </c>
      <c r="AX69" s="2">
        <f t="shared" si="118"/>
        <v>229623</v>
      </c>
      <c r="AY69" s="2">
        <f t="shared" ref="AY69:BB69" si="119">SUM(AY59:AY68)</f>
        <v>222844</v>
      </c>
      <c r="AZ69" s="2">
        <f t="shared" si="119"/>
        <v>230238</v>
      </c>
      <c r="BA69" s="2">
        <f t="shared" si="119"/>
        <v>256408</v>
      </c>
      <c r="BB69" s="2">
        <f t="shared" si="119"/>
        <v>276054</v>
      </c>
      <c r="BC69" s="2">
        <f>SUM(BC59:BC68)</f>
        <v>280213</v>
      </c>
      <c r="BD69" s="2">
        <f>SUM(BD59:BD68)</f>
        <v>294744</v>
      </c>
      <c r="BE69" s="2">
        <f>SUM(BE59:BE68)</f>
        <v>303844</v>
      </c>
      <c r="BF69" s="34"/>
      <c r="BG69" s="34"/>
      <c r="BH69" s="34"/>
      <c r="BI69" s="34"/>
      <c r="BJ69" s="34"/>
      <c r="BW69" s="2">
        <f>AL70</f>
        <v>0</v>
      </c>
      <c r="BX69" s="2">
        <f>AP70</f>
        <v>0</v>
      </c>
      <c r="BY69" s="2">
        <f>AT70</f>
        <v>0</v>
      </c>
      <c r="BZ69" s="2">
        <f>AX70</f>
        <v>0</v>
      </c>
      <c r="CA69" s="2">
        <f>BB70</f>
        <v>0</v>
      </c>
      <c r="CB69" s="34"/>
      <c r="CC69" s="34"/>
      <c r="CD69" s="34"/>
      <c r="CE69" s="34"/>
      <c r="CF69" s="34"/>
      <c r="CG69" s="34"/>
      <c r="CH69" s="34"/>
      <c r="CI69" s="34"/>
      <c r="CJ69" s="61" t="s">
        <v>128</v>
      </c>
      <c r="CK69" s="56">
        <f>Main!C4</f>
        <v>2517</v>
      </c>
      <c r="CL69" s="34"/>
      <c r="CM69" s="34"/>
      <c r="CN69" s="34"/>
      <c r="CO69" s="34"/>
      <c r="CP69" s="34"/>
      <c r="CQ69" s="34"/>
      <c r="CR69" s="34"/>
      <c r="CS69" s="34"/>
      <c r="CT69" s="34"/>
      <c r="CU69" s="34"/>
      <c r="CV69" s="34"/>
      <c r="CW69" s="34"/>
      <c r="CX69" s="34"/>
      <c r="CY69" s="34"/>
      <c r="CZ69" s="34"/>
      <c r="DA69" s="34"/>
      <c r="DB69" s="34"/>
      <c r="DC69" s="34"/>
      <c r="DD69" s="34"/>
      <c r="DE69" s="34"/>
      <c r="DF69" s="34"/>
      <c r="DG69" s="34"/>
      <c r="DH69" s="34"/>
      <c r="DI69" s="34"/>
      <c r="DJ69" s="34"/>
      <c r="DK69" s="34"/>
      <c r="DL69" s="34"/>
      <c r="DM69" s="34"/>
      <c r="DN69" s="34"/>
      <c r="DO69" s="34"/>
      <c r="DP69" s="34"/>
      <c r="DQ69" s="34"/>
      <c r="DR69" s="34"/>
      <c r="DS69" s="34"/>
      <c r="DT69" s="34"/>
      <c r="DU69" s="34"/>
      <c r="DV69" s="34"/>
      <c r="DW69" s="34"/>
      <c r="DX69" s="34"/>
      <c r="DY69" s="34"/>
      <c r="DZ69" s="34"/>
      <c r="EA69" s="34"/>
      <c r="EB69" s="34"/>
      <c r="EC69" s="34"/>
      <c r="ED69" s="34"/>
      <c r="EE69" s="34"/>
      <c r="EF69" s="34"/>
      <c r="EG69" s="34"/>
      <c r="EH69" s="34"/>
      <c r="EI69" s="34"/>
      <c r="EJ69" s="34"/>
      <c r="EK69" s="34"/>
    </row>
    <row r="70" spans="2:141" ht="15" customHeight="1">
      <c r="BE70" s="1"/>
      <c r="CJ70" s="61" t="s">
        <v>1527</v>
      </c>
      <c r="CK70" s="55">
        <f>CK68/CK69</f>
        <v>864.06497956022645</v>
      </c>
    </row>
    <row r="71" spans="2:141" ht="15" customHeight="1">
      <c r="B71" s="1" t="s">
        <v>240</v>
      </c>
      <c r="AL71" s="1">
        <v>1331</v>
      </c>
      <c r="AM71" s="1">
        <v>878</v>
      </c>
      <c r="AN71" s="1">
        <v>973</v>
      </c>
      <c r="AO71" s="1">
        <v>2195</v>
      </c>
      <c r="AP71" s="1">
        <v>4083</v>
      </c>
      <c r="AQ71" s="1">
        <v>3246</v>
      </c>
      <c r="AR71" s="1">
        <v>4008</v>
      </c>
      <c r="AS71" s="1">
        <v>3871</v>
      </c>
      <c r="AT71" s="1">
        <v>4990</v>
      </c>
      <c r="AU71" s="1">
        <v>3672</v>
      </c>
      <c r="AV71" s="1">
        <v>3093</v>
      </c>
      <c r="AW71" s="1">
        <v>4372</v>
      </c>
      <c r="AX71" s="1">
        <v>4849</v>
      </c>
      <c r="AY71" s="1">
        <v>3785</v>
      </c>
      <c r="AZ71" s="1">
        <v>3173</v>
      </c>
      <c r="BA71" s="1">
        <v>7656</v>
      </c>
      <c r="BB71" s="1">
        <v>7687</v>
      </c>
      <c r="BC71" s="1">
        <v>8512</v>
      </c>
      <c r="BD71" s="1">
        <v>10271</v>
      </c>
      <c r="BE71" s="1">
        <v>7798</v>
      </c>
      <c r="BW71" s="1">
        <f t="shared" ref="BW71:BW82" si="120">AL71</f>
        <v>1331</v>
      </c>
      <c r="BX71" s="1">
        <f t="shared" ref="BX71:BX82" si="121">AP71</f>
        <v>4083</v>
      </c>
      <c r="BY71" s="1">
        <f t="shared" ref="BY71:BY82" si="122">AT71</f>
        <v>4990</v>
      </c>
      <c r="BZ71" s="1">
        <f t="shared" ref="BZ71:BZ82" si="123">AX71</f>
        <v>4849</v>
      </c>
      <c r="CA71" s="1">
        <f t="shared" ref="CA71:CA82" si="124">BB71</f>
        <v>7687</v>
      </c>
      <c r="CJ71" s="61" t="s">
        <v>1528</v>
      </c>
      <c r="CK71" s="55">
        <f>Main!C3</f>
        <v>667.31</v>
      </c>
    </row>
    <row r="72" spans="2:141" ht="15" customHeight="1">
      <c r="B72" s="1" t="s">
        <v>251</v>
      </c>
      <c r="AL72" s="1">
        <v>1093</v>
      </c>
      <c r="AM72" s="1">
        <v>1006</v>
      </c>
      <c r="AN72" s="1">
        <v>949</v>
      </c>
      <c r="AO72" s="1">
        <v>909</v>
      </c>
      <c r="AP72" s="1">
        <v>1052</v>
      </c>
      <c r="AQ72" s="1">
        <v>935</v>
      </c>
      <c r="AR72" s="1">
        <v>982</v>
      </c>
      <c r="AS72" s="1">
        <v>975</v>
      </c>
      <c r="AT72" s="1">
        <v>0</v>
      </c>
      <c r="AU72" s="1">
        <v>0</v>
      </c>
      <c r="AV72" s="1">
        <v>0</v>
      </c>
      <c r="AW72" s="1">
        <v>0</v>
      </c>
      <c r="AX72" s="1">
        <v>0</v>
      </c>
      <c r="AY72" s="1">
        <v>0</v>
      </c>
      <c r="AZ72" s="1">
        <v>0</v>
      </c>
      <c r="BA72" s="1">
        <v>0</v>
      </c>
      <c r="BB72" s="1">
        <v>0</v>
      </c>
      <c r="BC72" s="1">
        <v>0</v>
      </c>
      <c r="BD72" s="1">
        <v>0</v>
      </c>
      <c r="BE72" s="1">
        <v>0</v>
      </c>
      <c r="BW72" s="1">
        <f t="shared" si="120"/>
        <v>1093</v>
      </c>
      <c r="BX72" s="1">
        <f t="shared" si="121"/>
        <v>1052</v>
      </c>
      <c r="BY72" s="1">
        <f t="shared" si="122"/>
        <v>0</v>
      </c>
      <c r="BZ72" s="1">
        <f t="shared" si="123"/>
        <v>0</v>
      </c>
      <c r="CA72" s="1">
        <f t="shared" si="124"/>
        <v>0</v>
      </c>
      <c r="CC72" s="34"/>
      <c r="CD72" s="34"/>
      <c r="CE72" s="34"/>
      <c r="CF72" s="34"/>
      <c r="CG72" s="34"/>
      <c r="CH72" s="34"/>
      <c r="CI72" s="34"/>
      <c r="CJ72" s="61" t="s">
        <v>1529</v>
      </c>
      <c r="CK72" s="63">
        <f>CK70/CK71-1</f>
        <v>0.29484794107720025</v>
      </c>
      <c r="CL72" s="64" t="str">
        <f>IF(CK72&gt;0,"Upside","Downside")</f>
        <v>Upside</v>
      </c>
    </row>
    <row r="73" spans="2:141">
      <c r="B73" s="1" t="s">
        <v>242</v>
      </c>
      <c r="AL73" s="1">
        <v>1023</v>
      </c>
      <c r="AM73" s="1">
        <v>1040</v>
      </c>
      <c r="AN73" s="1">
        <v>1051</v>
      </c>
      <c r="AO73" s="1">
        <v>1086</v>
      </c>
      <c r="AP73" s="1">
        <v>1127</v>
      </c>
      <c r="AQ73" s="1">
        <v>1159</v>
      </c>
      <c r="AR73" s="1">
        <v>1275</v>
      </c>
      <c r="AS73" s="1">
        <v>1291</v>
      </c>
      <c r="AT73" s="1">
        <v>1117</v>
      </c>
      <c r="AU73" s="1">
        <v>885</v>
      </c>
      <c r="AV73" s="1">
        <v>772</v>
      </c>
      <c r="AW73" s="1">
        <v>770</v>
      </c>
      <c r="AX73" s="1">
        <v>1623</v>
      </c>
      <c r="AY73" s="1">
        <v>1676</v>
      </c>
      <c r="AZ73" s="1">
        <v>1917</v>
      </c>
      <c r="BA73" s="1">
        <v>2016</v>
      </c>
      <c r="BB73" s="1">
        <v>1942</v>
      </c>
      <c r="BC73" s="1">
        <v>1976</v>
      </c>
      <c r="BD73" s="1">
        <v>1977</v>
      </c>
      <c r="BE73" s="1">
        <v>2113</v>
      </c>
      <c r="BW73" s="1">
        <f t="shared" si="120"/>
        <v>1023</v>
      </c>
      <c r="BX73" s="1">
        <f t="shared" si="121"/>
        <v>1127</v>
      </c>
      <c r="BY73" s="1">
        <f t="shared" si="122"/>
        <v>1117</v>
      </c>
      <c r="BZ73" s="1">
        <f t="shared" si="123"/>
        <v>1623</v>
      </c>
      <c r="CA73" s="1">
        <f t="shared" si="124"/>
        <v>1942</v>
      </c>
      <c r="CJ73" s="69" t="str" cm="1">
        <f t="array" ref="CJ73">_xlfn.IFS(CK72&gt;=25%,"Strong Buy",CK72&gt;=10.00001%,"Buy",AND(CK72&lt;=10%,CK72&gt;=-4.9999%),"Hold",AND(CK72&lt;=-5%,CK72&gt;=-14.999999%),"Sell",CK72&lt;=-15%,"Strong Sell")</f>
        <v>Strong Buy</v>
      </c>
      <c r="CK73" s="69"/>
    </row>
    <row r="74" spans="2:141">
      <c r="B74" s="1" t="s">
        <v>241</v>
      </c>
      <c r="AL74" s="1">
        <v>11152</v>
      </c>
      <c r="AM74" s="1">
        <v>9411</v>
      </c>
      <c r="AN74" s="1">
        <v>11510</v>
      </c>
      <c r="AO74" s="1">
        <v>13158</v>
      </c>
      <c r="AP74" s="1">
        <v>14312</v>
      </c>
      <c r="AQ74" s="1">
        <v>15226</v>
      </c>
      <c r="AR74" s="1">
        <v>15420</v>
      </c>
      <c r="AS74" s="1">
        <v>16036</v>
      </c>
      <c r="AT74" s="1">
        <v>1367</v>
      </c>
      <c r="AU74" s="1">
        <v>1479</v>
      </c>
      <c r="AV74" s="1">
        <v>1396</v>
      </c>
      <c r="AW74" s="1">
        <v>1460</v>
      </c>
      <c r="AX74" s="1">
        <v>25488</v>
      </c>
      <c r="AY74" s="1">
        <v>22640</v>
      </c>
      <c r="AZ74" s="1">
        <v>21914</v>
      </c>
      <c r="BA74" s="1">
        <v>23658</v>
      </c>
      <c r="BB74" s="1">
        <v>23967</v>
      </c>
      <c r="BC74" s="1">
        <v>23402</v>
      </c>
      <c r="BD74" s="1">
        <v>25057</v>
      </c>
      <c r="BE74" s="1">
        <v>27047</v>
      </c>
      <c r="BW74" s="1">
        <f t="shared" si="120"/>
        <v>11152</v>
      </c>
      <c r="BX74" s="1">
        <f t="shared" si="121"/>
        <v>14312</v>
      </c>
      <c r="BY74" s="1">
        <f t="shared" si="122"/>
        <v>1367</v>
      </c>
      <c r="BZ74" s="1">
        <f t="shared" si="123"/>
        <v>25488</v>
      </c>
      <c r="CA74" s="1">
        <f t="shared" si="124"/>
        <v>23967</v>
      </c>
    </row>
    <row r="75" spans="2:141">
      <c r="B75" s="1" t="s">
        <v>252</v>
      </c>
      <c r="AL75" s="1">
        <v>382</v>
      </c>
      <c r="AM75" s="1">
        <v>382</v>
      </c>
      <c r="AN75" s="1">
        <v>391</v>
      </c>
      <c r="AO75" s="1">
        <v>464</v>
      </c>
      <c r="AP75" s="1">
        <v>561</v>
      </c>
      <c r="AQ75" s="1">
        <v>520</v>
      </c>
      <c r="AR75" s="1">
        <v>532</v>
      </c>
      <c r="AS75" s="1">
        <v>514</v>
      </c>
      <c r="AT75" s="1">
        <v>0</v>
      </c>
      <c r="AU75" s="1">
        <v>0</v>
      </c>
      <c r="AV75" s="1">
        <v>0</v>
      </c>
      <c r="AW75" s="1">
        <v>0</v>
      </c>
      <c r="AX75" s="1">
        <v>0</v>
      </c>
      <c r="AY75" s="1">
        <v>0</v>
      </c>
      <c r="AZ75" s="1">
        <v>0</v>
      </c>
      <c r="BA75" s="1">
        <v>0</v>
      </c>
      <c r="BB75" s="1">
        <v>0</v>
      </c>
      <c r="BC75" s="1">
        <v>0</v>
      </c>
      <c r="BD75" s="1">
        <v>0</v>
      </c>
      <c r="BE75" s="1">
        <v>0</v>
      </c>
      <c r="BW75" s="1">
        <f t="shared" si="120"/>
        <v>382</v>
      </c>
      <c r="BX75" s="1">
        <f t="shared" si="121"/>
        <v>561</v>
      </c>
      <c r="BY75" s="1">
        <f t="shared" si="122"/>
        <v>0</v>
      </c>
      <c r="BZ75" s="1">
        <f t="shared" si="123"/>
        <v>0</v>
      </c>
      <c r="CA75" s="1">
        <f t="shared" si="124"/>
        <v>0</v>
      </c>
    </row>
    <row r="76" spans="2:141">
      <c r="B76" s="1" t="s">
        <v>243</v>
      </c>
      <c r="AL76" s="1">
        <v>9631</v>
      </c>
      <c r="AM76" s="1">
        <v>10574</v>
      </c>
      <c r="AN76" s="1">
        <v>10956</v>
      </c>
      <c r="AO76" s="1">
        <v>11554</v>
      </c>
      <c r="AP76" s="1">
        <v>12746</v>
      </c>
      <c r="AQ76" s="1">
        <v>12894</v>
      </c>
      <c r="AR76" s="1">
        <v>14792</v>
      </c>
      <c r="AS76" s="1">
        <v>14687</v>
      </c>
      <c r="AT76" s="1">
        <v>19552</v>
      </c>
      <c r="AU76" s="1">
        <v>19345</v>
      </c>
      <c r="AV76" s="1">
        <v>24660</v>
      </c>
      <c r="AW76" s="1">
        <v>23929</v>
      </c>
      <c r="AX76" s="1">
        <v>17226</v>
      </c>
      <c r="AY76" s="1">
        <v>17570</v>
      </c>
      <c r="AZ76" s="1">
        <v>17685</v>
      </c>
      <c r="BA76" s="1">
        <v>18208</v>
      </c>
      <c r="BB76" s="1">
        <v>18292</v>
      </c>
      <c r="BC76" s="1">
        <v>18714</v>
      </c>
      <c r="BD76" s="1">
        <v>18751</v>
      </c>
      <c r="BE76" s="1">
        <v>20113</v>
      </c>
      <c r="BW76" s="1">
        <f t="shared" si="120"/>
        <v>9631</v>
      </c>
      <c r="BX76" s="1">
        <f t="shared" si="121"/>
        <v>12746</v>
      </c>
      <c r="BY76" s="1">
        <f t="shared" si="122"/>
        <v>19552</v>
      </c>
      <c r="BZ76" s="1">
        <f t="shared" si="123"/>
        <v>17226</v>
      </c>
      <c r="CA76" s="1">
        <f t="shared" si="124"/>
        <v>18292</v>
      </c>
    </row>
    <row r="77" spans="2:141">
      <c r="B77" s="1" t="s">
        <v>244</v>
      </c>
      <c r="AL77" s="1">
        <v>0</v>
      </c>
      <c r="AM77" s="1">
        <v>0</v>
      </c>
      <c r="AN77" s="1">
        <v>0</v>
      </c>
      <c r="AO77" s="1">
        <v>0</v>
      </c>
      <c r="AP77" s="1">
        <v>0</v>
      </c>
      <c r="AQ77" s="1">
        <v>0</v>
      </c>
      <c r="AR77" s="1">
        <v>0</v>
      </c>
      <c r="AS77" s="1">
        <v>9922</v>
      </c>
      <c r="AT77" s="1">
        <v>15301</v>
      </c>
      <c r="AU77" s="1">
        <v>16171</v>
      </c>
      <c r="AV77" s="1">
        <v>16440</v>
      </c>
      <c r="AW77" s="1">
        <v>16374</v>
      </c>
      <c r="AX77" s="1">
        <v>18385</v>
      </c>
      <c r="AY77" s="1">
        <v>18387</v>
      </c>
      <c r="AZ77" s="1">
        <v>18389</v>
      </c>
      <c r="BA77" s="1">
        <v>28823</v>
      </c>
      <c r="BB77" s="1">
        <v>28826</v>
      </c>
      <c r="BC77" s="1">
        <v>28829</v>
      </c>
      <c r="BD77" s="1">
        <v>28832</v>
      </c>
      <c r="BE77" s="1">
        <v>28834</v>
      </c>
      <c r="BW77" s="1">
        <f t="shared" si="120"/>
        <v>0</v>
      </c>
      <c r="BX77" s="1">
        <f t="shared" si="121"/>
        <v>0</v>
      </c>
      <c r="BY77" s="1">
        <f t="shared" si="122"/>
        <v>15301</v>
      </c>
      <c r="BZ77" s="1">
        <f t="shared" si="123"/>
        <v>18385</v>
      </c>
      <c r="CA77" s="1">
        <f t="shared" si="124"/>
        <v>28826</v>
      </c>
    </row>
    <row r="78" spans="2:141">
      <c r="B78" s="1" t="s">
        <v>245</v>
      </c>
      <c r="AL78" s="1">
        <v>0</v>
      </c>
      <c r="AM78" s="1">
        <v>0</v>
      </c>
      <c r="AN78" s="1">
        <v>0</v>
      </c>
      <c r="AO78" s="1">
        <v>0</v>
      </c>
      <c r="AP78" s="1">
        <v>0</v>
      </c>
      <c r="AQ78" s="1">
        <v>0</v>
      </c>
      <c r="AR78" s="1">
        <v>0</v>
      </c>
      <c r="AS78" s="1">
        <v>0</v>
      </c>
      <c r="AT78" s="1">
        <v>9923</v>
      </c>
      <c r="AU78" s="1">
        <v>9925</v>
      </c>
      <c r="AV78" s="1">
        <v>18382</v>
      </c>
      <c r="AW78" s="1">
        <v>18383</v>
      </c>
      <c r="AX78" s="1">
        <v>7514</v>
      </c>
      <c r="AY78" s="1">
        <v>7795</v>
      </c>
      <c r="AZ78" s="1">
        <v>7897</v>
      </c>
      <c r="BA78" s="1">
        <v>9171</v>
      </c>
      <c r="BB78" s="1">
        <v>9987</v>
      </c>
      <c r="BC78" s="1">
        <v>10991</v>
      </c>
      <c r="BD78" s="1">
        <v>12046</v>
      </c>
      <c r="BE78" s="1">
        <v>11738</v>
      </c>
      <c r="BW78" s="1">
        <f t="shared" si="120"/>
        <v>0</v>
      </c>
      <c r="BX78" s="1">
        <f t="shared" si="121"/>
        <v>0</v>
      </c>
      <c r="BY78" s="1">
        <f t="shared" si="122"/>
        <v>9923</v>
      </c>
      <c r="BZ78" s="1">
        <f t="shared" si="123"/>
        <v>7514</v>
      </c>
      <c r="CA78" s="1">
        <f t="shared" si="124"/>
        <v>9987</v>
      </c>
    </row>
    <row r="79" spans="2:141">
      <c r="B79" s="1" t="s">
        <v>250</v>
      </c>
      <c r="AL79" s="1">
        <v>6414</v>
      </c>
      <c r="AM79" s="1">
        <v>6575</v>
      </c>
      <c r="AN79" s="1">
        <v>6552</v>
      </c>
      <c r="AO79" s="1">
        <v>6859</v>
      </c>
      <c r="AP79" s="1">
        <v>7227</v>
      </c>
      <c r="AQ79" s="1">
        <v>7010</v>
      </c>
      <c r="AR79" s="1">
        <v>7003</v>
      </c>
      <c r="AS79" s="1">
        <v>7504</v>
      </c>
      <c r="AT79" s="1">
        <v>7764</v>
      </c>
      <c r="AU79" s="1">
        <v>8219</v>
      </c>
      <c r="AV79" s="1">
        <v>7912</v>
      </c>
      <c r="AW79" s="1">
        <v>8113</v>
      </c>
      <c r="AX79" s="1">
        <v>1370</v>
      </c>
      <c r="AY79" s="1">
        <v>1462</v>
      </c>
      <c r="AZ79" s="1">
        <v>2500</v>
      </c>
      <c r="BA79" s="1">
        <v>2347</v>
      </c>
      <c r="BB79" s="1">
        <v>2716</v>
      </c>
      <c r="BC79" s="1">
        <v>2760</v>
      </c>
      <c r="BD79" s="1">
        <v>2740</v>
      </c>
      <c r="BE79" s="1">
        <v>12135</v>
      </c>
      <c r="BW79" s="1">
        <f t="shared" si="120"/>
        <v>6414</v>
      </c>
      <c r="BX79" s="1">
        <f t="shared" si="121"/>
        <v>7227</v>
      </c>
      <c r="BY79" s="1">
        <f t="shared" si="122"/>
        <v>7764</v>
      </c>
      <c r="BZ79" s="1">
        <f t="shared" si="123"/>
        <v>1370</v>
      </c>
      <c r="CA79" s="1">
        <f t="shared" si="124"/>
        <v>2716</v>
      </c>
    </row>
    <row r="80" spans="2:141" s="2" customFormat="1" ht="15">
      <c r="B80" s="2" t="s">
        <v>246</v>
      </c>
      <c r="AL80" s="2">
        <f t="shared" ref="AL80:BB80" si="125">SUM(AL71:AL79)</f>
        <v>31026</v>
      </c>
      <c r="AM80" s="2">
        <f t="shared" si="125"/>
        <v>29866</v>
      </c>
      <c r="AN80" s="2">
        <f t="shared" si="125"/>
        <v>32382</v>
      </c>
      <c r="AO80" s="2">
        <f>SUM(AO71:AO79)</f>
        <v>36225</v>
      </c>
      <c r="AP80" s="2">
        <f t="shared" si="125"/>
        <v>41108</v>
      </c>
      <c r="AQ80" s="2">
        <f>SUM(AQ71:AQ79)</f>
        <v>40990</v>
      </c>
      <c r="AR80" s="2">
        <f t="shared" si="125"/>
        <v>44012</v>
      </c>
      <c r="AS80" s="2">
        <f>SUM(AS71:AS79)</f>
        <v>54800</v>
      </c>
      <c r="AT80" s="2">
        <f t="shared" si="125"/>
        <v>60014</v>
      </c>
      <c r="AU80" s="2">
        <f t="shared" si="125"/>
        <v>59696</v>
      </c>
      <c r="AV80" s="2">
        <f t="shared" si="125"/>
        <v>72655</v>
      </c>
      <c r="AW80" s="2">
        <f t="shared" si="125"/>
        <v>73401</v>
      </c>
      <c r="AX80" s="2">
        <f t="shared" si="125"/>
        <v>76455</v>
      </c>
      <c r="AY80" s="2">
        <f t="shared" si="125"/>
        <v>73315</v>
      </c>
      <c r="AZ80" s="2">
        <f t="shared" si="125"/>
        <v>73475</v>
      </c>
      <c r="BA80" s="2">
        <f t="shared" si="125"/>
        <v>91879</v>
      </c>
      <c r="BB80" s="2">
        <f t="shared" si="125"/>
        <v>93417</v>
      </c>
      <c r="BC80" s="2">
        <f>SUM(BC71:BC79)</f>
        <v>95184</v>
      </c>
      <c r="BD80" s="2">
        <f>SUM(BD71:BD79)</f>
        <v>99674</v>
      </c>
      <c r="BE80" s="2">
        <f>SUM(BE71:BE79)</f>
        <v>109778</v>
      </c>
      <c r="BF80" s="34"/>
      <c r="BG80" s="34"/>
      <c r="BH80" s="34"/>
      <c r="BI80" s="34"/>
      <c r="BJ80" s="34"/>
      <c r="BW80" s="2">
        <f t="shared" si="120"/>
        <v>31026</v>
      </c>
      <c r="BX80" s="2">
        <f t="shared" si="121"/>
        <v>41108</v>
      </c>
      <c r="BY80" s="2">
        <f t="shared" si="122"/>
        <v>60014</v>
      </c>
      <c r="BZ80" s="2">
        <f t="shared" si="123"/>
        <v>76455</v>
      </c>
      <c r="CA80" s="2">
        <f t="shared" si="124"/>
        <v>93417</v>
      </c>
      <c r="CB80" s="34"/>
      <c r="CC80" s="34"/>
      <c r="CD80" s="34"/>
      <c r="CE80" s="34"/>
      <c r="CF80" s="34"/>
      <c r="CG80" s="34"/>
      <c r="CH80" s="34"/>
      <c r="CI80" s="34"/>
      <c r="CJ80" s="34"/>
      <c r="CK80" s="34"/>
      <c r="CL80" s="34"/>
      <c r="CM80" s="34"/>
      <c r="CN80" s="34"/>
      <c r="CO80" s="34"/>
      <c r="CP80" s="34"/>
      <c r="CQ80" s="34"/>
      <c r="CR80" s="34"/>
      <c r="CS80" s="34"/>
      <c r="CT80" s="34"/>
      <c r="CU80" s="34"/>
      <c r="CV80" s="34"/>
      <c r="CW80" s="34"/>
      <c r="CX80" s="34"/>
      <c r="CY80" s="34"/>
      <c r="CZ80" s="34"/>
      <c r="DA80" s="34"/>
      <c r="DB80" s="34"/>
      <c r="DC80" s="34"/>
      <c r="DD80" s="34"/>
      <c r="DE80" s="34"/>
      <c r="DF80" s="34"/>
      <c r="DG80" s="34"/>
      <c r="DH80" s="34"/>
      <c r="DI80" s="34"/>
      <c r="DJ80" s="34"/>
      <c r="DK80" s="34"/>
      <c r="DL80" s="34"/>
      <c r="DM80" s="34"/>
      <c r="DN80" s="34"/>
      <c r="DO80" s="34"/>
      <c r="DP80" s="34"/>
      <c r="DQ80" s="34"/>
      <c r="DR80" s="34"/>
      <c r="DS80" s="34"/>
      <c r="DT80" s="34"/>
      <c r="DU80" s="34"/>
      <c r="DV80" s="34"/>
      <c r="DW80" s="34"/>
      <c r="DX80" s="34"/>
      <c r="DY80" s="34"/>
      <c r="DZ80" s="34"/>
      <c r="EA80" s="34"/>
      <c r="EB80" s="34"/>
      <c r="EC80" s="34"/>
      <c r="ED80" s="34"/>
      <c r="EE80" s="34"/>
      <c r="EF80" s="34"/>
      <c r="EG80" s="34"/>
      <c r="EH80" s="34"/>
      <c r="EI80" s="34"/>
      <c r="EJ80" s="34"/>
      <c r="EK80" s="34"/>
    </row>
    <row r="81" spans="2:141">
      <c r="B81" s="1" t="s">
        <v>247</v>
      </c>
      <c r="AL81" s="1">
        <v>128290</v>
      </c>
      <c r="AM81" s="1">
        <v>133657</v>
      </c>
      <c r="AN81" s="1">
        <v>138227</v>
      </c>
      <c r="AO81" s="1">
        <v>133360</v>
      </c>
      <c r="AP81" s="1">
        <v>124879</v>
      </c>
      <c r="AQ81" s="1">
        <v>123228</v>
      </c>
      <c r="AR81" s="1">
        <v>125767</v>
      </c>
      <c r="AS81" s="1">
        <v>124094</v>
      </c>
      <c r="AT81" s="1">
        <v>125713</v>
      </c>
      <c r="AU81" s="1">
        <v>124795</v>
      </c>
      <c r="AV81" s="1">
        <v>134033</v>
      </c>
      <c r="AW81" s="1">
        <v>142873</v>
      </c>
      <c r="AX81" s="1">
        <v>153168</v>
      </c>
      <c r="AY81" s="1">
        <v>149529</v>
      </c>
      <c r="AZ81" s="1">
        <v>156763</v>
      </c>
      <c r="BA81" s="1">
        <v>164529</v>
      </c>
      <c r="BB81" s="1">
        <v>182637</v>
      </c>
      <c r="BC81" s="1">
        <v>185029</v>
      </c>
      <c r="BD81" s="1">
        <v>195070</v>
      </c>
      <c r="BE81" s="1">
        <v>194066</v>
      </c>
      <c r="BW81" s="1">
        <f t="shared" si="120"/>
        <v>128290</v>
      </c>
      <c r="BX81" s="1">
        <f t="shared" si="121"/>
        <v>124879</v>
      </c>
      <c r="BY81" s="1">
        <f t="shared" si="122"/>
        <v>125713</v>
      </c>
      <c r="BZ81" s="1">
        <f t="shared" si="123"/>
        <v>153168</v>
      </c>
      <c r="CA81" s="1">
        <f t="shared" si="124"/>
        <v>182637</v>
      </c>
    </row>
    <row r="82" spans="2:141" s="2" customFormat="1" ht="15">
      <c r="B82" s="2" t="s">
        <v>248</v>
      </c>
      <c r="AL82" s="2">
        <f t="shared" ref="AL82" si="126">AL80+AL81</f>
        <v>159316</v>
      </c>
      <c r="AM82" s="2">
        <f t="shared" ref="AM82" si="127">AM80+AM81</f>
        <v>163523</v>
      </c>
      <c r="AN82" s="2">
        <f t="shared" ref="AN82" si="128">AN80+AN81</f>
        <v>170609</v>
      </c>
      <c r="AO82" s="2">
        <f t="shared" ref="AO82" si="129">AO80+AO81</f>
        <v>169585</v>
      </c>
      <c r="AP82" s="2">
        <f t="shared" ref="AP82" si="130">AP80+AP81</f>
        <v>165987</v>
      </c>
      <c r="AQ82" s="2">
        <f t="shared" ref="AQ82" si="131">AQ80+AQ81</f>
        <v>164218</v>
      </c>
      <c r="AR82" s="2">
        <f t="shared" ref="AR82" si="132">AR80+AR81</f>
        <v>169779</v>
      </c>
      <c r="AS82" s="2">
        <f t="shared" ref="AS82" si="133">AS80+AS81</f>
        <v>178894</v>
      </c>
      <c r="AT82" s="2">
        <f t="shared" ref="AT82" si="134">AT80+AT81</f>
        <v>185727</v>
      </c>
      <c r="AU82" s="2">
        <f t="shared" ref="AU82" si="135">AU80+AU81</f>
        <v>184491</v>
      </c>
      <c r="AV82" s="2">
        <f t="shared" ref="AV82" si="136">AV80+AV81</f>
        <v>206688</v>
      </c>
      <c r="AW82" s="2">
        <f t="shared" ref="AW82" si="137">AW80+AW81</f>
        <v>216274</v>
      </c>
      <c r="AX82" s="2">
        <f t="shared" ref="AX82" si="138">AX80+AX81</f>
        <v>229623</v>
      </c>
      <c r="AY82" s="2">
        <f t="shared" ref="AY82" si="139">AY80+AY81</f>
        <v>222844</v>
      </c>
      <c r="AZ82" s="2">
        <f t="shared" ref="AZ82" si="140">AZ80+AZ81</f>
        <v>230238</v>
      </c>
      <c r="BA82" s="2">
        <f t="shared" ref="BA82" si="141">BA80+BA81</f>
        <v>256408</v>
      </c>
      <c r="BB82" s="2">
        <f t="shared" ref="BB82" si="142">BB80+BB81</f>
        <v>276054</v>
      </c>
      <c r="BC82" s="2">
        <f t="shared" ref="BC82:BD82" si="143">BC80+BC81</f>
        <v>280213</v>
      </c>
      <c r="BD82" s="2">
        <f t="shared" si="143"/>
        <v>294744</v>
      </c>
      <c r="BE82" s="2">
        <f t="shared" ref="BE82" si="144">BE80+BE81</f>
        <v>303844</v>
      </c>
      <c r="BF82" s="34"/>
      <c r="BG82" s="34"/>
      <c r="BH82" s="34"/>
      <c r="BI82" s="34"/>
      <c r="BJ82" s="34"/>
      <c r="BW82" s="2">
        <f t="shared" si="120"/>
        <v>159316</v>
      </c>
      <c r="BX82" s="2">
        <f t="shared" si="121"/>
        <v>165987</v>
      </c>
      <c r="BY82" s="2">
        <f t="shared" si="122"/>
        <v>185727</v>
      </c>
      <c r="BZ82" s="2">
        <f t="shared" si="123"/>
        <v>229623</v>
      </c>
      <c r="CA82" s="2">
        <f t="shared" si="124"/>
        <v>276054</v>
      </c>
      <c r="CB82" s="34"/>
      <c r="CC82" s="34"/>
      <c r="CD82" s="34"/>
      <c r="CE82" s="34"/>
      <c r="CF82" s="34"/>
      <c r="CG82" s="34"/>
      <c r="CH82" s="34"/>
      <c r="CI82" s="34"/>
      <c r="CJ82" s="34"/>
      <c r="CK82" s="34"/>
      <c r="CL82" s="34"/>
      <c r="CM82" s="34"/>
      <c r="CN82" s="34"/>
      <c r="CO82" s="34"/>
      <c r="CP82" s="34"/>
      <c r="CQ82" s="34"/>
      <c r="CR82" s="34"/>
      <c r="CS82" s="34"/>
      <c r="CT82" s="34"/>
      <c r="CU82" s="34"/>
      <c r="CV82" s="34"/>
      <c r="CW82" s="34"/>
      <c r="CX82" s="34"/>
      <c r="CY82" s="34"/>
      <c r="CZ82" s="34"/>
      <c r="DA82" s="34"/>
      <c r="DB82" s="34"/>
      <c r="DC82" s="34"/>
      <c r="DD82" s="34"/>
      <c r="DE82" s="34"/>
      <c r="DF82" s="34"/>
      <c r="DG82" s="34"/>
      <c r="DH82" s="34"/>
      <c r="DI82" s="34"/>
      <c r="DJ82" s="34"/>
      <c r="DK82" s="34"/>
      <c r="DL82" s="34"/>
      <c r="DM82" s="34"/>
      <c r="DN82" s="34"/>
      <c r="DO82" s="34"/>
      <c r="DP82" s="34"/>
      <c r="DQ82" s="34"/>
      <c r="DR82" s="34"/>
      <c r="DS82" s="34"/>
      <c r="DT82" s="34"/>
      <c r="DU82" s="34"/>
      <c r="DV82" s="34"/>
      <c r="DW82" s="34"/>
      <c r="DX82" s="34"/>
      <c r="DY82" s="34"/>
      <c r="DZ82" s="34"/>
      <c r="EA82" s="34"/>
      <c r="EB82" s="34"/>
      <c r="EC82" s="34"/>
      <c r="ED82" s="34"/>
      <c r="EE82" s="34"/>
      <c r="EF82" s="34"/>
      <c r="EG82" s="34"/>
      <c r="EH82" s="34"/>
      <c r="EI82" s="34"/>
      <c r="EJ82" s="34"/>
      <c r="EK82" s="34"/>
    </row>
    <row r="83" spans="2:141">
      <c r="BE83" s="1"/>
    </row>
    <row r="84" spans="2:141">
      <c r="B84" s="1" t="s">
        <v>119</v>
      </c>
      <c r="AL84" s="51">
        <f t="shared" ref="AL84:BB84" si="145">SUM(AL59:AL62)/SUM(AL71:AL75)</f>
        <v>5.0510646819304457</v>
      </c>
      <c r="AM84" s="51">
        <f t="shared" si="145"/>
        <v>6.0802075961311628</v>
      </c>
      <c r="AN84" s="51">
        <f t="shared" si="145"/>
        <v>5.4253731343283578</v>
      </c>
      <c r="AO84" s="51">
        <f t="shared" si="145"/>
        <v>4.2342802604985401</v>
      </c>
      <c r="AP84" s="51">
        <f t="shared" si="145"/>
        <v>3.1542938254080908</v>
      </c>
      <c r="AQ84" s="51">
        <f t="shared" si="145"/>
        <v>2.8106326472541023</v>
      </c>
      <c r="AR84" s="51">
        <f t="shared" si="145"/>
        <v>2.5200072016923976</v>
      </c>
      <c r="AS84" s="51">
        <f t="shared" si="145"/>
        <v>2.5704147749812667</v>
      </c>
      <c r="AT84" s="51">
        <f t="shared" si="145"/>
        <v>7.9674872892694673</v>
      </c>
      <c r="AU84" s="51">
        <f t="shared" si="145"/>
        <v>8.6949966865473822</v>
      </c>
      <c r="AV84" s="51">
        <f t="shared" si="145"/>
        <v>13.221820946588101</v>
      </c>
      <c r="AW84" s="51">
        <f t="shared" si="145"/>
        <v>11.871857013026355</v>
      </c>
      <c r="AX84" s="51">
        <f t="shared" si="145"/>
        <v>2.6709949937421777</v>
      </c>
      <c r="AY84" s="51">
        <f t="shared" si="145"/>
        <v>2.6806875200170812</v>
      </c>
      <c r="AZ84" s="51">
        <f t="shared" si="145"/>
        <v>2.8303584654125316</v>
      </c>
      <c r="BA84" s="51">
        <f t="shared" si="145"/>
        <v>2.7322832283228324</v>
      </c>
      <c r="BB84" s="51">
        <f t="shared" si="145"/>
        <v>2.9778842719371355</v>
      </c>
      <c r="BC84" s="51">
        <f>SUM(BC59:BC62)/SUM(BC71:BC75)</f>
        <v>2.6623487754499853</v>
      </c>
      <c r="BD84" s="51">
        <f>SUM(BD59:BD62)/SUM(BD71:BD75)</f>
        <v>1.9732743600053613</v>
      </c>
      <c r="BE84" s="51">
        <f>SUM(BE59:BE62)/SUM(BE71:BE75)</f>
        <v>1.9784079225066291</v>
      </c>
      <c r="BW84" s="51">
        <f t="shared" ref="BW84:CA84" si="146">SUM(BW59:BW62)/SUM(BW71:BW75)</f>
        <v>5.0510646819304457</v>
      </c>
      <c r="BX84" s="51">
        <f t="shared" si="146"/>
        <v>3.1542938254080908</v>
      </c>
      <c r="BY84" s="51">
        <f t="shared" si="146"/>
        <v>7.9674872892694673</v>
      </c>
      <c r="BZ84" s="51">
        <f t="shared" si="146"/>
        <v>2.6709949937421777</v>
      </c>
      <c r="CA84" s="51">
        <f t="shared" si="146"/>
        <v>2.9778842719371355</v>
      </c>
    </row>
    <row r="85" spans="2:141">
      <c r="B85" s="1" t="s">
        <v>120</v>
      </c>
      <c r="AL85" s="51">
        <f t="shared" ref="AL85:BB85" si="147">SUM(AL59:AL60)/SUM(AL71:AL75)</f>
        <v>4.1355049729657569</v>
      </c>
      <c r="AM85" s="51">
        <f t="shared" si="147"/>
        <v>5.0498545254383895</v>
      </c>
      <c r="AN85" s="51">
        <f t="shared" si="147"/>
        <v>4.3081887858007262</v>
      </c>
      <c r="AO85" s="51">
        <f t="shared" si="147"/>
        <v>3.2604423983831126</v>
      </c>
      <c r="AP85" s="51">
        <f t="shared" si="147"/>
        <v>2.2710196356754198</v>
      </c>
      <c r="AQ85" s="51">
        <f t="shared" si="147"/>
        <v>2.0814758607606945</v>
      </c>
      <c r="AR85" s="51">
        <f t="shared" si="147"/>
        <v>1.8224332718188774</v>
      </c>
      <c r="AS85" s="51">
        <f t="shared" si="147"/>
        <v>1.8414069731564331</v>
      </c>
      <c r="AT85" s="51">
        <f t="shared" si="147"/>
        <v>5.4506288466684509</v>
      </c>
      <c r="AU85" s="51">
        <f t="shared" si="147"/>
        <v>6.2026176275679257</v>
      </c>
      <c r="AV85" s="51">
        <f t="shared" si="147"/>
        <v>10.158905151111956</v>
      </c>
      <c r="AW85" s="51">
        <f t="shared" si="147"/>
        <v>9.2582550742199334</v>
      </c>
      <c r="AX85" s="51">
        <f t="shared" si="147"/>
        <v>2.046401752190238</v>
      </c>
      <c r="AY85" s="51">
        <f t="shared" si="147"/>
        <v>2.0682537987971958</v>
      </c>
      <c r="AZ85" s="51">
        <f t="shared" si="147"/>
        <v>2.1507924751888607</v>
      </c>
      <c r="BA85" s="51">
        <f t="shared" si="147"/>
        <v>2.127212721272127</v>
      </c>
      <c r="BB85" s="51">
        <f t="shared" si="147"/>
        <v>2.3161983569472557</v>
      </c>
      <c r="BC85" s="51">
        <f>SUM(BC59:BC60)/SUM(BC71:BC75)</f>
        <v>2.0722927117143701</v>
      </c>
      <c r="BD85" s="51">
        <f>SUM(BD59:BD60)/SUM(BD71:BD75)</f>
        <v>1.2617879640798821</v>
      </c>
      <c r="BE85" s="51">
        <f>SUM(BE59:BE60)/SUM(BE71:BE75)</f>
        <v>1.2026624817360247</v>
      </c>
      <c r="BW85" s="51">
        <f t="shared" ref="BW85:CA85" si="148">SUM(BW59:BW60)/SUM(BW71:BW75)</f>
        <v>4.1355049729657569</v>
      </c>
      <c r="BX85" s="51">
        <f t="shared" si="148"/>
        <v>2.2710196356754198</v>
      </c>
      <c r="BY85" s="51">
        <f t="shared" si="148"/>
        <v>5.4506288466684509</v>
      </c>
      <c r="BZ85" s="51">
        <f t="shared" si="148"/>
        <v>2.046401752190238</v>
      </c>
      <c r="CA85" s="51">
        <f t="shared" si="148"/>
        <v>2.3161983569472557</v>
      </c>
    </row>
    <row r="86" spans="2:141">
      <c r="B86" s="1" t="s">
        <v>121</v>
      </c>
      <c r="AL86" s="51">
        <f t="shared" ref="AL86:BB86" si="149">AL37/AL82</f>
        <v>0.1761969921414045</v>
      </c>
      <c r="AM86" s="51">
        <f t="shared" si="149"/>
        <v>0.16004476434507683</v>
      </c>
      <c r="AN86" s="51">
        <f t="shared" si="149"/>
        <v>0.1704306337883699</v>
      </c>
      <c r="AO86" s="51">
        <f t="shared" si="149"/>
        <v>0.17106465784120059</v>
      </c>
      <c r="AP86" s="51">
        <f t="shared" si="149"/>
        <v>0.20285323549434595</v>
      </c>
      <c r="AQ86" s="51">
        <f t="shared" si="149"/>
        <v>0.16994482943404499</v>
      </c>
      <c r="AR86" s="51">
        <f t="shared" si="149"/>
        <v>0.16976186689755507</v>
      </c>
      <c r="AS86" s="51">
        <f t="shared" si="149"/>
        <v>0.15491855512202757</v>
      </c>
      <c r="AT86" s="51">
        <f t="shared" si="149"/>
        <v>0.17318429738271765</v>
      </c>
      <c r="AU86" s="51">
        <f t="shared" si="149"/>
        <v>0.15526502647825638</v>
      </c>
      <c r="AV86" s="51">
        <f t="shared" si="149"/>
        <v>0.15481788976621769</v>
      </c>
      <c r="AW86" s="51">
        <f t="shared" si="149"/>
        <v>0.1578830557533499</v>
      </c>
      <c r="AX86" s="51">
        <f t="shared" si="149"/>
        <v>0.17468633368608547</v>
      </c>
      <c r="AY86" s="51">
        <f t="shared" si="149"/>
        <v>0.1635897758072912</v>
      </c>
      <c r="AZ86" s="51">
        <f t="shared" si="149"/>
        <v>0.16969831218130804</v>
      </c>
      <c r="BA86" s="51">
        <f t="shared" si="149"/>
        <v>0.15829849302673862</v>
      </c>
      <c r="BB86" s="51">
        <f t="shared" si="149"/>
        <v>0.17527730081795589</v>
      </c>
      <c r="BC86" s="51">
        <f>BC37/BC82</f>
        <v>0.15100655572725033</v>
      </c>
      <c r="BD86" s="51">
        <f>BD37/BD82</f>
        <v>0.16121108487365307</v>
      </c>
      <c r="BE86" s="51">
        <f>BE37/BE82</f>
        <v>0.16864575242558683</v>
      </c>
      <c r="BW86" s="51">
        <f t="shared" ref="BW86:CA86" si="150">BW37/BW82</f>
        <v>0.53958798865148505</v>
      </c>
      <c r="BX86" s="51">
        <f t="shared" si="150"/>
        <v>0.71047130196943131</v>
      </c>
      <c r="BY86" s="51">
        <f t="shared" si="150"/>
        <v>0.6278516316959839</v>
      </c>
      <c r="BZ86" s="51">
        <f t="shared" si="150"/>
        <v>0.58749341311628189</v>
      </c>
      <c r="CA86" s="51">
        <f t="shared" si="150"/>
        <v>0.5959015265129286</v>
      </c>
    </row>
    <row r="87" spans="2:141">
      <c r="B87" s="1" t="s">
        <v>122</v>
      </c>
      <c r="AL87" s="47">
        <f t="shared" ref="AL87:BB87" si="151">AL48/AL82</f>
        <v>7.0426071455472139E-2</v>
      </c>
      <c r="AM87" s="47">
        <f t="shared" si="151"/>
        <v>5.8077456993817382E-2</v>
      </c>
      <c r="AN87" s="47">
        <f t="shared" si="151"/>
        <v>6.0922929036568998E-2</v>
      </c>
      <c r="AO87" s="47">
        <f t="shared" si="151"/>
        <v>5.421470059262317E-2</v>
      </c>
      <c r="AP87" s="47">
        <f t="shared" si="151"/>
        <v>6.196268382463687E-2</v>
      </c>
      <c r="AQ87" s="47">
        <f t="shared" si="151"/>
        <v>4.5457866981695065E-2</v>
      </c>
      <c r="AR87" s="47">
        <f t="shared" si="151"/>
        <v>3.9386496563179191E-2</v>
      </c>
      <c r="AS87" s="47">
        <f t="shared" si="151"/>
        <v>2.4567621049336477E-2</v>
      </c>
      <c r="AT87" s="47">
        <f t="shared" si="151"/>
        <v>2.5052900224523091E-2</v>
      </c>
      <c r="AU87" s="47">
        <f t="shared" si="151"/>
        <v>3.0944598923524726E-2</v>
      </c>
      <c r="AV87" s="47">
        <f t="shared" si="151"/>
        <v>3.7679981421272643E-2</v>
      </c>
      <c r="AW87" s="47">
        <f t="shared" si="151"/>
        <v>5.3557061875213849E-2</v>
      </c>
      <c r="AX87" s="47">
        <f t="shared" si="151"/>
        <v>6.1047891543965546E-2</v>
      </c>
      <c r="AY87" s="47">
        <f t="shared" si="151"/>
        <v>5.5505196460304072E-2</v>
      </c>
      <c r="AZ87" s="47">
        <f t="shared" si="151"/>
        <v>5.8482961109808114E-2</v>
      </c>
      <c r="BA87" s="47">
        <f t="shared" si="151"/>
        <v>6.1183738416898066E-2</v>
      </c>
      <c r="BB87" s="47">
        <f t="shared" si="151"/>
        <v>7.5485231150427087E-2</v>
      </c>
      <c r="BC87" s="47">
        <f>BC48/BC82</f>
        <v>5.9397672484859734E-2</v>
      </c>
      <c r="BD87" s="47">
        <f>BD48/BD82</f>
        <v>6.2213310533887033E-2</v>
      </c>
      <c r="BE87" s="47">
        <f>BE48/BE82</f>
        <v>8.9157594028514628E-3</v>
      </c>
      <c r="BW87" s="47">
        <f t="shared" ref="BW87:CA87" si="152">BW48/BW82</f>
        <v>0.18294458811418815</v>
      </c>
      <c r="BX87" s="47">
        <f t="shared" si="152"/>
        <v>0.23718724960388465</v>
      </c>
      <c r="BY87" s="47">
        <f t="shared" si="152"/>
        <v>0.12491452508251358</v>
      </c>
      <c r="BZ87" s="47">
        <f t="shared" si="152"/>
        <v>0.17027039974218611</v>
      </c>
      <c r="CA87" s="47">
        <f t="shared" si="152"/>
        <v>0.22589783158367566</v>
      </c>
    </row>
    <row r="88" spans="2:141">
      <c r="B88" s="1" t="s">
        <v>123</v>
      </c>
      <c r="AL88" s="47">
        <f t="shared" ref="AL88:BB88" si="153">AL48/AL81</f>
        <v>8.745810273598878E-2</v>
      </c>
      <c r="AM88" s="47">
        <f t="shared" si="153"/>
        <v>7.1055013953627566E-2</v>
      </c>
      <c r="AN88" s="47">
        <f t="shared" si="153"/>
        <v>7.5195150006872755E-2</v>
      </c>
      <c r="AO88" s="47">
        <f t="shared" si="153"/>
        <v>6.8941211757648474E-2</v>
      </c>
      <c r="AP88" s="47">
        <f t="shared" si="153"/>
        <v>8.2359724213038221E-2</v>
      </c>
      <c r="AQ88" s="47">
        <f t="shared" si="153"/>
        <v>6.0578764566494629E-2</v>
      </c>
      <c r="AR88" s="47">
        <f t="shared" si="153"/>
        <v>5.3169750411475189E-2</v>
      </c>
      <c r="AS88" s="47">
        <f t="shared" si="153"/>
        <v>3.5416700243363901E-2</v>
      </c>
      <c r="AT88" s="47">
        <f t="shared" si="153"/>
        <v>3.7012878540803255E-2</v>
      </c>
      <c r="AU88" s="47">
        <f t="shared" si="153"/>
        <v>4.5747025121198763E-2</v>
      </c>
      <c r="AV88" s="47">
        <f t="shared" si="153"/>
        <v>5.8105093521744644E-2</v>
      </c>
      <c r="AW88" s="47">
        <f t="shared" si="153"/>
        <v>8.1072001007888125E-2</v>
      </c>
      <c r="AX88" s="47">
        <f t="shared" si="153"/>
        <v>9.1520422020265335E-2</v>
      </c>
      <c r="AY88" s="47">
        <f t="shared" si="153"/>
        <v>8.271973998354834E-2</v>
      </c>
      <c r="AZ88" s="47">
        <f t="shared" si="153"/>
        <v>8.5893992842698857E-2</v>
      </c>
      <c r="BA88" s="47">
        <f t="shared" si="153"/>
        <v>9.5350971561244516E-2</v>
      </c>
      <c r="BB88" s="47">
        <f t="shared" si="153"/>
        <v>0.11409517239113652</v>
      </c>
      <c r="BC88" s="47">
        <f>BC48/BC81</f>
        <v>8.9953466753860206E-2</v>
      </c>
      <c r="BD88" s="47">
        <f>BD48/BD81</f>
        <v>9.4002153073255754E-2</v>
      </c>
      <c r="BE88" s="47">
        <f>BE48/BE81</f>
        <v>1.3959168530293817E-2</v>
      </c>
      <c r="BW88" s="47">
        <f t="shared" ref="BW88:CA88" si="154">BW48/BW81</f>
        <v>0.22718840127835374</v>
      </c>
      <c r="BX88" s="47">
        <f t="shared" si="154"/>
        <v>0.31526517669103693</v>
      </c>
      <c r="BY88" s="47">
        <f t="shared" si="154"/>
        <v>0.18454734196145187</v>
      </c>
      <c r="BZ88" s="47">
        <f t="shared" si="154"/>
        <v>0.25526219575890524</v>
      </c>
      <c r="CA88" s="47">
        <f t="shared" si="154"/>
        <v>0.34144231453648494</v>
      </c>
    </row>
    <row r="89" spans="2:141">
      <c r="BE89" s="1"/>
    </row>
    <row r="90" spans="2:141">
      <c r="B90" s="1" t="s">
        <v>124</v>
      </c>
      <c r="C90" s="1">
        <f t="shared" ref="C90:BB90" si="155">C48</f>
        <v>205</v>
      </c>
      <c r="D90" s="1">
        <f t="shared" si="155"/>
        <v>-157</v>
      </c>
      <c r="E90" s="1">
        <f t="shared" si="155"/>
        <v>-59</v>
      </c>
      <c r="F90" s="1">
        <f t="shared" si="155"/>
        <v>64</v>
      </c>
      <c r="G90" s="1">
        <f t="shared" si="155"/>
        <v>219</v>
      </c>
      <c r="H90" s="1">
        <f t="shared" si="155"/>
        <v>333</v>
      </c>
      <c r="I90" s="1">
        <f t="shared" si="155"/>
        <v>425</v>
      </c>
      <c r="J90" s="1">
        <f t="shared" si="155"/>
        <v>523</v>
      </c>
      <c r="K90" s="1">
        <f t="shared" si="155"/>
        <v>642</v>
      </c>
      <c r="L90" s="1">
        <f t="shared" si="155"/>
        <v>791</v>
      </c>
      <c r="M90" s="1">
        <f t="shared" si="155"/>
        <v>806</v>
      </c>
      <c r="N90" s="1">
        <f t="shared" si="155"/>
        <v>701</v>
      </c>
      <c r="O90" s="1">
        <f t="shared" si="155"/>
        <v>512</v>
      </c>
      <c r="P90" s="1">
        <f t="shared" si="155"/>
        <v>719</v>
      </c>
      <c r="Q90" s="1">
        <f t="shared" si="155"/>
        <v>896</v>
      </c>
      <c r="R90" s="1">
        <f t="shared" si="155"/>
        <v>1561</v>
      </c>
      <c r="S90" s="1">
        <f t="shared" si="155"/>
        <v>1738</v>
      </c>
      <c r="T90" s="1">
        <f t="shared" si="155"/>
        <v>2283</v>
      </c>
      <c r="U90" s="1">
        <f t="shared" si="155"/>
        <v>2627</v>
      </c>
      <c r="V90" s="1">
        <f t="shared" si="155"/>
        <v>3569</v>
      </c>
      <c r="W90" s="1">
        <f t="shared" si="155"/>
        <v>3064</v>
      </c>
      <c r="X90" s="1">
        <f t="shared" si="155"/>
        <v>3894</v>
      </c>
      <c r="Y90" s="1">
        <f t="shared" si="155"/>
        <v>4707</v>
      </c>
      <c r="Z90" s="1">
        <f t="shared" si="155"/>
        <v>4269</v>
      </c>
      <c r="AA90" s="1">
        <f t="shared" si="155"/>
        <v>4988</v>
      </c>
      <c r="AB90" s="1">
        <f t="shared" si="155"/>
        <v>5106</v>
      </c>
      <c r="AC90" s="1">
        <f t="shared" si="155"/>
        <v>5137</v>
      </c>
      <c r="AD90" s="1">
        <f t="shared" si="155"/>
        <v>6881</v>
      </c>
      <c r="AE90" s="1">
        <f t="shared" si="155"/>
        <v>2429</v>
      </c>
      <c r="AF90" s="1">
        <f t="shared" si="155"/>
        <v>2616</v>
      </c>
      <c r="AG90" s="1">
        <f t="shared" si="155"/>
        <v>6091</v>
      </c>
      <c r="AH90" s="1">
        <f t="shared" si="155"/>
        <v>7349</v>
      </c>
      <c r="AI90" s="1">
        <f t="shared" si="155"/>
        <v>4902</v>
      </c>
      <c r="AJ90" s="1">
        <f t="shared" si="155"/>
        <v>5178</v>
      </c>
      <c r="AK90" s="1">
        <f t="shared" si="155"/>
        <v>7846</v>
      </c>
      <c r="AL90" s="1">
        <f t="shared" si="155"/>
        <v>11220</v>
      </c>
      <c r="AM90" s="1">
        <f t="shared" si="155"/>
        <v>9497</v>
      </c>
      <c r="AN90" s="1">
        <f t="shared" si="155"/>
        <v>10394</v>
      </c>
      <c r="AO90" s="1">
        <f t="shared" si="155"/>
        <v>9194</v>
      </c>
      <c r="AP90" s="1">
        <f t="shared" si="155"/>
        <v>10285</v>
      </c>
      <c r="AQ90" s="1">
        <f t="shared" si="155"/>
        <v>7465</v>
      </c>
      <c r="AR90" s="1">
        <f t="shared" si="155"/>
        <v>6687</v>
      </c>
      <c r="AS90" s="1">
        <f t="shared" si="155"/>
        <v>4395</v>
      </c>
      <c r="AT90" s="1">
        <f t="shared" si="155"/>
        <v>4653</v>
      </c>
      <c r="AU90" s="1">
        <f t="shared" si="155"/>
        <v>5709</v>
      </c>
      <c r="AV90" s="1">
        <f t="shared" si="155"/>
        <v>7788</v>
      </c>
      <c r="AW90" s="1">
        <f t="shared" si="155"/>
        <v>11583</v>
      </c>
      <c r="AX90" s="1">
        <f t="shared" si="155"/>
        <v>14018</v>
      </c>
      <c r="AY90" s="1">
        <f t="shared" si="155"/>
        <v>12369</v>
      </c>
      <c r="AZ90" s="1">
        <f t="shared" si="155"/>
        <v>13465</v>
      </c>
      <c r="BA90" s="1">
        <f t="shared" si="155"/>
        <v>15688</v>
      </c>
      <c r="BB90" s="1">
        <f t="shared" si="155"/>
        <v>20838</v>
      </c>
      <c r="BC90" s="1">
        <f>BC48</f>
        <v>16644</v>
      </c>
      <c r="BD90" s="1">
        <f>BD48</f>
        <v>18337</v>
      </c>
      <c r="BE90" s="1">
        <f>BE48</f>
        <v>2709</v>
      </c>
      <c r="BO90" s="1">
        <f>SUM(C90:F90)</f>
        <v>53</v>
      </c>
      <c r="BP90" s="1">
        <f t="shared" ref="BP90:BP95" si="156">SUM(G90:J90)</f>
        <v>1500</v>
      </c>
      <c r="BQ90" s="1">
        <f t="shared" ref="BQ90:BQ95" si="157">SUM(K90:N90)</f>
        <v>2940</v>
      </c>
      <c r="BR90" s="1">
        <f t="shared" ref="BR90:BR95" si="158">SUM(O90:R90)</f>
        <v>3688</v>
      </c>
      <c r="BS90" s="1">
        <f t="shared" ref="BS90:BS95" si="159">SUM(S90:V90)</f>
        <v>10217</v>
      </c>
      <c r="BT90" s="1">
        <f t="shared" ref="BT90:BT95" si="160">SUM(W90:Z90)</f>
        <v>15934</v>
      </c>
      <c r="BU90" s="1">
        <f t="shared" ref="BU90:BU95" si="161">SUM(AA90:AD90)</f>
        <v>22112</v>
      </c>
      <c r="BV90" s="1">
        <f t="shared" ref="BV90:BV95" si="162">SUM(AE90:AH90)</f>
        <v>18485</v>
      </c>
      <c r="BW90" s="1">
        <f t="shared" ref="BW90:BZ90" si="163">BW48</f>
        <v>29146</v>
      </c>
      <c r="BX90" s="1">
        <f t="shared" si="163"/>
        <v>39370</v>
      </c>
      <c r="BY90" s="1">
        <f t="shared" si="163"/>
        <v>23200</v>
      </c>
      <c r="BZ90" s="1">
        <f t="shared" si="163"/>
        <v>39098</v>
      </c>
      <c r="CA90" s="1">
        <f>CA48</f>
        <v>62360</v>
      </c>
    </row>
    <row r="91" spans="2:141" s="2" customFormat="1" ht="15">
      <c r="B91" s="2" t="s">
        <v>125</v>
      </c>
      <c r="C91" s="2">
        <v>441</v>
      </c>
      <c r="D91" s="2">
        <v>240</v>
      </c>
      <c r="E91" s="2">
        <v>250</v>
      </c>
      <c r="F91" s="2">
        <v>681</v>
      </c>
      <c r="G91" s="2">
        <v>719</v>
      </c>
      <c r="H91" s="2">
        <v>1322</v>
      </c>
      <c r="I91" s="2">
        <v>950</v>
      </c>
      <c r="J91" s="2">
        <v>1231</v>
      </c>
      <c r="K91" s="2">
        <v>1285</v>
      </c>
      <c r="L91" s="2">
        <v>1341</v>
      </c>
      <c r="M91" s="2">
        <v>1248</v>
      </c>
      <c r="N91" s="2">
        <v>3452</v>
      </c>
      <c r="O91" s="2">
        <v>1700</v>
      </c>
      <c r="P91" s="2">
        <v>1880</v>
      </c>
      <c r="Q91" s="2">
        <v>2192</v>
      </c>
      <c r="R91" s="2">
        <v>4548</v>
      </c>
      <c r="S91" s="2">
        <v>3477</v>
      </c>
      <c r="T91" s="2">
        <v>3665</v>
      </c>
      <c r="U91" s="2">
        <v>4036</v>
      </c>
      <c r="V91" s="2">
        <v>4930</v>
      </c>
      <c r="W91" s="2">
        <v>5058</v>
      </c>
      <c r="X91" s="2">
        <v>5360</v>
      </c>
      <c r="Y91" s="2">
        <v>6127</v>
      </c>
      <c r="Z91" s="2">
        <v>7671</v>
      </c>
      <c r="AA91" s="2">
        <v>7860</v>
      </c>
      <c r="AB91" s="2">
        <v>6298</v>
      </c>
      <c r="AC91" s="2">
        <v>7498</v>
      </c>
      <c r="AD91" s="2">
        <v>7618</v>
      </c>
      <c r="AE91" s="2">
        <v>9308</v>
      </c>
      <c r="AF91" s="2">
        <v>8616</v>
      </c>
      <c r="AG91" s="2">
        <v>9307</v>
      </c>
      <c r="AH91" s="2">
        <v>9083</v>
      </c>
      <c r="AI91" s="2">
        <v>11001</v>
      </c>
      <c r="AJ91" s="2">
        <v>3877</v>
      </c>
      <c r="AK91" s="2">
        <v>9829</v>
      </c>
      <c r="AL91" s="2">
        <v>14040</v>
      </c>
      <c r="AM91" s="2">
        <v>12242</v>
      </c>
      <c r="AN91" s="2">
        <v>13247</v>
      </c>
      <c r="AO91" s="2">
        <v>14090</v>
      </c>
      <c r="AP91" s="2">
        <v>18104</v>
      </c>
      <c r="AQ91" s="2">
        <v>14076</v>
      </c>
      <c r="AR91" s="2">
        <v>12196</v>
      </c>
      <c r="AS91" s="2">
        <v>9692</v>
      </c>
      <c r="AT91" s="2">
        <v>14511</v>
      </c>
      <c r="AU91" s="2">
        <v>13998</v>
      </c>
      <c r="AV91" s="2">
        <v>17309</v>
      </c>
      <c r="AW91" s="2">
        <v>20402</v>
      </c>
      <c r="AX91" s="2">
        <v>19404</v>
      </c>
      <c r="AY91" s="2">
        <v>19246</v>
      </c>
      <c r="AZ91" s="2">
        <v>19370</v>
      </c>
      <c r="BA91" s="2">
        <v>24724</v>
      </c>
      <c r="BB91" s="2">
        <v>27988</v>
      </c>
      <c r="BC91" s="2">
        <v>24026</v>
      </c>
      <c r="BD91" s="2">
        <v>25561</v>
      </c>
      <c r="BE91" s="2">
        <v>29999</v>
      </c>
      <c r="BF91" s="34"/>
      <c r="BG91" s="34"/>
      <c r="BH91" s="34"/>
      <c r="BI91" s="34"/>
      <c r="BJ91" s="34"/>
      <c r="BO91" s="2">
        <f>SUM(C91:F91)</f>
        <v>1612</v>
      </c>
      <c r="BP91" s="2">
        <f t="shared" si="156"/>
        <v>4222</v>
      </c>
      <c r="BQ91" s="2">
        <f t="shared" si="157"/>
        <v>7326</v>
      </c>
      <c r="BR91" s="2">
        <f t="shared" si="158"/>
        <v>10320</v>
      </c>
      <c r="BS91" s="2">
        <f t="shared" si="159"/>
        <v>16108</v>
      </c>
      <c r="BT91" s="2">
        <f t="shared" si="160"/>
        <v>24216</v>
      </c>
      <c r="BU91" s="2">
        <f t="shared" si="161"/>
        <v>29274</v>
      </c>
      <c r="BV91" s="2">
        <f t="shared" si="162"/>
        <v>36314</v>
      </c>
      <c r="BW91" s="2">
        <f>SUM(AI91:AL91)</f>
        <v>38747</v>
      </c>
      <c r="BX91" s="2">
        <f>SUM(AM91:AP91)</f>
        <v>57683</v>
      </c>
      <c r="BY91" s="2">
        <f>SUM(AQ91:AT91)</f>
        <v>50475</v>
      </c>
      <c r="BZ91" s="2">
        <f>SUM(AU91:AX91)</f>
        <v>71113</v>
      </c>
      <c r="CA91" s="2">
        <f>SUM(AY91:BB91)</f>
        <v>91328</v>
      </c>
      <c r="CB91" s="34"/>
      <c r="CC91" s="34"/>
      <c r="CD91" s="34"/>
      <c r="CE91" s="34"/>
      <c r="CF91" s="34"/>
      <c r="CG91" s="34"/>
      <c r="CH91" s="34"/>
      <c r="CI91" s="34"/>
      <c r="CJ91" s="34"/>
      <c r="CK91" s="34"/>
      <c r="CL91" s="34"/>
      <c r="CM91" s="34"/>
      <c r="CN91" s="34"/>
      <c r="CO91" s="34"/>
      <c r="CP91" s="34"/>
      <c r="CQ91" s="34"/>
      <c r="CR91" s="34"/>
      <c r="CS91" s="34"/>
      <c r="CT91" s="34"/>
      <c r="CU91" s="34"/>
      <c r="CV91" s="34"/>
      <c r="CW91" s="34"/>
      <c r="CX91" s="34"/>
      <c r="CY91" s="34"/>
      <c r="CZ91" s="34"/>
      <c r="DA91" s="34"/>
      <c r="DB91" s="34"/>
      <c r="DC91" s="34"/>
      <c r="DD91" s="34"/>
      <c r="DE91" s="34"/>
      <c r="DF91" s="34"/>
      <c r="DG91" s="34"/>
      <c r="DH91" s="34"/>
      <c r="DI91" s="34"/>
      <c r="DJ91" s="34"/>
      <c r="DK91" s="34"/>
      <c r="DL91" s="34"/>
      <c r="DM91" s="34"/>
      <c r="DN91" s="34"/>
      <c r="DO91" s="34"/>
      <c r="DP91" s="34"/>
      <c r="DQ91" s="34"/>
      <c r="DR91" s="34"/>
      <c r="DS91" s="34"/>
      <c r="DT91" s="34"/>
      <c r="DU91" s="34"/>
      <c r="DV91" s="34"/>
      <c r="DW91" s="34"/>
      <c r="DX91" s="34"/>
      <c r="DY91" s="34"/>
      <c r="DZ91" s="34"/>
      <c r="EA91" s="34"/>
      <c r="EB91" s="34"/>
      <c r="EC91" s="34"/>
      <c r="ED91" s="34"/>
      <c r="EE91" s="34"/>
      <c r="EF91" s="34"/>
      <c r="EG91" s="34"/>
      <c r="EH91" s="34"/>
      <c r="EI91" s="34"/>
      <c r="EJ91" s="34"/>
      <c r="EK91" s="34"/>
    </row>
    <row r="92" spans="2:141">
      <c r="B92" s="1" t="s">
        <v>126</v>
      </c>
      <c r="C92" s="1">
        <v>-453</v>
      </c>
      <c r="D92" s="1">
        <v>-413</v>
      </c>
      <c r="E92" s="1">
        <v>-171</v>
      </c>
      <c r="F92" s="1">
        <v>-198</v>
      </c>
      <c r="G92" s="1">
        <v>-327</v>
      </c>
      <c r="H92" s="1">
        <v>-268</v>
      </c>
      <c r="I92" s="1">
        <v>-284</v>
      </c>
      <c r="J92" s="1">
        <v>-483</v>
      </c>
      <c r="K92" s="1">
        <v>-363</v>
      </c>
      <c r="L92" s="1">
        <v>-469</v>
      </c>
      <c r="M92" s="1">
        <v>-482</v>
      </c>
      <c r="N92" s="1">
        <v>-517</v>
      </c>
      <c r="O92" s="1">
        <v>-502</v>
      </c>
      <c r="P92" s="1">
        <v>-549</v>
      </c>
      <c r="Q92" s="1">
        <v>-780</v>
      </c>
      <c r="R92" s="1">
        <v>-692</v>
      </c>
      <c r="S92" s="1">
        <v>-1132</v>
      </c>
      <c r="T92" s="1">
        <v>-995</v>
      </c>
      <c r="U92" s="1">
        <v>-1095</v>
      </c>
      <c r="V92" s="1">
        <v>-1269</v>
      </c>
      <c r="W92" s="1">
        <v>-1271</v>
      </c>
      <c r="X92" s="1">
        <v>-1444</v>
      </c>
      <c r="Y92" s="1">
        <v>-1755</v>
      </c>
      <c r="Z92" s="1">
        <v>-2263</v>
      </c>
      <c r="AA92" s="1">
        <v>-2812</v>
      </c>
      <c r="AB92" s="1">
        <v>-3460</v>
      </c>
      <c r="AC92" s="1">
        <v>-3342</v>
      </c>
      <c r="AD92" s="1">
        <v>-4301</v>
      </c>
      <c r="AE92" s="1">
        <v>-3837</v>
      </c>
      <c r="AF92" s="1">
        <v>-3633</v>
      </c>
      <c r="AG92" s="1">
        <v>-3532</v>
      </c>
      <c r="AH92" s="1">
        <v>-4100</v>
      </c>
      <c r="AI92" s="1">
        <v>-3558</v>
      </c>
      <c r="AJ92" s="1">
        <v>-3255</v>
      </c>
      <c r="AK92" s="1">
        <v>-3689</v>
      </c>
      <c r="AL92" s="1">
        <v>-4613</v>
      </c>
      <c r="AM92" s="1">
        <v>-4303</v>
      </c>
      <c r="AN92" s="1">
        <v>-4612</v>
      </c>
      <c r="AO92" s="1">
        <v>-4314</v>
      </c>
      <c r="AP92" s="1">
        <v>-5369</v>
      </c>
      <c r="AQ92" s="1">
        <v>-5315</v>
      </c>
      <c r="AR92" s="1">
        <v>-7528</v>
      </c>
      <c r="AS92" s="1">
        <v>-9355</v>
      </c>
      <c r="AT92" s="1">
        <v>-8988</v>
      </c>
      <c r="AU92" s="1">
        <v>-6823</v>
      </c>
      <c r="AV92" s="1">
        <v>-6134</v>
      </c>
      <c r="AW92" s="1">
        <v>-6496</v>
      </c>
      <c r="AX92" s="1">
        <v>-7592</v>
      </c>
      <c r="AY92" s="1">
        <v>-6400</v>
      </c>
      <c r="AZ92" s="1">
        <v>-8173</v>
      </c>
      <c r="BA92" s="1">
        <v>-8258</v>
      </c>
      <c r="BB92" s="1">
        <v>-14425</v>
      </c>
      <c r="BC92" s="1">
        <v>-12941</v>
      </c>
      <c r="BD92" s="1">
        <v>-16538</v>
      </c>
      <c r="BE92" s="1">
        <v>-18829</v>
      </c>
      <c r="BO92" s="1">
        <f>SUM(C92:F92)</f>
        <v>-1235</v>
      </c>
      <c r="BP92" s="1">
        <f t="shared" si="156"/>
        <v>-1362</v>
      </c>
      <c r="BQ92" s="1">
        <f t="shared" si="157"/>
        <v>-1831</v>
      </c>
      <c r="BR92" s="1">
        <f t="shared" si="158"/>
        <v>-2523</v>
      </c>
      <c r="BS92" s="1">
        <f t="shared" si="159"/>
        <v>-4491</v>
      </c>
      <c r="BT92" s="1">
        <f t="shared" si="160"/>
        <v>-6733</v>
      </c>
      <c r="BU92" s="1">
        <f t="shared" si="161"/>
        <v>-13915</v>
      </c>
      <c r="BV92" s="1">
        <f t="shared" si="162"/>
        <v>-15102</v>
      </c>
      <c r="BW92" s="1">
        <f>SUM(AI92:AL92)</f>
        <v>-15115</v>
      </c>
      <c r="BX92" s="1">
        <f>SUM(AM92:AP92)</f>
        <v>-18598</v>
      </c>
      <c r="BY92" s="1">
        <f>SUM(AQ92:AT92)</f>
        <v>-31186</v>
      </c>
      <c r="BZ92" s="1">
        <f>SUM(AU92:AX92)</f>
        <v>-27045</v>
      </c>
      <c r="CA92" s="1">
        <f>SUM(AY92:BB92)</f>
        <v>-37256</v>
      </c>
    </row>
    <row r="93" spans="2:141" s="2" customFormat="1" ht="15">
      <c r="B93" s="2" t="s">
        <v>127</v>
      </c>
      <c r="C93" s="2">
        <f t="shared" ref="C93:BB93" si="164">C91+C92</f>
        <v>-12</v>
      </c>
      <c r="D93" s="2">
        <f t="shared" si="164"/>
        <v>-173</v>
      </c>
      <c r="E93" s="2">
        <f t="shared" si="164"/>
        <v>79</v>
      </c>
      <c r="F93" s="2">
        <f t="shared" si="164"/>
        <v>483</v>
      </c>
      <c r="G93" s="2">
        <f t="shared" si="164"/>
        <v>392</v>
      </c>
      <c r="H93" s="2">
        <f t="shared" si="164"/>
        <v>1054</v>
      </c>
      <c r="I93" s="2">
        <f t="shared" si="164"/>
        <v>666</v>
      </c>
      <c r="J93" s="2">
        <f t="shared" si="164"/>
        <v>748</v>
      </c>
      <c r="K93" s="2">
        <f t="shared" si="164"/>
        <v>922</v>
      </c>
      <c r="L93" s="2">
        <f t="shared" si="164"/>
        <v>872</v>
      </c>
      <c r="M93" s="2">
        <f t="shared" si="164"/>
        <v>766</v>
      </c>
      <c r="N93" s="2">
        <f t="shared" si="164"/>
        <v>2935</v>
      </c>
      <c r="O93" s="2">
        <f t="shared" si="164"/>
        <v>1198</v>
      </c>
      <c r="P93" s="2">
        <f t="shared" si="164"/>
        <v>1331</v>
      </c>
      <c r="Q93" s="2">
        <f t="shared" si="164"/>
        <v>1412</v>
      </c>
      <c r="R93" s="2">
        <f t="shared" si="164"/>
        <v>3856</v>
      </c>
      <c r="S93" s="2">
        <f t="shared" si="164"/>
        <v>2345</v>
      </c>
      <c r="T93" s="2">
        <f t="shared" si="164"/>
        <v>2670</v>
      </c>
      <c r="U93" s="2">
        <f t="shared" si="164"/>
        <v>2941</v>
      </c>
      <c r="V93" s="2">
        <f t="shared" si="164"/>
        <v>3661</v>
      </c>
      <c r="W93" s="2">
        <f t="shared" si="164"/>
        <v>3787</v>
      </c>
      <c r="X93" s="2">
        <f t="shared" si="164"/>
        <v>3916</v>
      </c>
      <c r="Y93" s="2">
        <f t="shared" si="164"/>
        <v>4372</v>
      </c>
      <c r="Z93" s="2">
        <f t="shared" si="164"/>
        <v>5408</v>
      </c>
      <c r="AA93" s="2">
        <f t="shared" si="164"/>
        <v>5048</v>
      </c>
      <c r="AB93" s="2">
        <f t="shared" si="164"/>
        <v>2838</v>
      </c>
      <c r="AC93" s="2">
        <f t="shared" si="164"/>
        <v>4156</v>
      </c>
      <c r="AD93" s="2">
        <f t="shared" si="164"/>
        <v>3317</v>
      </c>
      <c r="AE93" s="2">
        <f t="shared" si="164"/>
        <v>5471</v>
      </c>
      <c r="AF93" s="2">
        <f t="shared" si="164"/>
        <v>4983</v>
      </c>
      <c r="AG93" s="2">
        <f t="shared" si="164"/>
        <v>5775</v>
      </c>
      <c r="AH93" s="2">
        <f t="shared" si="164"/>
        <v>4983</v>
      </c>
      <c r="AI93" s="2">
        <f t="shared" si="164"/>
        <v>7443</v>
      </c>
      <c r="AJ93" s="2">
        <f t="shared" si="164"/>
        <v>622</v>
      </c>
      <c r="AK93" s="2">
        <f t="shared" si="164"/>
        <v>6140</v>
      </c>
      <c r="AL93" s="2">
        <f t="shared" si="164"/>
        <v>9427</v>
      </c>
      <c r="AM93" s="2">
        <f t="shared" si="164"/>
        <v>7939</v>
      </c>
      <c r="AN93" s="2">
        <f t="shared" si="164"/>
        <v>8635</v>
      </c>
      <c r="AO93" s="2">
        <f t="shared" si="164"/>
        <v>9776</v>
      </c>
      <c r="AP93" s="2">
        <f t="shared" si="164"/>
        <v>12735</v>
      </c>
      <c r="AQ93" s="2">
        <f t="shared" si="164"/>
        <v>8761</v>
      </c>
      <c r="AR93" s="2">
        <f t="shared" si="164"/>
        <v>4668</v>
      </c>
      <c r="AS93" s="2">
        <f t="shared" si="164"/>
        <v>337</v>
      </c>
      <c r="AT93" s="2">
        <f t="shared" si="164"/>
        <v>5523</v>
      </c>
      <c r="AU93" s="2">
        <f t="shared" si="164"/>
        <v>7175</v>
      </c>
      <c r="AV93" s="2">
        <f t="shared" si="164"/>
        <v>11175</v>
      </c>
      <c r="AW93" s="2">
        <f t="shared" si="164"/>
        <v>13906</v>
      </c>
      <c r="AX93" s="2">
        <f t="shared" si="164"/>
        <v>11812</v>
      </c>
      <c r="AY93" s="2">
        <f t="shared" si="164"/>
        <v>12846</v>
      </c>
      <c r="AZ93" s="2">
        <f t="shared" si="164"/>
        <v>11197</v>
      </c>
      <c r="BA93" s="2">
        <f t="shared" si="164"/>
        <v>16466</v>
      </c>
      <c r="BB93" s="2">
        <f t="shared" si="164"/>
        <v>13563</v>
      </c>
      <c r="BC93" s="2">
        <f>BC91+BC92</f>
        <v>11085</v>
      </c>
      <c r="BD93" s="2">
        <f>BD91+BD92</f>
        <v>9023</v>
      </c>
      <c r="BE93" s="2">
        <f>BE91+BE92</f>
        <v>11170</v>
      </c>
      <c r="BF93" s="34"/>
      <c r="BG93" s="34"/>
      <c r="BH93" s="34"/>
      <c r="BI93" s="34"/>
      <c r="BJ93" s="34"/>
      <c r="BO93" s="2">
        <f>SUM(C93:F93)</f>
        <v>377</v>
      </c>
      <c r="BP93" s="2">
        <f t="shared" si="156"/>
        <v>2860</v>
      </c>
      <c r="BQ93" s="2">
        <f t="shared" si="157"/>
        <v>5495</v>
      </c>
      <c r="BR93" s="2">
        <f t="shared" si="158"/>
        <v>7797</v>
      </c>
      <c r="BS93" s="2">
        <f t="shared" si="159"/>
        <v>11617</v>
      </c>
      <c r="BT93" s="2">
        <f t="shared" si="160"/>
        <v>17483</v>
      </c>
      <c r="BU93" s="2">
        <f t="shared" si="161"/>
        <v>15359</v>
      </c>
      <c r="BV93" s="2">
        <f t="shared" si="162"/>
        <v>21212</v>
      </c>
      <c r="BW93" s="2">
        <f t="shared" ref="BW93:BZ93" si="165">BW91+BW92</f>
        <v>23632</v>
      </c>
      <c r="BX93" s="2">
        <f t="shared" si="165"/>
        <v>39085</v>
      </c>
      <c r="BY93" s="2">
        <f t="shared" si="165"/>
        <v>19289</v>
      </c>
      <c r="BZ93" s="2">
        <f t="shared" si="165"/>
        <v>44068</v>
      </c>
      <c r="CA93" s="2">
        <f>CA91+CA92</f>
        <v>54072</v>
      </c>
      <c r="CB93" s="34"/>
      <c r="CC93" s="34"/>
      <c r="CD93" s="34"/>
      <c r="CE93" s="34"/>
      <c r="CF93" s="34"/>
      <c r="CG93" s="34"/>
      <c r="CH93" s="34"/>
      <c r="CI93" s="34"/>
      <c r="CJ93" s="34"/>
      <c r="CK93" s="34"/>
      <c r="CL93" s="34"/>
      <c r="CM93" s="34"/>
      <c r="CN93" s="34"/>
      <c r="CO93" s="34"/>
      <c r="CP93" s="34"/>
      <c r="CQ93" s="34"/>
      <c r="CR93" s="34"/>
      <c r="CS93" s="34"/>
      <c r="CT93" s="34"/>
      <c r="CU93" s="34"/>
      <c r="CV93" s="34"/>
      <c r="CW93" s="34"/>
      <c r="CX93" s="34"/>
      <c r="CY93" s="34"/>
      <c r="CZ93" s="34"/>
      <c r="DA93" s="34"/>
      <c r="DB93" s="34"/>
      <c r="DC93" s="34"/>
      <c r="DD93" s="34"/>
      <c r="DE93" s="34"/>
      <c r="DF93" s="34"/>
      <c r="DG93" s="34"/>
      <c r="DH93" s="34"/>
      <c r="DI93" s="34"/>
      <c r="DJ93" s="34"/>
      <c r="DK93" s="34"/>
      <c r="DL93" s="34"/>
      <c r="DM93" s="34"/>
      <c r="DN93" s="34"/>
      <c r="DO93" s="34"/>
      <c r="DP93" s="34"/>
      <c r="DQ93" s="34"/>
      <c r="DR93" s="34"/>
      <c r="DS93" s="34"/>
      <c r="DT93" s="34"/>
      <c r="DU93" s="34"/>
      <c r="DV93" s="34"/>
      <c r="DW93" s="34"/>
      <c r="DX93" s="34"/>
      <c r="DY93" s="34"/>
      <c r="DZ93" s="34"/>
      <c r="EA93" s="34"/>
      <c r="EB93" s="34"/>
      <c r="EC93" s="34"/>
      <c r="ED93" s="34"/>
      <c r="EE93" s="34"/>
      <c r="EF93" s="34"/>
      <c r="EG93" s="34"/>
      <c r="EH93" s="34"/>
      <c r="EI93" s="34"/>
      <c r="EJ93" s="34"/>
      <c r="EK93" s="34"/>
    </row>
    <row r="94" spans="2:141">
      <c r="B94" s="1" t="s">
        <v>128</v>
      </c>
      <c r="C94" s="1">
        <f t="shared" ref="C94:BB94" si="166">C49</f>
        <v>1347</v>
      </c>
      <c r="D94" s="1">
        <f>C49</f>
        <v>1347</v>
      </c>
      <c r="E94" s="1">
        <f>D49</f>
        <v>1879</v>
      </c>
      <c r="F94" s="1">
        <f>E49</f>
        <v>2420</v>
      </c>
      <c r="G94" s="1">
        <f>F49</f>
        <v>2386</v>
      </c>
      <c r="H94" s="1">
        <f t="shared" si="166"/>
        <v>2407</v>
      </c>
      <c r="I94" s="1">
        <f t="shared" si="166"/>
        <v>2430</v>
      </c>
      <c r="J94" s="1">
        <f t="shared" si="166"/>
        <v>2420</v>
      </c>
      <c r="K94" s="1">
        <f t="shared" si="166"/>
        <v>2545</v>
      </c>
      <c r="L94" s="1">
        <f t="shared" si="166"/>
        <v>2560</v>
      </c>
      <c r="M94" s="1">
        <f t="shared" si="166"/>
        <v>2587</v>
      </c>
      <c r="N94" s="1">
        <f t="shared" si="166"/>
        <v>2614</v>
      </c>
      <c r="O94" s="1">
        <f t="shared" si="166"/>
        <v>2784</v>
      </c>
      <c r="P94" s="1">
        <f t="shared" si="166"/>
        <v>2796</v>
      </c>
      <c r="Q94" s="1">
        <f t="shared" si="166"/>
        <v>2808</v>
      </c>
      <c r="R94" s="1">
        <f t="shared" si="166"/>
        <v>2803</v>
      </c>
      <c r="S94" s="1">
        <f t="shared" si="166"/>
        <v>2843</v>
      </c>
      <c r="T94" s="1">
        <f t="shared" si="166"/>
        <v>2856</v>
      </c>
      <c r="U94" s="1">
        <f t="shared" si="166"/>
        <v>2871</v>
      </c>
      <c r="V94" s="1">
        <f t="shared" si="166"/>
        <v>2863</v>
      </c>
      <c r="W94" s="1">
        <f t="shared" si="166"/>
        <v>2891</v>
      </c>
      <c r="X94" s="1">
        <f t="shared" si="166"/>
        <v>2900</v>
      </c>
      <c r="Y94" s="1">
        <f t="shared" si="166"/>
        <v>2904</v>
      </c>
      <c r="Z94" s="1">
        <f t="shared" si="166"/>
        <v>2901</v>
      </c>
      <c r="AA94" s="1">
        <f t="shared" si="166"/>
        <v>2906</v>
      </c>
      <c r="AB94" s="1">
        <f t="shared" si="166"/>
        <v>2895</v>
      </c>
      <c r="AC94" s="1">
        <f t="shared" si="166"/>
        <v>2885</v>
      </c>
      <c r="AD94" s="1">
        <f t="shared" si="166"/>
        <v>2890</v>
      </c>
      <c r="AE94" s="1">
        <f t="shared" si="166"/>
        <v>2856</v>
      </c>
      <c r="AF94" s="1">
        <f t="shared" si="166"/>
        <v>2855</v>
      </c>
      <c r="AG94" s="1">
        <f t="shared" si="166"/>
        <v>2854</v>
      </c>
      <c r="AH94" s="1">
        <f t="shared" si="166"/>
        <v>2854</v>
      </c>
      <c r="AI94" s="1">
        <f t="shared" si="166"/>
        <v>2851</v>
      </c>
      <c r="AJ94" s="1">
        <f t="shared" si="166"/>
        <v>2850</v>
      </c>
      <c r="AK94" s="1">
        <f t="shared" si="166"/>
        <v>2850</v>
      </c>
      <c r="AL94" s="1">
        <f t="shared" si="166"/>
        <v>2851</v>
      </c>
      <c r="AM94" s="1">
        <f t="shared" si="166"/>
        <v>2847</v>
      </c>
      <c r="AN94" s="1">
        <f t="shared" si="166"/>
        <v>2834</v>
      </c>
      <c r="AO94" s="1">
        <f t="shared" si="166"/>
        <v>2814</v>
      </c>
      <c r="AP94" s="1">
        <f t="shared" si="166"/>
        <v>2815</v>
      </c>
      <c r="AQ94" s="1">
        <f t="shared" si="166"/>
        <v>2725</v>
      </c>
      <c r="AR94" s="1">
        <f t="shared" si="166"/>
        <v>2704</v>
      </c>
      <c r="AS94" s="1">
        <f t="shared" si="166"/>
        <v>2682</v>
      </c>
      <c r="AT94" s="1">
        <f t="shared" si="166"/>
        <v>2687</v>
      </c>
      <c r="AU94" s="1">
        <f t="shared" si="166"/>
        <v>2587</v>
      </c>
      <c r="AV94" s="1">
        <f t="shared" si="166"/>
        <v>2568</v>
      </c>
      <c r="AW94" s="1">
        <f t="shared" si="166"/>
        <v>2576</v>
      </c>
      <c r="AX94" s="1">
        <f t="shared" si="166"/>
        <v>2574</v>
      </c>
      <c r="AY94" s="1">
        <f t="shared" si="166"/>
        <v>2545</v>
      </c>
      <c r="AZ94" s="1">
        <f t="shared" si="166"/>
        <v>2534</v>
      </c>
      <c r="BA94" s="1">
        <f t="shared" si="166"/>
        <v>2529</v>
      </c>
      <c r="BB94" s="1">
        <f t="shared" si="166"/>
        <v>2534</v>
      </c>
      <c r="BC94" s="1">
        <f>BC49</f>
        <v>2527</v>
      </c>
      <c r="BD94" s="1">
        <f>BD49</f>
        <v>2518</v>
      </c>
      <c r="BE94" s="1">
        <f>BE49</f>
        <v>2517</v>
      </c>
      <c r="BO94" s="1">
        <f>BO49</f>
        <v>1882</v>
      </c>
      <c r="BP94" s="1">
        <f t="shared" si="156"/>
        <v>9643</v>
      </c>
      <c r="BQ94" s="1">
        <f t="shared" si="157"/>
        <v>10306</v>
      </c>
      <c r="BR94" s="1">
        <f t="shared" si="158"/>
        <v>11191</v>
      </c>
      <c r="BS94" s="1">
        <f t="shared" si="159"/>
        <v>11433</v>
      </c>
      <c r="BT94" s="1">
        <f t="shared" si="160"/>
        <v>11596</v>
      </c>
      <c r="BU94" s="1">
        <f t="shared" si="161"/>
        <v>11576</v>
      </c>
      <c r="BV94" s="1">
        <f t="shared" si="162"/>
        <v>11419</v>
      </c>
      <c r="BW94" s="1">
        <f t="shared" ref="BW94:BZ94" si="167">BW49</f>
        <v>2850.5</v>
      </c>
      <c r="BX94" s="1">
        <f t="shared" si="167"/>
        <v>2827.5</v>
      </c>
      <c r="BY94" s="1">
        <f t="shared" si="167"/>
        <v>2699.5</v>
      </c>
      <c r="BZ94" s="1">
        <f t="shared" si="167"/>
        <v>2576.25</v>
      </c>
      <c r="CA94" s="1">
        <f>CA49</f>
        <v>2535.5</v>
      </c>
    </row>
    <row r="95" spans="2:141">
      <c r="B95" s="1" t="s">
        <v>129</v>
      </c>
      <c r="C95" s="39">
        <f t="shared" ref="C95:BB95" si="168">C93/C94</f>
        <v>-8.9086859688195987E-3</v>
      </c>
      <c r="D95" s="39">
        <f t="shared" si="168"/>
        <v>-0.12843355605048257</v>
      </c>
      <c r="E95" s="39">
        <f t="shared" si="168"/>
        <v>4.2043640234167109E-2</v>
      </c>
      <c r="F95" s="39">
        <f t="shared" si="168"/>
        <v>0.19958677685950413</v>
      </c>
      <c r="G95" s="39">
        <f t="shared" si="168"/>
        <v>0.16429170159262363</v>
      </c>
      <c r="H95" s="39">
        <f t="shared" si="168"/>
        <v>0.43788948899044455</v>
      </c>
      <c r="I95" s="39">
        <f t="shared" si="168"/>
        <v>0.27407407407407408</v>
      </c>
      <c r="J95" s="39">
        <f t="shared" si="168"/>
        <v>0.30909090909090908</v>
      </c>
      <c r="K95" s="39">
        <f t="shared" si="168"/>
        <v>0.36227897838899803</v>
      </c>
      <c r="L95" s="39">
        <f t="shared" si="168"/>
        <v>0.34062500000000001</v>
      </c>
      <c r="M95" s="39">
        <f t="shared" si="168"/>
        <v>0.29609586393505993</v>
      </c>
      <c r="N95" s="39">
        <f t="shared" si="168"/>
        <v>1.1228003060443765</v>
      </c>
      <c r="O95" s="39">
        <f t="shared" si="168"/>
        <v>0.43031609195402298</v>
      </c>
      <c r="P95" s="39">
        <f t="shared" si="168"/>
        <v>0.47603719599427752</v>
      </c>
      <c r="Q95" s="39">
        <f t="shared" si="168"/>
        <v>0.5028490028490028</v>
      </c>
      <c r="R95" s="39">
        <f t="shared" si="168"/>
        <v>1.375668926150553</v>
      </c>
      <c r="S95" s="39">
        <f t="shared" si="168"/>
        <v>0.82483292296869504</v>
      </c>
      <c r="T95" s="39">
        <f t="shared" si="168"/>
        <v>0.93487394957983194</v>
      </c>
      <c r="U95" s="39">
        <f t="shared" si="168"/>
        <v>1.0243817485196796</v>
      </c>
      <c r="V95" s="39">
        <f t="shared" si="168"/>
        <v>1.2787286063569683</v>
      </c>
      <c r="W95" s="39">
        <f t="shared" si="168"/>
        <v>1.3099273607748183</v>
      </c>
      <c r="X95" s="39">
        <f t="shared" si="168"/>
        <v>1.3503448275862069</v>
      </c>
      <c r="Y95" s="39">
        <f t="shared" si="168"/>
        <v>1.5055096418732783</v>
      </c>
      <c r="Z95" s="39">
        <f t="shared" si="168"/>
        <v>1.8641847638745259</v>
      </c>
      <c r="AA95" s="39">
        <f t="shared" si="168"/>
        <v>1.7370956641431521</v>
      </c>
      <c r="AB95" s="39">
        <f t="shared" si="168"/>
        <v>0.98031088082901552</v>
      </c>
      <c r="AC95" s="39">
        <f t="shared" si="168"/>
        <v>1.4405545927209706</v>
      </c>
      <c r="AD95" s="39">
        <f t="shared" si="168"/>
        <v>1.147750865051903</v>
      </c>
      <c r="AE95" s="39">
        <f t="shared" si="168"/>
        <v>1.9156162464985995</v>
      </c>
      <c r="AF95" s="39">
        <f t="shared" si="168"/>
        <v>1.7453590192644484</v>
      </c>
      <c r="AG95" s="39">
        <f t="shared" si="168"/>
        <v>2.0234758234057462</v>
      </c>
      <c r="AH95" s="39">
        <f t="shared" si="168"/>
        <v>1.7459705676243868</v>
      </c>
      <c r="AI95" s="39">
        <f t="shared" si="168"/>
        <v>2.6106629252893723</v>
      </c>
      <c r="AJ95" s="39">
        <f t="shared" si="168"/>
        <v>0.21824561403508771</v>
      </c>
      <c r="AK95" s="39">
        <f t="shared" si="168"/>
        <v>2.1543859649122807</v>
      </c>
      <c r="AL95" s="39">
        <f t="shared" si="168"/>
        <v>3.3065591020694494</v>
      </c>
      <c r="AM95" s="39">
        <f t="shared" si="168"/>
        <v>2.7885493501931857</v>
      </c>
      <c r="AN95" s="39">
        <f t="shared" si="168"/>
        <v>3.0469301340860975</v>
      </c>
      <c r="AO95" s="39">
        <f t="shared" si="168"/>
        <v>3.4740582800284292</v>
      </c>
      <c r="AP95" s="39">
        <f t="shared" si="168"/>
        <v>4.5239786856127884</v>
      </c>
      <c r="AQ95" s="39">
        <f t="shared" si="168"/>
        <v>3.2150458715596328</v>
      </c>
      <c r="AR95" s="39">
        <f t="shared" si="168"/>
        <v>1.7263313609467457</v>
      </c>
      <c r="AS95" s="39">
        <f t="shared" si="168"/>
        <v>0.1256524981357196</v>
      </c>
      <c r="AT95" s="39">
        <f t="shared" si="168"/>
        <v>2.0554521771492369</v>
      </c>
      <c r="AU95" s="39">
        <f t="shared" si="168"/>
        <v>2.7734827986084269</v>
      </c>
      <c r="AV95" s="39">
        <f t="shared" si="168"/>
        <v>4.3516355140186915</v>
      </c>
      <c r="AW95" s="39">
        <f t="shared" si="168"/>
        <v>5.3982919254658386</v>
      </c>
      <c r="AX95" s="39">
        <f t="shared" si="168"/>
        <v>4.5889665889665894</v>
      </c>
      <c r="AY95" s="39">
        <f t="shared" si="168"/>
        <v>5.0475442043222003</v>
      </c>
      <c r="AZ95" s="39">
        <f t="shared" si="168"/>
        <v>4.4187056037884771</v>
      </c>
      <c r="BA95" s="39">
        <f t="shared" si="168"/>
        <v>6.5108738631870304</v>
      </c>
      <c r="BB95" s="39">
        <f t="shared" si="168"/>
        <v>5.3524072612470404</v>
      </c>
      <c r="BC95" s="39">
        <f>BC93/BC94</f>
        <v>4.3866244558765333</v>
      </c>
      <c r="BD95" s="39">
        <f>BD93/BD94</f>
        <v>3.5833995234312948</v>
      </c>
      <c r="BE95" s="39">
        <f>BE93/BE94</f>
        <v>4.4378228049264994</v>
      </c>
      <c r="BO95" s="39">
        <f>SUM(F95:I95)</f>
        <v>1.0758420415166463</v>
      </c>
      <c r="BP95" s="39">
        <f t="shared" si="156"/>
        <v>1.1853461737480513</v>
      </c>
      <c r="BQ95" s="39">
        <f t="shared" si="157"/>
        <v>2.1218001483684343</v>
      </c>
      <c r="BR95" s="39">
        <f t="shared" si="158"/>
        <v>2.784871216947856</v>
      </c>
      <c r="BS95" s="39">
        <f t="shared" si="159"/>
        <v>4.0628172274251746</v>
      </c>
      <c r="BT95" s="39">
        <f t="shared" si="160"/>
        <v>6.0299665941088296</v>
      </c>
      <c r="BU95" s="39">
        <f t="shared" si="161"/>
        <v>5.3057120027450413</v>
      </c>
      <c r="BV95" s="39">
        <f t="shared" si="162"/>
        <v>7.4304216567931807</v>
      </c>
      <c r="BW95" s="39">
        <f t="shared" ref="BW95:BZ95" si="169">BW93/BW94</f>
        <v>8.2904753552008419</v>
      </c>
      <c r="BX95" s="39">
        <f t="shared" si="169"/>
        <v>13.823165340406719</v>
      </c>
      <c r="BY95" s="39">
        <f t="shared" si="169"/>
        <v>7.1453972957955179</v>
      </c>
      <c r="BZ95" s="39">
        <f t="shared" si="169"/>
        <v>17.105482775351771</v>
      </c>
      <c r="CA95" s="39">
        <f>CA93/CA94</f>
        <v>21.325971208834549</v>
      </c>
    </row>
  </sheetData>
  <mergeCells count="1">
    <mergeCell ref="CJ73:CK73"/>
  </mergeCells>
  <conditionalFormatting sqref="CJ73:CK73">
    <cfRule type="colorScale" priority="1">
      <colorScale>
        <cfvo type="min"/>
        <cfvo type="percentile" val="50"/>
        <cfvo type="max"/>
        <color rgb="FFF8696B"/>
        <color rgb="FFFCFCFF"/>
        <color rgb="FF63BE7B"/>
      </colorScale>
    </cfRule>
    <cfRule type="containsText" dxfId="4" priority="2" operator="containsText" text="Strong Sell">
      <formula>NOT(ISERROR(SEARCH("Strong Sell",CJ73)))</formula>
    </cfRule>
    <cfRule type="containsText" dxfId="3" priority="3" operator="containsText" text="Sell">
      <formula>NOT(ISERROR(SEARCH("Sell",CJ73)))</formula>
    </cfRule>
    <cfRule type="containsText" dxfId="2" priority="4" operator="containsText" text="Hold">
      <formula>NOT(ISERROR(SEARCH("Hold",CJ73)))</formula>
    </cfRule>
    <cfRule type="beginsWith" dxfId="1" priority="5" operator="beginsWith" text="Buy">
      <formula>LEFT(CJ73,LEN("Buy"))="Buy"</formula>
    </cfRule>
    <cfRule type="beginsWith" dxfId="0" priority="6" operator="beginsWith" text="Strong">
      <formula>LEFT(CJ73,LEN("Strong"))="Strong"</formula>
    </cfRule>
  </conditionalFormatting>
  <pageMargins left="0.7" right="0.7" top="0.75" bottom="0.75" header="0.3" footer="0.3"/>
  <ignoredErrors>
    <ignoredError sqref="BO37:CA48 BW90:CA90 AL38:BC47 AI43:AK43 AL84:BC85 BD84:BD85 BD43:BE43 BY91:CA92 BW91:BX92 BO93:BX94 BO91:BV92 BE84:BE85" formulaRange="1"/>
    <ignoredError sqref="BO50:CA50" evalError="1" formulaRange="1"/>
    <ignoredError sqref="CB6:CK6 CB7:CK7" formula="1"/>
    <ignoredError sqref="BD32:BD35" evalError="1"/>
    <ignoredError sqref="BO49 BP49:CA49" formula="1" formulaRange="1"/>
  </ignoredErrors>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4FD4A5-C172-4508-BDD9-9132B91E029B}">
  <dimension ref="A1:CA1628"/>
  <sheetViews>
    <sheetView topLeftCell="H172" zoomScale="25" zoomScaleNormal="25" workbookViewId="0">
      <selection activeCell="T290" sqref="T290"/>
    </sheetView>
  </sheetViews>
  <sheetFormatPr defaultColWidth="9.140625" defaultRowHeight="14.25"/>
  <cols>
    <col min="1" max="7" width="0" style="1" hidden="1" customWidth="1"/>
    <col min="8" max="8" width="3.140625" style="1" customWidth="1"/>
    <col min="9" max="28" width="9.140625" style="1"/>
    <col min="29" max="29" width="2.85546875" style="1" customWidth="1"/>
    <col min="30" max="16384" width="9.140625" style="1"/>
  </cols>
  <sheetData>
    <row r="1" spans="8:79">
      <c r="CA1" s="1">
        <v>0</v>
      </c>
    </row>
    <row r="2" spans="8:79" ht="15">
      <c r="H2" s="2" t="s">
        <v>186</v>
      </c>
      <c r="AC2" s="2" t="s">
        <v>130</v>
      </c>
    </row>
    <row r="3" spans="8:79">
      <c r="AD3" s="1" t="s">
        <v>195</v>
      </c>
    </row>
    <row r="4" spans="8:79">
      <c r="AD4" s="1" t="s">
        <v>198</v>
      </c>
      <c r="AE4" s="1" t="s">
        <v>196</v>
      </c>
    </row>
    <row r="5" spans="8:79">
      <c r="AD5" s="1" t="s">
        <v>199</v>
      </c>
      <c r="AE5" s="1" t="s">
        <v>197</v>
      </c>
    </row>
    <row r="6" spans="8:79">
      <c r="AD6" s="1" t="s">
        <v>200</v>
      </c>
      <c r="AE6" s="1" t="s">
        <v>201</v>
      </c>
    </row>
    <row r="32" spans="8:30" ht="15">
      <c r="H32" s="2" t="s">
        <v>1515</v>
      </c>
      <c r="AD32" s="2" t="s">
        <v>131</v>
      </c>
    </row>
    <row r="33" spans="30:30" ht="15">
      <c r="AD33" s="2" t="s">
        <v>132</v>
      </c>
    </row>
    <row r="64" spans="9:10">
      <c r="I64" s="1" t="s">
        <v>14</v>
      </c>
      <c r="J64" s="1" t="s">
        <v>15</v>
      </c>
    </row>
    <row r="65" spans="8:10" ht="15">
      <c r="H65" s="2"/>
      <c r="J65" s="1" t="s">
        <v>16</v>
      </c>
    </row>
    <row r="66" spans="8:10" ht="15">
      <c r="H66" s="2"/>
      <c r="J66" s="1" t="s">
        <v>17</v>
      </c>
    </row>
    <row r="68" spans="8:10" ht="15">
      <c r="H68" s="2" t="s">
        <v>254</v>
      </c>
    </row>
    <row r="100" spans="8:30">
      <c r="I100" s="1" t="s">
        <v>14</v>
      </c>
      <c r="J100" s="1" t="s">
        <v>255</v>
      </c>
    </row>
    <row r="101" spans="8:30">
      <c r="J101" s="1" t="s">
        <v>16</v>
      </c>
    </row>
    <row r="102" spans="8:30">
      <c r="J102" s="1" t="s">
        <v>17</v>
      </c>
    </row>
    <row r="104" spans="8:30" ht="15">
      <c r="H104" s="2" t="s">
        <v>256</v>
      </c>
      <c r="AD104" s="2" t="s">
        <v>133</v>
      </c>
    </row>
    <row r="133" spans="8:10">
      <c r="I133" s="1" t="s">
        <v>14</v>
      </c>
      <c r="J133" s="1" t="s">
        <v>15</v>
      </c>
    </row>
    <row r="134" spans="8:10">
      <c r="J134" s="1" t="s">
        <v>16</v>
      </c>
    </row>
    <row r="135" spans="8:10">
      <c r="J135" s="1" t="s">
        <v>17</v>
      </c>
    </row>
    <row r="137" spans="8:10" ht="15">
      <c r="H137" s="2" t="s">
        <v>257</v>
      </c>
    </row>
    <row r="153" spans="30:30" ht="15">
      <c r="AD153" s="2" t="s">
        <v>134</v>
      </c>
    </row>
    <row r="154" spans="30:30">
      <c r="AD154" s="1" t="s">
        <v>135</v>
      </c>
    </row>
    <row r="166" spans="8:10">
      <c r="I166" s="1" t="s">
        <v>14</v>
      </c>
      <c r="J166" s="1" t="s">
        <v>15</v>
      </c>
    </row>
    <row r="167" spans="8:10">
      <c r="J167" s="1" t="s">
        <v>16</v>
      </c>
    </row>
    <row r="168" spans="8:10">
      <c r="J168" s="1" t="s">
        <v>17</v>
      </c>
    </row>
    <row r="170" spans="8:10" ht="15">
      <c r="H170" s="2" t="s">
        <v>1514</v>
      </c>
    </row>
    <row r="188" spans="1:7">
      <c r="A188" s="1" t="s">
        <v>1512</v>
      </c>
    </row>
    <row r="189" spans="1:7">
      <c r="A189" s="24" t="s">
        <v>18</v>
      </c>
      <c r="B189" s="24" t="s">
        <v>19</v>
      </c>
      <c r="C189" s="24" t="s">
        <v>20</v>
      </c>
      <c r="D189" s="24" t="s">
        <v>21</v>
      </c>
      <c r="E189" s="24" t="s">
        <v>22</v>
      </c>
      <c r="F189" s="24" t="s">
        <v>23</v>
      </c>
      <c r="G189" s="24" t="s">
        <v>24</v>
      </c>
    </row>
    <row r="190" spans="1:7">
      <c r="A190" s="52">
        <v>682.35</v>
      </c>
      <c r="B190" s="52">
        <v>701.81970000000001</v>
      </c>
      <c r="C190" s="52">
        <v>678.67</v>
      </c>
      <c r="D190" s="52">
        <v>700.75</v>
      </c>
      <c r="E190" s="52">
        <v>22187086</v>
      </c>
      <c r="F190" s="52" t="s">
        <v>258</v>
      </c>
      <c r="G190" s="25">
        <f>A190/D190-1</f>
        <v>-2.6257581163039556E-2</v>
      </c>
    </row>
    <row r="191" spans="1:7">
      <c r="A191" s="52">
        <v>695.77</v>
      </c>
      <c r="B191" s="52">
        <v>701.59</v>
      </c>
      <c r="C191" s="52">
        <v>694.9</v>
      </c>
      <c r="D191" s="52">
        <v>698.18</v>
      </c>
      <c r="E191" s="52">
        <v>10068255</v>
      </c>
      <c r="F191" s="52" t="s">
        <v>259</v>
      </c>
      <c r="G191" s="25">
        <f t="shared" ref="G191:G259" si="0">A191/D191-1</f>
        <v>-3.4518319058122193E-3</v>
      </c>
    </row>
    <row r="192" spans="1:7">
      <c r="A192" s="52">
        <v>697.23</v>
      </c>
      <c r="B192" s="52">
        <v>705.97</v>
      </c>
      <c r="C192" s="52">
        <v>696.06</v>
      </c>
      <c r="D192" s="52">
        <v>702</v>
      </c>
      <c r="E192" s="52">
        <v>10066110</v>
      </c>
      <c r="F192" s="52" t="s">
        <v>260</v>
      </c>
      <c r="G192" s="25">
        <f t="shared" si="0"/>
        <v>-6.7948717948718151E-3</v>
      </c>
    </row>
    <row r="193" spans="1:30">
      <c r="A193" s="52">
        <v>702.12</v>
      </c>
      <c r="B193" s="52">
        <v>707.15</v>
      </c>
      <c r="C193" s="52">
        <v>693.51030000000003</v>
      </c>
      <c r="D193" s="52">
        <v>699.33</v>
      </c>
      <c r="E193" s="52">
        <v>13720288</v>
      </c>
      <c r="F193" s="52" t="s">
        <v>261</v>
      </c>
      <c r="G193" s="25">
        <f t="shared" si="0"/>
        <v>3.9895328385739504E-3</v>
      </c>
    </row>
    <row r="194" spans="1:30">
      <c r="A194" s="52">
        <v>682.34500000000003</v>
      </c>
      <c r="B194" s="52">
        <v>694.03599999999994</v>
      </c>
      <c r="C194" s="52">
        <v>680.4864</v>
      </c>
      <c r="D194" s="52">
        <v>687.42110000000002</v>
      </c>
      <c r="E194" s="52">
        <v>9274441</v>
      </c>
      <c r="F194" s="52" t="s">
        <v>262</v>
      </c>
      <c r="G194" s="25">
        <f t="shared" si="0"/>
        <v>-7.3842656269934581E-3</v>
      </c>
    </row>
    <row r="195" spans="1:30">
      <c r="A195" s="52">
        <v>692.82690000000002</v>
      </c>
      <c r="B195" s="52">
        <v>694.84540000000004</v>
      </c>
      <c r="C195" s="52">
        <v>686.47180000000003</v>
      </c>
      <c r="D195" s="52">
        <v>692.76700000000005</v>
      </c>
      <c r="E195" s="52">
        <v>7322730</v>
      </c>
      <c r="F195" s="52" t="s">
        <v>263</v>
      </c>
      <c r="G195" s="25">
        <f t="shared" si="0"/>
        <v>8.6464857592671862E-5</v>
      </c>
    </row>
    <row r="196" spans="1:30">
      <c r="A196" s="52">
        <v>693.60630000000003</v>
      </c>
      <c r="B196" s="52">
        <v>708.32569999999998</v>
      </c>
      <c r="C196" s="52">
        <v>691.45799999999997</v>
      </c>
      <c r="D196" s="52">
        <v>703.16399999999999</v>
      </c>
      <c r="E196" s="52">
        <v>9582508</v>
      </c>
      <c r="F196" s="52" t="s">
        <v>264</v>
      </c>
      <c r="G196" s="25">
        <f t="shared" si="0"/>
        <v>-1.3592419407136846E-2</v>
      </c>
    </row>
    <row r="197" spans="1:30">
      <c r="A197" s="52">
        <v>701.86</v>
      </c>
      <c r="B197" s="52">
        <v>702.6893</v>
      </c>
      <c r="C197" s="52">
        <v>691.02829999999994</v>
      </c>
      <c r="D197" s="52">
        <v>700.80579999999998</v>
      </c>
      <c r="E197" s="52">
        <v>10850146</v>
      </c>
      <c r="F197" s="52" t="s">
        <v>265</v>
      </c>
      <c r="G197" s="25">
        <f t="shared" si="0"/>
        <v>1.504268372208184E-3</v>
      </c>
    </row>
    <row r="198" spans="1:30">
      <c r="A198" s="52">
        <v>693.52639999999997</v>
      </c>
      <c r="B198" s="52">
        <v>704.64779999999996</v>
      </c>
      <c r="C198" s="52">
        <v>693.40650000000005</v>
      </c>
      <c r="D198" s="52">
        <v>697.923</v>
      </c>
      <c r="E198" s="52">
        <v>12773221</v>
      </c>
      <c r="F198" s="52" t="s">
        <v>266</v>
      </c>
      <c r="G198" s="25">
        <f t="shared" si="0"/>
        <v>-6.2995488040944458E-3</v>
      </c>
    </row>
    <row r="199" spans="1:30">
      <c r="A199" s="52"/>
      <c r="B199" s="52"/>
      <c r="C199" s="52"/>
      <c r="D199" s="52"/>
      <c r="E199" s="52"/>
      <c r="F199" s="52"/>
      <c r="G199" s="25"/>
    </row>
    <row r="200" spans="1:30">
      <c r="A200" s="52"/>
      <c r="B200" s="52"/>
      <c r="C200" s="52"/>
      <c r="D200" s="52"/>
      <c r="E200" s="52"/>
      <c r="F200" s="52"/>
      <c r="G200" s="25"/>
    </row>
    <row r="201" spans="1:30">
      <c r="A201" s="52"/>
      <c r="B201" s="52"/>
      <c r="C201" s="52"/>
      <c r="D201" s="52"/>
      <c r="E201" s="52"/>
      <c r="F201" s="52"/>
      <c r="G201" s="25"/>
    </row>
    <row r="202" spans="1:30">
      <c r="A202" s="52"/>
      <c r="B202" s="52"/>
      <c r="C202" s="52"/>
      <c r="D202" s="52"/>
      <c r="E202" s="52"/>
      <c r="F202" s="52"/>
      <c r="G202" s="25"/>
    </row>
    <row r="203" spans="1:30" ht="15">
      <c r="A203" s="52">
        <v>697.17359999999996</v>
      </c>
      <c r="B203" s="52">
        <v>702.26570000000004</v>
      </c>
      <c r="C203" s="52">
        <v>691.33810000000005</v>
      </c>
      <c r="D203" s="52">
        <v>695.63480000000004</v>
      </c>
      <c r="E203" s="52">
        <v>11727961</v>
      </c>
      <c r="F203" s="52" t="s">
        <v>267</v>
      </c>
      <c r="G203" s="25">
        <f t="shared" si="0"/>
        <v>2.2120802467040512E-3</v>
      </c>
      <c r="AD203" s="2" t="s">
        <v>136</v>
      </c>
    </row>
    <row r="204" spans="1:30">
      <c r="A204" s="52"/>
      <c r="B204" s="52"/>
      <c r="C204" s="52"/>
      <c r="D204" s="52"/>
      <c r="E204" s="52"/>
      <c r="F204" s="52"/>
      <c r="G204" s="25"/>
    </row>
    <row r="205" spans="1:30">
      <c r="A205" s="52">
        <v>684.09370000000001</v>
      </c>
      <c r="B205" s="52">
        <v>693.84619999999995</v>
      </c>
      <c r="C205" s="52">
        <v>681.72550000000001</v>
      </c>
      <c r="D205" s="52">
        <v>691.12819999999999</v>
      </c>
      <c r="E205" s="52">
        <v>13120335</v>
      </c>
      <c r="F205" s="52" t="s">
        <v>268</v>
      </c>
      <c r="G205" s="25">
        <f t="shared" si="0"/>
        <v>-1.0178285302205881E-2</v>
      </c>
      <c r="I205" s="26"/>
      <c r="J205" s="26" t="s">
        <v>25</v>
      </c>
      <c r="K205" s="27">
        <f>MIN(G190:G1448)</f>
        <v>-7.1183170557032494E-2</v>
      </c>
    </row>
    <row r="206" spans="1:30">
      <c r="A206" s="52">
        <v>687.42110000000002</v>
      </c>
      <c r="B206" s="52">
        <v>688.47029999999995</v>
      </c>
      <c r="C206" s="52">
        <v>668.05600000000004</v>
      </c>
      <c r="D206" s="52">
        <v>668.80539999999996</v>
      </c>
      <c r="E206" s="52">
        <v>14031931</v>
      </c>
      <c r="F206" s="52" t="s">
        <v>269</v>
      </c>
      <c r="G206" s="25">
        <f t="shared" si="0"/>
        <v>2.7834254926769608E-2</v>
      </c>
      <c r="I206" s="26"/>
      <c r="J206" s="26" t="s">
        <v>26</v>
      </c>
      <c r="K206" s="27">
        <f>MAX(G190:G1448)</f>
        <v>0.15022633326357138</v>
      </c>
    </row>
    <row r="207" spans="1:30">
      <c r="A207" s="52">
        <v>666.33730000000003</v>
      </c>
      <c r="B207" s="52">
        <v>675.06060000000002</v>
      </c>
      <c r="C207" s="52">
        <v>664.51869999999997</v>
      </c>
      <c r="D207" s="52">
        <v>670.92880000000002</v>
      </c>
      <c r="E207" s="52">
        <v>11585031</v>
      </c>
      <c r="F207" s="52" t="s">
        <v>270</v>
      </c>
      <c r="G207" s="25">
        <f t="shared" si="0"/>
        <v>-6.8434981476425127E-3</v>
      </c>
      <c r="I207" s="26"/>
      <c r="J207" s="26" t="s">
        <v>27</v>
      </c>
      <c r="K207" s="27">
        <f>AVERAGE(G190:G1448)</f>
        <v>8.0730762013572278E-4</v>
      </c>
    </row>
    <row r="208" spans="1:30">
      <c r="A208" s="52">
        <v>670.38419999999996</v>
      </c>
      <c r="B208" s="52">
        <v>672.74239999999998</v>
      </c>
      <c r="C208" s="52">
        <v>643.7663</v>
      </c>
      <c r="D208" s="52">
        <v>643.89459999999997</v>
      </c>
      <c r="E208" s="52">
        <v>15766258</v>
      </c>
      <c r="F208" s="52" t="s">
        <v>271</v>
      </c>
      <c r="G208" s="25">
        <f t="shared" si="0"/>
        <v>4.1139652359252654E-2</v>
      </c>
      <c r="I208" s="26"/>
      <c r="J208" s="26" t="s">
        <v>28</v>
      </c>
      <c r="K208" s="27">
        <f>MEDIAN(G190:G1448)</f>
        <v>4.1351420570812092E-4</v>
      </c>
    </row>
    <row r="209" spans="1:17" ht="15">
      <c r="A209" s="52">
        <v>646.99220000000003</v>
      </c>
      <c r="B209" s="52">
        <v>648.91060000000004</v>
      </c>
      <c r="C209" s="52">
        <v>632.29349999999999</v>
      </c>
      <c r="D209" s="52">
        <v>642.00599999999997</v>
      </c>
      <c r="E209" s="52">
        <v>16240951</v>
      </c>
      <c r="F209" s="52" t="s">
        <v>272</v>
      </c>
      <c r="G209" s="25">
        <f t="shared" si="0"/>
        <v>7.7665940816753487E-3</v>
      </c>
      <c r="I209" s="26"/>
      <c r="J209" s="26" t="s">
        <v>29</v>
      </c>
      <c r="K209" s="27">
        <f>_xlfn.STDEV.P(G190:G1448)</f>
        <v>1.9542188197199339E-2</v>
      </c>
      <c r="M209" s="2"/>
    </row>
    <row r="210" spans="1:17" ht="15">
      <c r="A210" s="52">
        <v>644.55409999999995</v>
      </c>
      <c r="B210" s="52">
        <v>652.81769999999995</v>
      </c>
      <c r="C210" s="52">
        <v>639.00829999999996</v>
      </c>
      <c r="D210" s="52">
        <v>651.14400000000001</v>
      </c>
      <c r="E210" s="52">
        <v>8883436</v>
      </c>
      <c r="F210" s="52" t="s">
        <v>273</v>
      </c>
      <c r="G210" s="25">
        <f t="shared" si="0"/>
        <v>-1.0120495620016601E-2</v>
      </c>
      <c r="I210" s="26"/>
      <c r="J210" s="28" t="s">
        <v>30</v>
      </c>
      <c r="K210" s="27">
        <f>3*K209</f>
        <v>5.8626564591598013E-2</v>
      </c>
      <c r="L210" s="26"/>
      <c r="M210" s="2" t="s">
        <v>146</v>
      </c>
    </row>
    <row r="211" spans="1:17" ht="15">
      <c r="A211" s="52">
        <v>643.08519999999999</v>
      </c>
      <c r="B211" s="52">
        <v>650.37959999999998</v>
      </c>
      <c r="C211" s="52">
        <v>642.05319999999995</v>
      </c>
      <c r="D211" s="52">
        <v>642.10599999999999</v>
      </c>
      <c r="E211" s="52">
        <v>9042874</v>
      </c>
      <c r="F211" s="52" t="s">
        <v>274</v>
      </c>
      <c r="G211" s="25">
        <f t="shared" si="0"/>
        <v>1.5249818565781226E-3</v>
      </c>
      <c r="I211" s="26"/>
      <c r="J211" s="28" t="s">
        <v>31</v>
      </c>
      <c r="K211" s="26">
        <v>1.27</v>
      </c>
      <c r="L211" s="26"/>
      <c r="M211" s="2" t="s">
        <v>32</v>
      </c>
    </row>
    <row r="212" spans="1:17">
      <c r="A212" s="52">
        <v>641.82619999999997</v>
      </c>
      <c r="B212" s="52">
        <v>642.5856</v>
      </c>
      <c r="C212" s="52">
        <v>632.26350000000002</v>
      </c>
      <c r="D212" s="52">
        <v>634.92150000000004</v>
      </c>
      <c r="E212" s="52">
        <v>9508367</v>
      </c>
      <c r="F212" s="52" t="s">
        <v>275</v>
      </c>
      <c r="G212" s="25">
        <f t="shared" si="0"/>
        <v>1.0874887682965406E-2</v>
      </c>
    </row>
    <row r="213" spans="1:17">
      <c r="A213" s="52">
        <v>626.5779</v>
      </c>
      <c r="B213" s="52">
        <v>631.9588</v>
      </c>
      <c r="C213" s="52">
        <v>622.17129999999997</v>
      </c>
      <c r="D213" s="52">
        <v>623.52030000000002</v>
      </c>
      <c r="E213" s="52">
        <v>8454067</v>
      </c>
      <c r="F213" s="52" t="s">
        <v>276</v>
      </c>
      <c r="G213" s="25">
        <f t="shared" si="0"/>
        <v>4.9037697730129892E-3</v>
      </c>
      <c r="I213" s="29" t="s">
        <v>33</v>
      </c>
      <c r="J213" s="30">
        <v>1254</v>
      </c>
    </row>
    <row r="214" spans="1:17" ht="15" thickBot="1">
      <c r="A214" s="52">
        <v>636.0806</v>
      </c>
      <c r="B214" s="52">
        <v>642.75549999999998</v>
      </c>
      <c r="C214" s="52">
        <v>630.2251</v>
      </c>
      <c r="D214" s="52">
        <v>633.5625</v>
      </c>
      <c r="E214" s="52">
        <v>8228443</v>
      </c>
      <c r="F214" s="52" t="s">
        <v>277</v>
      </c>
      <c r="G214" s="25">
        <f t="shared" si="0"/>
        <v>3.9745092236362911E-3</v>
      </c>
      <c r="I214" s="1" t="s">
        <v>34</v>
      </c>
      <c r="L214" s="1" t="s">
        <v>35</v>
      </c>
      <c r="P214" s="1" t="s">
        <v>36</v>
      </c>
    </row>
    <row r="215" spans="1:17" ht="15" customHeight="1">
      <c r="A215" s="52">
        <v>635.01139999999998</v>
      </c>
      <c r="B215" s="52">
        <v>646.11289999999997</v>
      </c>
      <c r="C215" s="52">
        <v>629.68550000000005</v>
      </c>
      <c r="D215" s="52">
        <v>631.30430000000001</v>
      </c>
      <c r="E215" s="52">
        <v>11464569</v>
      </c>
      <c r="F215" s="52" t="s">
        <v>278</v>
      </c>
      <c r="G215" s="25">
        <f t="shared" si="0"/>
        <v>5.8721285440317406E-3</v>
      </c>
      <c r="I215" s="54" t="s">
        <v>37</v>
      </c>
      <c r="J215" s="54" t="s">
        <v>38</v>
      </c>
      <c r="L215" s="31" t="s">
        <v>39</v>
      </c>
      <c r="M215" s="32" t="s">
        <v>40</v>
      </c>
      <c r="P215" s="31" t="s">
        <v>41</v>
      </c>
      <c r="Q215" s="32" t="s">
        <v>42</v>
      </c>
    </row>
    <row r="216" spans="1:17" ht="15" customHeight="1">
      <c r="A216" s="52">
        <v>636.61019999999996</v>
      </c>
      <c r="B216" s="52">
        <v>638.86210000000005</v>
      </c>
      <c r="C216" s="52">
        <v>631.77390000000003</v>
      </c>
      <c r="D216" s="52">
        <v>635.52099999999996</v>
      </c>
      <c r="E216" s="52">
        <v>6743473</v>
      </c>
      <c r="F216" s="52" t="s">
        <v>279</v>
      </c>
      <c r="G216" s="25">
        <f t="shared" si="0"/>
        <v>1.7138694079346095E-3</v>
      </c>
      <c r="I216" s="25">
        <v>-0.06</v>
      </c>
      <c r="J216">
        <v>1</v>
      </c>
      <c r="L216" s="25">
        <v>-6.25E-2</v>
      </c>
      <c r="M216" s="1">
        <f t="shared" ref="M216:M266" si="1">_xlfn.NORM.DIST(L216,$K$207,$K$209,FALSE)</f>
        <v>0.10742058138663263</v>
      </c>
      <c r="O216" s="1" t="s">
        <v>137</v>
      </c>
      <c r="P216" s="48">
        <f>K207</f>
        <v>8.0730762013572278E-4</v>
      </c>
      <c r="Q216" s="1">
        <v>0</v>
      </c>
    </row>
    <row r="217" spans="1:17" ht="15">
      <c r="A217" s="52">
        <v>639.93759999999997</v>
      </c>
      <c r="B217" s="52">
        <v>642.50570000000005</v>
      </c>
      <c r="C217" s="52">
        <v>627.31730000000005</v>
      </c>
      <c r="D217" s="52">
        <v>627.76700000000005</v>
      </c>
      <c r="E217" s="52">
        <v>9592374</v>
      </c>
      <c r="F217" s="52" t="s">
        <v>280</v>
      </c>
      <c r="G217" s="25">
        <f t="shared" si="0"/>
        <v>1.9387129301157824E-2</v>
      </c>
      <c r="I217" s="25">
        <v>-5.7500000000000002E-2</v>
      </c>
      <c r="J217">
        <v>1</v>
      </c>
      <c r="L217" s="25">
        <v>-0.06</v>
      </c>
      <c r="M217" s="1">
        <f t="shared" si="1"/>
        <v>0.16125636353555861</v>
      </c>
      <c r="P217" s="48">
        <f>K207</f>
        <v>8.0730762013572278E-4</v>
      </c>
      <c r="Q217" s="1">
        <v>20.5</v>
      </c>
    </row>
    <row r="218" spans="1:17" ht="15">
      <c r="A218" s="52">
        <v>639.84770000000003</v>
      </c>
      <c r="B218" s="52">
        <v>639.94759999999997</v>
      </c>
      <c r="C218" s="52">
        <v>625.66859999999997</v>
      </c>
      <c r="D218" s="52">
        <v>637.46450000000004</v>
      </c>
      <c r="E218" s="52">
        <v>18518972</v>
      </c>
      <c r="F218" s="52" t="s">
        <v>281</v>
      </c>
      <c r="G218" s="25">
        <f t="shared" si="0"/>
        <v>3.7385611277176434E-3</v>
      </c>
      <c r="I218" s="25">
        <v>-5.5E-2</v>
      </c>
      <c r="J218">
        <v>0</v>
      </c>
      <c r="L218" s="25">
        <v>-5.7500000000000002E-2</v>
      </c>
      <c r="M218" s="1">
        <f t="shared" si="1"/>
        <v>0.23814348650257758</v>
      </c>
      <c r="O218" s="38" t="s">
        <v>138</v>
      </c>
      <c r="P218" s="48">
        <f>($K$209*-3)+$K$207</f>
        <v>-5.7819256971462292E-2</v>
      </c>
      <c r="Q218" s="1">
        <v>0</v>
      </c>
    </row>
    <row r="219" spans="1:17" ht="15">
      <c r="A219" s="52">
        <v>643.38499999999999</v>
      </c>
      <c r="B219" s="52">
        <v>656.80470000000003</v>
      </c>
      <c r="C219" s="52">
        <v>638.08910000000003</v>
      </c>
      <c r="D219" s="52">
        <v>653.77200000000005</v>
      </c>
      <c r="E219" s="52">
        <v>14341835</v>
      </c>
      <c r="F219" s="52" t="s">
        <v>282</v>
      </c>
      <c r="G219" s="25">
        <f t="shared" si="0"/>
        <v>-1.5887801863646689E-2</v>
      </c>
      <c r="I219" s="25">
        <v>-5.2499999999999998E-2</v>
      </c>
      <c r="J219">
        <v>4</v>
      </c>
      <c r="L219" s="25">
        <v>-5.5E-2</v>
      </c>
      <c r="M219" s="1">
        <f t="shared" si="1"/>
        <v>0.34598162617598838</v>
      </c>
      <c r="O219" s="39"/>
      <c r="P219" s="48">
        <f>($K$209*-3)+$K$207</f>
        <v>-5.7819256971462292E-2</v>
      </c>
      <c r="Q219" s="1">
        <v>1</v>
      </c>
    </row>
    <row r="220" spans="1:17" ht="15">
      <c r="A220" s="52">
        <v>658.85310000000004</v>
      </c>
      <c r="B220" s="52">
        <v>662.16049999999996</v>
      </c>
      <c r="C220" s="52">
        <v>653.80700000000002</v>
      </c>
      <c r="D220" s="52">
        <v>660.70169999999996</v>
      </c>
      <c r="E220" s="52">
        <v>12348179</v>
      </c>
      <c r="F220" s="52" t="s">
        <v>283</v>
      </c>
      <c r="G220" s="25">
        <f t="shared" si="0"/>
        <v>-2.79793437794984E-3</v>
      </c>
      <c r="I220" s="25">
        <v>-0.05</v>
      </c>
      <c r="J220">
        <v>3</v>
      </c>
      <c r="L220" s="25">
        <v>-5.2499999999999998E-2</v>
      </c>
      <c r="M220" s="1">
        <f t="shared" si="1"/>
        <v>0.49449265600178138</v>
      </c>
      <c r="O220" s="38" t="s">
        <v>139</v>
      </c>
      <c r="P220" s="48">
        <f>($K$209*-2)+$K$207</f>
        <v>-3.8277068774262957E-2</v>
      </c>
      <c r="Q220" s="1">
        <v>0</v>
      </c>
    </row>
    <row r="221" spans="1:17" ht="15">
      <c r="A221" s="52">
        <v>655.52560000000005</v>
      </c>
      <c r="B221" s="52">
        <v>660.41189999999995</v>
      </c>
      <c r="C221" s="52">
        <v>642.33579999999995</v>
      </c>
      <c r="D221" s="52">
        <v>645.04870000000005</v>
      </c>
      <c r="E221" s="52">
        <v>18570821</v>
      </c>
      <c r="F221" s="52" t="s">
        <v>284</v>
      </c>
      <c r="G221" s="25">
        <f t="shared" si="0"/>
        <v>1.6242029477774311E-2</v>
      </c>
      <c r="I221" s="25">
        <v>-4.7500000000000001E-2</v>
      </c>
      <c r="J221">
        <v>3</v>
      </c>
      <c r="L221" s="25">
        <v>-0.05</v>
      </c>
      <c r="M221" s="1">
        <f t="shared" si="1"/>
        <v>0.69527904245272742</v>
      </c>
      <c r="O221" s="39"/>
      <c r="P221" s="48">
        <f>($K$209*-2)+$K$207</f>
        <v>-3.8277068774262957E-2</v>
      </c>
      <c r="Q221" s="1">
        <v>3</v>
      </c>
    </row>
    <row r="222" spans="1:17" ht="15">
      <c r="A222" s="52">
        <v>638.9384</v>
      </c>
      <c r="B222" s="52">
        <v>639.89729999999997</v>
      </c>
      <c r="C222" s="52">
        <v>620.55250000000001</v>
      </c>
      <c r="D222" s="52">
        <v>630.43489999999997</v>
      </c>
      <c r="E222" s="52">
        <v>21965085</v>
      </c>
      <c r="F222" s="52" t="s">
        <v>285</v>
      </c>
      <c r="G222" s="25">
        <f t="shared" si="0"/>
        <v>1.3488307833211755E-2</v>
      </c>
      <c r="I222" s="25">
        <v>-4.4999999999999998E-2</v>
      </c>
      <c r="J222">
        <v>0</v>
      </c>
      <c r="L222" s="25">
        <v>-4.7500000000000001E-2</v>
      </c>
      <c r="M222" s="1">
        <f t="shared" si="1"/>
        <v>0.96172501834519741</v>
      </c>
      <c r="O222" s="40" t="s">
        <v>140</v>
      </c>
      <c r="P222" s="48">
        <f>($K$209*-1)+$K$207</f>
        <v>-1.8734880577063615E-2</v>
      </c>
      <c r="Q222" s="1">
        <v>0</v>
      </c>
    </row>
    <row r="223" spans="1:17" ht="15">
      <c r="A223" s="52">
        <v>592.03449999999998</v>
      </c>
      <c r="B223" s="52">
        <v>606.50340000000006</v>
      </c>
      <c r="C223" s="52">
        <v>591.25130000000001</v>
      </c>
      <c r="D223" s="52">
        <v>603.2559</v>
      </c>
      <c r="E223" s="52">
        <v>10427286</v>
      </c>
      <c r="F223" s="52" t="s">
        <v>286</v>
      </c>
      <c r="G223" s="25">
        <f t="shared" si="0"/>
        <v>-1.8601392874897704E-2</v>
      </c>
      <c r="I223" s="25">
        <v>-4.2500000000000003E-2</v>
      </c>
      <c r="J223">
        <v>6</v>
      </c>
      <c r="L223" s="25">
        <v>-4.4999999999999998E-2</v>
      </c>
      <c r="M223" s="1">
        <f t="shared" si="1"/>
        <v>1.308685141161726</v>
      </c>
      <c r="P223" s="48">
        <f>($K$209*-1)+$K$207</f>
        <v>-1.8734880577063615E-2</v>
      </c>
      <c r="Q223" s="1">
        <v>13</v>
      </c>
    </row>
    <row r="224" spans="1:17" ht="15">
      <c r="A224" s="52">
        <v>597.55020000000002</v>
      </c>
      <c r="B224" s="52">
        <v>610.82590000000005</v>
      </c>
      <c r="C224" s="52">
        <v>596.16129999999998</v>
      </c>
      <c r="D224" s="52">
        <v>605.81889999999999</v>
      </c>
      <c r="E224" s="52">
        <v>14622805</v>
      </c>
      <c r="F224" s="52" t="s">
        <v>287</v>
      </c>
      <c r="G224" s="25">
        <f t="shared" si="0"/>
        <v>-1.3648798345512136E-2</v>
      </c>
      <c r="I224" s="25">
        <v>-0.04</v>
      </c>
      <c r="J224">
        <v>7</v>
      </c>
      <c r="L224" s="25">
        <v>-4.2500000000000003E-2</v>
      </c>
      <c r="M224" s="1">
        <f t="shared" si="1"/>
        <v>1.7519104829192778</v>
      </c>
      <c r="O224" s="1" t="s">
        <v>141</v>
      </c>
      <c r="P224" s="48">
        <f>($K$209*1)+$K$207</f>
        <v>2.0349495817335063E-2</v>
      </c>
      <c r="Q224" s="1">
        <v>0</v>
      </c>
    </row>
    <row r="225" spans="1:17" ht="15" customHeight="1">
      <c r="A225" s="52">
        <v>596.35119999999995</v>
      </c>
      <c r="B225" s="52">
        <v>602.61130000000003</v>
      </c>
      <c r="C225" s="52">
        <v>586.21900000000005</v>
      </c>
      <c r="D225" s="52">
        <v>589.90610000000004</v>
      </c>
      <c r="E225" s="52">
        <v>13160976</v>
      </c>
      <c r="F225" s="52" t="s">
        <v>288</v>
      </c>
      <c r="G225" s="25">
        <f t="shared" si="0"/>
        <v>1.0925637148013756E-2</v>
      </c>
      <c r="I225" s="25">
        <v>-3.7499999999999999E-2</v>
      </c>
      <c r="J225">
        <v>12</v>
      </c>
      <c r="L225" s="25">
        <v>-0.04</v>
      </c>
      <c r="M225" s="1">
        <f t="shared" si="1"/>
        <v>2.3071781684149686</v>
      </c>
      <c r="P225" s="48">
        <f>($K$209*1)+$K$207</f>
        <v>2.0349495817335063E-2</v>
      </c>
      <c r="Q225" s="1">
        <v>13</v>
      </c>
    </row>
    <row r="226" spans="1:17" ht="15">
      <c r="A226" s="52">
        <v>586.85850000000005</v>
      </c>
      <c r="B226" s="52">
        <v>595.57180000000005</v>
      </c>
      <c r="C226" s="52">
        <v>586.12900000000002</v>
      </c>
      <c r="D226" s="52">
        <v>592.06949999999995</v>
      </c>
      <c r="E226" s="52">
        <v>10600650</v>
      </c>
      <c r="F226" s="52" t="s">
        <v>289</v>
      </c>
      <c r="G226" s="25">
        <f t="shared" si="0"/>
        <v>-8.801331600428508E-3</v>
      </c>
      <c r="I226" s="25">
        <v>-3.5000000000000003E-2</v>
      </c>
      <c r="J226">
        <v>8</v>
      </c>
      <c r="L226" s="25">
        <v>-3.7499999999999999E-2</v>
      </c>
      <c r="M226" s="1">
        <f t="shared" si="1"/>
        <v>2.989116474458442</v>
      </c>
      <c r="O226" s="41" t="s">
        <v>142</v>
      </c>
      <c r="P226" s="48">
        <f>($K$209*2)+$K$207</f>
        <v>3.9891684014534398E-2</v>
      </c>
      <c r="Q226" s="1">
        <v>0</v>
      </c>
    </row>
    <row r="227" spans="1:17" ht="15">
      <c r="A227" s="52">
        <v>598.80930000000001</v>
      </c>
      <c r="B227" s="52">
        <v>602.74620000000004</v>
      </c>
      <c r="C227" s="52">
        <v>587.59789999999998</v>
      </c>
      <c r="D227" s="52">
        <v>590.76549999999997</v>
      </c>
      <c r="E227" s="52">
        <v>13887724</v>
      </c>
      <c r="F227" s="52" t="s">
        <v>290</v>
      </c>
      <c r="G227" s="25">
        <f t="shared" si="0"/>
        <v>1.3615893277451052E-2</v>
      </c>
      <c r="I227" s="25">
        <v>-3.2500000000000001E-2</v>
      </c>
      <c r="J227">
        <v>6</v>
      </c>
      <c r="L227" s="25">
        <v>-3.5000000000000003E-2</v>
      </c>
      <c r="M227" s="1">
        <f t="shared" si="1"/>
        <v>3.8097548020139715</v>
      </c>
      <c r="P227" s="48">
        <f>($K$209*2)+$K$207</f>
        <v>3.9891684014534398E-2</v>
      </c>
      <c r="Q227" s="1">
        <v>3</v>
      </c>
    </row>
    <row r="228" spans="1:17" ht="15">
      <c r="A228" s="52">
        <v>596.56100000000004</v>
      </c>
      <c r="B228" s="52">
        <v>603.87540000000001</v>
      </c>
      <c r="C228" s="52">
        <v>577.8854</v>
      </c>
      <c r="D228" s="52">
        <v>583.00639999999999</v>
      </c>
      <c r="E228" s="52">
        <v>24739260</v>
      </c>
      <c r="F228" s="52" t="s">
        <v>291</v>
      </c>
      <c r="G228" s="25">
        <f t="shared" si="0"/>
        <v>2.3249487484185538E-2</v>
      </c>
      <c r="I228" s="25">
        <v>-0.03</v>
      </c>
      <c r="J228">
        <v>12</v>
      </c>
      <c r="L228" s="25">
        <v>-3.2500000000000001E-2</v>
      </c>
      <c r="M228" s="1">
        <f t="shared" si="1"/>
        <v>4.7768729930836615</v>
      </c>
      <c r="O228" s="41" t="s">
        <v>143</v>
      </c>
      <c r="P228" s="48">
        <f>($K$209*3)+$K$207</f>
        <v>5.9433872211733733E-2</v>
      </c>
      <c r="Q228" s="1">
        <v>0</v>
      </c>
    </row>
    <row r="229" spans="1:17" ht="15">
      <c r="A229" s="52">
        <v>571.77009999999996</v>
      </c>
      <c r="B229" s="52">
        <v>592.4941</v>
      </c>
      <c r="C229" s="52">
        <v>570.06140000000005</v>
      </c>
      <c r="D229" s="52">
        <v>591.61980000000005</v>
      </c>
      <c r="E229" s="52">
        <v>31159033</v>
      </c>
      <c r="F229" s="52" t="s">
        <v>292</v>
      </c>
      <c r="G229" s="25">
        <f t="shared" si="0"/>
        <v>-3.3551446384992634E-2</v>
      </c>
      <c r="I229" s="25">
        <v>-2.75E-2</v>
      </c>
      <c r="J229">
        <v>17</v>
      </c>
      <c r="L229" s="25">
        <v>-0.03</v>
      </c>
      <c r="M229" s="1">
        <f t="shared" si="1"/>
        <v>5.8922728080984283</v>
      </c>
      <c r="O229" s="41"/>
      <c r="P229" s="48">
        <f>($K$209*3)+$K$207</f>
        <v>5.9433872211733733E-2</v>
      </c>
      <c r="Q229" s="1">
        <v>1</v>
      </c>
    </row>
    <row r="230" spans="1:17" ht="15">
      <c r="A230" s="52">
        <v>548.5779</v>
      </c>
      <c r="B230" s="52">
        <v>548.67780000000005</v>
      </c>
      <c r="C230" s="52">
        <v>529.09289999999999</v>
      </c>
      <c r="D230" s="52">
        <v>537.98609999999996</v>
      </c>
      <c r="E230" s="52">
        <v>29243971</v>
      </c>
      <c r="F230" s="52" t="s">
        <v>293</v>
      </c>
      <c r="G230" s="25">
        <f t="shared" si="0"/>
        <v>1.9687869259075619E-2</v>
      </c>
      <c r="I230" s="25">
        <v>-2.5000000000000001E-2</v>
      </c>
      <c r="J230">
        <v>21</v>
      </c>
      <c r="L230" s="25">
        <v>-2.75E-2</v>
      </c>
      <c r="M230" s="1">
        <f t="shared" si="1"/>
        <v>7.1501389272634208</v>
      </c>
    </row>
    <row r="231" spans="1:17" ht="15">
      <c r="A231" s="52">
        <v>554.01369999999997</v>
      </c>
      <c r="B231" s="52">
        <v>556.14200000000005</v>
      </c>
      <c r="C231" s="52">
        <v>543.70169999999996</v>
      </c>
      <c r="D231" s="52">
        <v>545.58019999999999</v>
      </c>
      <c r="E231" s="52">
        <v>11835036</v>
      </c>
      <c r="F231" s="52" t="s">
        <v>294</v>
      </c>
      <c r="G231" s="25">
        <f t="shared" si="0"/>
        <v>1.5457855691977107E-2</v>
      </c>
      <c r="I231" s="25">
        <v>-2.2499999999999999E-2</v>
      </c>
      <c r="J231">
        <v>19</v>
      </c>
      <c r="L231" s="25">
        <v>-2.5000000000000001E-2</v>
      </c>
      <c r="M231" s="1">
        <f t="shared" si="1"/>
        <v>8.5356892669345932</v>
      </c>
    </row>
    <row r="232" spans="1:17" ht="15">
      <c r="A232" s="52">
        <v>549.31740000000002</v>
      </c>
      <c r="B232" s="52">
        <v>558.06050000000005</v>
      </c>
      <c r="C232" s="52">
        <v>540.17439999999999</v>
      </c>
      <c r="D232" s="52">
        <v>555.21280000000002</v>
      </c>
      <c r="E232" s="52">
        <v>15178995</v>
      </c>
      <c r="F232" s="52" t="s">
        <v>295</v>
      </c>
      <c r="G232" s="25">
        <f t="shared" si="0"/>
        <v>-1.06182710485061E-2</v>
      </c>
      <c r="I232" s="25">
        <v>-0.02</v>
      </c>
      <c r="J232">
        <v>22</v>
      </c>
      <c r="L232" s="25">
        <v>-2.2499999999999999E-2</v>
      </c>
      <c r="M232" s="1">
        <f t="shared" si="1"/>
        <v>10.024326313685666</v>
      </c>
    </row>
    <row r="233" spans="1:17" ht="15">
      <c r="A233" s="52">
        <v>546.84929999999997</v>
      </c>
      <c r="B233" s="52">
        <v>549.43730000000005</v>
      </c>
      <c r="C233" s="52">
        <v>535.83770000000004</v>
      </c>
      <c r="D233" s="52">
        <v>546.37959999999998</v>
      </c>
      <c r="E233" s="52">
        <v>17098921</v>
      </c>
      <c r="F233" s="52" t="s">
        <v>296</v>
      </c>
      <c r="G233" s="25">
        <f t="shared" si="0"/>
        <v>8.5965874274962495E-4</v>
      </c>
      <c r="I233" s="25">
        <v>-1.7500000000000002E-2</v>
      </c>
      <c r="J233">
        <v>25</v>
      </c>
      <c r="L233" s="25">
        <v>-0.02</v>
      </c>
      <c r="M233" s="1">
        <f t="shared" si="1"/>
        <v>11.58148573551728</v>
      </c>
    </row>
    <row r="234" spans="1:17" ht="15">
      <c r="A234" s="52">
        <v>532.74009999999998</v>
      </c>
      <c r="B234" s="52">
        <v>533.48950000000002</v>
      </c>
      <c r="C234" s="52">
        <v>517.10209999999995</v>
      </c>
      <c r="D234" s="52">
        <v>518.33119999999997</v>
      </c>
      <c r="E234" s="52">
        <v>13910011</v>
      </c>
      <c r="F234" s="52" t="s">
        <v>297</v>
      </c>
      <c r="G234" s="25">
        <f t="shared" si="0"/>
        <v>2.7798635312711317E-2</v>
      </c>
      <c r="I234" s="25">
        <v>-1.4999999999999999E-2</v>
      </c>
      <c r="J234">
        <v>45</v>
      </c>
      <c r="L234" s="25">
        <v>-1.7500000000000002E-2</v>
      </c>
      <c r="M234" s="1">
        <f t="shared" si="1"/>
        <v>13.163332154636409</v>
      </c>
    </row>
    <row r="235" spans="1:17" ht="15">
      <c r="A235" s="52">
        <v>519.87</v>
      </c>
      <c r="B235" s="52">
        <v>534.92600000000004</v>
      </c>
      <c r="C235" s="52">
        <v>516.12289999999996</v>
      </c>
      <c r="D235" s="52">
        <v>528.11869999999999</v>
      </c>
      <c r="E235" s="52">
        <v>18173910</v>
      </c>
      <c r="F235" s="52" t="s">
        <v>298</v>
      </c>
      <c r="G235" s="25">
        <f t="shared" si="0"/>
        <v>-1.5619026555961701E-2</v>
      </c>
      <c r="I235" s="25">
        <v>-1.2500000000000001E-2</v>
      </c>
      <c r="J235">
        <v>51</v>
      </c>
      <c r="L235" s="25">
        <v>-1.4999999999999999E-2</v>
      </c>
      <c r="M235" s="1">
        <f t="shared" si="1"/>
        <v>14.718375751520579</v>
      </c>
    </row>
    <row r="236" spans="1:17" ht="15">
      <c r="A236" s="52">
        <v>499.8954</v>
      </c>
      <c r="B236" s="52">
        <v>506.49029999999999</v>
      </c>
      <c r="C236" s="52">
        <v>485.98610000000002</v>
      </c>
      <c r="D236" s="52">
        <v>491.49180000000001</v>
      </c>
      <c r="E236" s="52">
        <v>17399408</v>
      </c>
      <c r="F236" s="52" t="s">
        <v>299</v>
      </c>
      <c r="G236" s="25">
        <f t="shared" si="0"/>
        <v>1.7098148941650626E-2</v>
      </c>
      <c r="I236" s="25">
        <v>-0.01</v>
      </c>
      <c r="J236">
        <v>59</v>
      </c>
      <c r="L236" s="25">
        <v>-1.2500000000000001E-2</v>
      </c>
      <c r="M236" s="1">
        <f t="shared" si="1"/>
        <v>16.189983802875343</v>
      </c>
    </row>
    <row r="237" spans="1:17" ht="15">
      <c r="A237" s="52">
        <v>484.28739999999999</v>
      </c>
      <c r="B237" s="52">
        <v>493.12060000000002</v>
      </c>
      <c r="C237" s="52">
        <v>479.43110000000001</v>
      </c>
      <c r="D237" s="52">
        <v>490.94729999999998</v>
      </c>
      <c r="E237" s="52">
        <v>16165982</v>
      </c>
      <c r="F237" s="52" t="s">
        <v>300</v>
      </c>
      <c r="G237" s="25">
        <f t="shared" si="0"/>
        <v>-1.356540712210863E-2</v>
      </c>
      <c r="I237" s="25">
        <v>-7.4999999999999997E-3</v>
      </c>
      <c r="J237">
        <v>59</v>
      </c>
      <c r="L237" s="25">
        <v>-0.01</v>
      </c>
      <c r="M237" s="1">
        <f t="shared" si="1"/>
        <v>17.519649964229057</v>
      </c>
    </row>
    <row r="238" spans="1:17" ht="15">
      <c r="A238" s="52">
        <v>501.09449999999998</v>
      </c>
      <c r="B238" s="52">
        <v>506.91</v>
      </c>
      <c r="C238" s="52">
        <v>497.63040000000001</v>
      </c>
      <c r="D238" s="52">
        <v>504.86160000000001</v>
      </c>
      <c r="E238" s="52">
        <v>14593508</v>
      </c>
      <c r="F238" s="52" t="s">
        <v>301</v>
      </c>
      <c r="G238" s="25">
        <f t="shared" si="0"/>
        <v>-7.4616488954597493E-3</v>
      </c>
      <c r="I238" s="25">
        <v>-5.0000000000000001E-3</v>
      </c>
      <c r="J238">
        <v>68</v>
      </c>
      <c r="L238" s="25">
        <v>-7.4999999999999997E-3</v>
      </c>
      <c r="M238" s="1">
        <f t="shared" si="1"/>
        <v>18.650776503363478</v>
      </c>
    </row>
    <row r="239" spans="1:17" ht="15">
      <c r="A239" s="52">
        <v>501.92380000000003</v>
      </c>
      <c r="B239" s="52">
        <v>512.97529999999995</v>
      </c>
      <c r="C239" s="52">
        <v>495.24900000000002</v>
      </c>
      <c r="D239" s="52">
        <v>508.1191</v>
      </c>
      <c r="E239" s="52">
        <v>18735075</v>
      </c>
      <c r="F239" s="52" t="s">
        <v>302</v>
      </c>
      <c r="G239" s="25">
        <f t="shared" si="0"/>
        <v>-1.2192613897017424E-2</v>
      </c>
      <c r="I239" s="25">
        <v>-2.5000000000000001E-3</v>
      </c>
      <c r="J239">
        <v>70</v>
      </c>
      <c r="L239" s="25">
        <v>-5.0000000000000001E-3</v>
      </c>
      <c r="M239" s="1">
        <f t="shared" si="1"/>
        <v>19.532637635128481</v>
      </c>
    </row>
    <row r="240" spans="1:17" ht="15">
      <c r="A240" s="52">
        <v>521.11900000000003</v>
      </c>
      <c r="B240" s="52">
        <v>537.52639999999997</v>
      </c>
      <c r="C240" s="52">
        <v>517.10209999999995</v>
      </c>
      <c r="D240" s="52">
        <v>531.69590000000005</v>
      </c>
      <c r="E240" s="52">
        <v>15558659</v>
      </c>
      <c r="F240" s="52" t="s">
        <v>303</v>
      </c>
      <c r="G240" s="25">
        <f t="shared" si="0"/>
        <v>-1.9892762009261378E-2</v>
      </c>
      <c r="I240" s="25">
        <v>0</v>
      </c>
      <c r="J240">
        <v>91</v>
      </c>
      <c r="L240" s="25">
        <v>-2.5000000000000001E-3</v>
      </c>
      <c r="M240" s="1">
        <f t="shared" si="1"/>
        <v>20.124140970864751</v>
      </c>
    </row>
    <row r="241" spans="1:13" ht="15">
      <c r="A241" s="52">
        <v>531.07140000000004</v>
      </c>
      <c r="B241" s="52">
        <v>557.34119999999996</v>
      </c>
      <c r="C241" s="52">
        <v>527.87390000000005</v>
      </c>
      <c r="D241" s="52">
        <v>555.74739999999997</v>
      </c>
      <c r="E241" s="52">
        <v>14130928</v>
      </c>
      <c r="F241" s="52" t="s">
        <v>304</v>
      </c>
      <c r="G241" s="25">
        <f t="shared" si="0"/>
        <v>-4.4401467285316909E-2</v>
      </c>
      <c r="I241" s="25">
        <v>2.5000000000000001E-3</v>
      </c>
      <c r="J241">
        <v>85</v>
      </c>
      <c r="L241" s="25">
        <v>0</v>
      </c>
      <c r="M241" s="1">
        <f t="shared" si="1"/>
        <v>20.39699977019454</v>
      </c>
    </row>
    <row r="242" spans="1:13" ht="15">
      <c r="A242" s="52">
        <v>543.15210000000002</v>
      </c>
      <c r="B242" s="52">
        <v>546.97919999999999</v>
      </c>
      <c r="C242" s="52">
        <v>528.18370000000004</v>
      </c>
      <c r="D242" s="52">
        <v>535.0933</v>
      </c>
      <c r="E242" s="52">
        <v>17642327</v>
      </c>
      <c r="F242" s="52" t="s">
        <v>305</v>
      </c>
      <c r="G242" s="25">
        <f t="shared" si="0"/>
        <v>1.5060551122579868E-2</v>
      </c>
      <c r="I242" s="25">
        <v>5.0000000000000001E-3</v>
      </c>
      <c r="J242">
        <v>66</v>
      </c>
      <c r="L242" s="25">
        <v>2.5000000000000001E-3</v>
      </c>
      <c r="M242" s="1">
        <f t="shared" si="1"/>
        <v>20.337975200910474</v>
      </c>
    </row>
    <row r="243" spans="1:13" ht="15">
      <c r="A243" s="52">
        <v>545.87</v>
      </c>
      <c r="B243" s="52">
        <v>580.85310000000004</v>
      </c>
      <c r="C243" s="52">
        <v>534.88850000000002</v>
      </c>
      <c r="D243" s="52">
        <v>575.04759999999999</v>
      </c>
      <c r="E243" s="52">
        <v>28173491</v>
      </c>
      <c r="F243" s="52" t="s">
        <v>306</v>
      </c>
      <c r="G243" s="25">
        <f t="shared" si="0"/>
        <v>-5.0739451829726723E-2</v>
      </c>
      <c r="I243" s="25">
        <v>7.4999999999999997E-3</v>
      </c>
      <c r="J243">
        <v>49</v>
      </c>
      <c r="L243" s="25">
        <v>5.0000000000000001E-3</v>
      </c>
      <c r="M243" s="1">
        <f t="shared" si="1"/>
        <v>19.949941119754655</v>
      </c>
    </row>
    <row r="244" spans="1:13" ht="15">
      <c r="A244" s="52">
        <v>585.31970000000001</v>
      </c>
      <c r="B244" s="52">
        <v>587.43799999999999</v>
      </c>
      <c r="C244" s="52">
        <v>501.72399999999999</v>
      </c>
      <c r="D244" s="52">
        <v>508.87349999999998</v>
      </c>
      <c r="E244" s="52">
        <v>39216578</v>
      </c>
      <c r="F244" s="52" t="s">
        <v>307</v>
      </c>
      <c r="G244" s="25">
        <f t="shared" si="0"/>
        <v>0.15022633326357138</v>
      </c>
      <c r="I244" s="25">
        <v>0.01</v>
      </c>
      <c r="J244">
        <v>67</v>
      </c>
      <c r="L244" s="25">
        <v>7.4999999999999997E-3</v>
      </c>
      <c r="M244" s="1">
        <f t="shared" si="1"/>
        <v>19.251652124607908</v>
      </c>
    </row>
    <row r="245" spans="1:13" ht="15">
      <c r="A245" s="52">
        <v>510.05759999999998</v>
      </c>
      <c r="B245" s="52">
        <v>547.00909999999999</v>
      </c>
      <c r="C245" s="52">
        <v>502.47340000000003</v>
      </c>
      <c r="D245" s="52">
        <v>542.83230000000003</v>
      </c>
      <c r="E245" s="52">
        <v>28034211</v>
      </c>
      <c r="F245" s="52" t="s">
        <v>308</v>
      </c>
      <c r="G245" s="25">
        <f t="shared" si="0"/>
        <v>-6.0377210420234806E-2</v>
      </c>
      <c r="I245" s="25">
        <v>1.2500000000000001E-2</v>
      </c>
      <c r="J245">
        <v>51</v>
      </c>
      <c r="L245" s="25">
        <v>0.01</v>
      </c>
      <c r="M245" s="1">
        <f t="shared" si="1"/>
        <v>18.276240945343826</v>
      </c>
    </row>
    <row r="246" spans="1:13" ht="15">
      <c r="A246" s="52">
        <v>515.85310000000004</v>
      </c>
      <c r="B246" s="52">
        <v>538.95529999999997</v>
      </c>
      <c r="C246" s="52">
        <v>481.52949999999998</v>
      </c>
      <c r="D246" s="52">
        <v>484.72699999999998</v>
      </c>
      <c r="E246" s="52">
        <v>36606136</v>
      </c>
      <c r="F246" s="52" t="s">
        <v>309</v>
      </c>
      <c r="G246" s="25">
        <f t="shared" si="0"/>
        <v>6.4213670787886867E-2</v>
      </c>
      <c r="I246" s="25">
        <v>1.4999999999999999E-2</v>
      </c>
      <c r="J246">
        <v>60</v>
      </c>
      <c r="L246" s="25">
        <v>1.2500000000000001E-2</v>
      </c>
      <c r="M246" s="1">
        <f t="shared" si="1"/>
        <v>17.068612811022497</v>
      </c>
    </row>
    <row r="247" spans="1:13" ht="15">
      <c r="A247" s="52">
        <v>504.34199999999998</v>
      </c>
      <c r="B247" s="52">
        <v>517.60180000000003</v>
      </c>
      <c r="C247" s="52">
        <v>493.82010000000002</v>
      </c>
      <c r="D247" s="52">
        <v>506.23050000000001</v>
      </c>
      <c r="E247" s="52">
        <v>38589814</v>
      </c>
      <c r="F247" s="52" t="s">
        <v>310</v>
      </c>
      <c r="G247" s="25">
        <f t="shared" si="0"/>
        <v>-3.7305140642455159E-3</v>
      </c>
      <c r="I247" s="25">
        <v>1.7500000000000002E-2</v>
      </c>
      <c r="J247">
        <v>64</v>
      </c>
      <c r="L247" s="25">
        <v>1.4999999999999999E-2</v>
      </c>
      <c r="M247" s="1">
        <f t="shared" si="1"/>
        <v>15.682022084413369</v>
      </c>
    </row>
    <row r="248" spans="1:13" ht="15">
      <c r="A248" s="52">
        <v>531.21130000000005</v>
      </c>
      <c r="B248" s="52">
        <v>552.13480000000004</v>
      </c>
      <c r="C248" s="52">
        <v>529.89229999999998</v>
      </c>
      <c r="D248" s="52">
        <v>545.80010000000004</v>
      </c>
      <c r="E248" s="52">
        <v>34777460</v>
      </c>
      <c r="F248" s="52" t="s">
        <v>311</v>
      </c>
      <c r="G248" s="25">
        <f t="shared" si="0"/>
        <v>-2.6729199939684811E-2</v>
      </c>
      <c r="I248" s="25">
        <v>0.02</v>
      </c>
      <c r="J248">
        <v>32</v>
      </c>
      <c r="L248" s="25">
        <v>1.7500000000000002E-2</v>
      </c>
      <c r="M248" s="1">
        <f t="shared" si="1"/>
        <v>14.174194168556841</v>
      </c>
    </row>
    <row r="249" spans="1:13" ht="15">
      <c r="A249" s="52">
        <v>583.48109999999997</v>
      </c>
      <c r="B249" s="52">
        <v>592.20439999999996</v>
      </c>
      <c r="C249" s="52">
        <v>572.91920000000005</v>
      </c>
      <c r="D249" s="52">
        <v>574.46799999999996</v>
      </c>
      <c r="E249" s="52">
        <v>13470778</v>
      </c>
      <c r="F249" s="52" t="s">
        <v>312</v>
      </c>
      <c r="G249" s="25">
        <f t="shared" si="0"/>
        <v>1.568947269473675E-2</v>
      </c>
      <c r="I249" s="25">
        <v>2.2499999999999999E-2</v>
      </c>
      <c r="J249">
        <v>38</v>
      </c>
      <c r="L249" s="25">
        <v>0.02</v>
      </c>
      <c r="M249" s="1">
        <f t="shared" si="1"/>
        <v>12.603384237987036</v>
      </c>
    </row>
    <row r="250" spans="1:13" ht="15">
      <c r="A250" s="52">
        <v>585.54949999999997</v>
      </c>
      <c r="B250" s="52">
        <v>589.45650000000001</v>
      </c>
      <c r="C250" s="52">
        <v>569.56179999999995</v>
      </c>
      <c r="D250" s="52">
        <v>570.40110000000004</v>
      </c>
      <c r="E250" s="52">
        <v>12836574</v>
      </c>
      <c r="F250" s="52" t="s">
        <v>313</v>
      </c>
      <c r="G250" s="25">
        <f t="shared" si="0"/>
        <v>2.6557452291028127E-2</v>
      </c>
      <c r="I250" s="25">
        <v>2.5000000000000001E-2</v>
      </c>
      <c r="J250">
        <v>24</v>
      </c>
      <c r="L250" s="25">
        <v>2.2499999999999999E-2</v>
      </c>
      <c r="M250" s="1">
        <f t="shared" si="1"/>
        <v>11.024742588144736</v>
      </c>
    </row>
    <row r="251" spans="1:13" ht="15">
      <c r="A251" s="52">
        <v>575.91690000000006</v>
      </c>
      <c r="B251" s="52">
        <v>578.25509999999997</v>
      </c>
      <c r="C251" s="52">
        <v>552.87459999999999</v>
      </c>
      <c r="D251" s="52">
        <v>563.06679999999994</v>
      </c>
      <c r="E251" s="52">
        <v>21124677</v>
      </c>
      <c r="F251" s="52" t="s">
        <v>314</v>
      </c>
      <c r="G251" s="25">
        <f t="shared" si="0"/>
        <v>2.2821626137431883E-2</v>
      </c>
      <c r="I251" s="25">
        <v>2.75E-2</v>
      </c>
      <c r="J251">
        <v>17</v>
      </c>
      <c r="L251" s="25">
        <v>2.5000000000000001E-2</v>
      </c>
      <c r="M251" s="1">
        <f t="shared" si="1"/>
        <v>9.4872910022214594</v>
      </c>
    </row>
    <row r="252" spans="1:13" ht="15">
      <c r="A252" s="52">
        <v>576.29660000000001</v>
      </c>
      <c r="B252" s="52">
        <v>601.28740000000005</v>
      </c>
      <c r="C252" s="52">
        <v>573.47879999999998</v>
      </c>
      <c r="D252" s="52">
        <v>599.84849999999994</v>
      </c>
      <c r="E252" s="52">
        <v>17602823</v>
      </c>
      <c r="F252" s="52" t="s">
        <v>315</v>
      </c>
      <c r="G252" s="25">
        <f t="shared" si="0"/>
        <v>-3.9263080594516664E-2</v>
      </c>
      <c r="I252" s="25">
        <v>0.03</v>
      </c>
      <c r="J252">
        <v>19</v>
      </c>
      <c r="L252" s="25">
        <v>2.75E-2</v>
      </c>
      <c r="M252" s="1">
        <f t="shared" si="1"/>
        <v>8.0317183010541413</v>
      </c>
    </row>
    <row r="253" spans="1:13" ht="15">
      <c r="A253" s="52">
        <v>602.11670000000004</v>
      </c>
      <c r="B253" s="52">
        <v>613.77779999999996</v>
      </c>
      <c r="C253" s="52">
        <v>599.6386</v>
      </c>
      <c r="D253" s="52">
        <v>601.53719999999998</v>
      </c>
      <c r="E253" s="52">
        <v>10436524</v>
      </c>
      <c r="F253" s="52" t="s">
        <v>316</v>
      </c>
      <c r="G253" s="25">
        <f t="shared" si="0"/>
        <v>9.6336519171225099E-4</v>
      </c>
      <c r="I253" s="25">
        <v>3.2500000000000001E-2</v>
      </c>
      <c r="J253">
        <v>18</v>
      </c>
      <c r="L253" s="25">
        <v>0.03</v>
      </c>
      <c r="M253" s="1">
        <f t="shared" si="1"/>
        <v>6.6890924191400467</v>
      </c>
    </row>
    <row r="254" spans="1:13" ht="15">
      <c r="A254" s="52">
        <v>610.51030000000003</v>
      </c>
      <c r="B254" s="52">
        <v>626.26800000000003</v>
      </c>
      <c r="C254" s="52">
        <v>606.14359999999999</v>
      </c>
      <c r="D254" s="52">
        <v>624.40959999999995</v>
      </c>
      <c r="E254" s="52">
        <v>12661891</v>
      </c>
      <c r="F254" s="52" t="s">
        <v>317</v>
      </c>
      <c r="G254" s="25">
        <f t="shared" si="0"/>
        <v>-2.2259907599114337E-2</v>
      </c>
      <c r="I254" s="25">
        <v>3.5000000000000003E-2</v>
      </c>
      <c r="J254">
        <v>13</v>
      </c>
      <c r="L254" s="25">
        <v>3.2500000000000001E-2</v>
      </c>
      <c r="M254" s="1">
        <f t="shared" si="1"/>
        <v>5.4804776021720452</v>
      </c>
    </row>
    <row r="255" spans="1:13" ht="15">
      <c r="A255" s="52">
        <v>625.82849999999996</v>
      </c>
      <c r="B255" s="52">
        <v>633.39269999999999</v>
      </c>
      <c r="C255" s="52">
        <v>620.70240000000001</v>
      </c>
      <c r="D255" s="52">
        <v>626.27809999999999</v>
      </c>
      <c r="E255" s="52">
        <v>15312540</v>
      </c>
      <c r="F255" s="52" t="s">
        <v>318</v>
      </c>
      <c r="G255" s="25">
        <f t="shared" si="0"/>
        <v>-7.1789193969906684E-4</v>
      </c>
      <c r="I255" s="25">
        <v>3.7499999999999999E-2</v>
      </c>
      <c r="J255">
        <v>5</v>
      </c>
      <c r="L255" s="25">
        <v>3.5000000000000003E-2</v>
      </c>
      <c r="M255" s="1">
        <f t="shared" si="1"/>
        <v>4.4173529425200817</v>
      </c>
    </row>
    <row r="256" spans="1:13" ht="15">
      <c r="A256" s="52">
        <v>618.37419999999997</v>
      </c>
      <c r="B256" s="52">
        <v>622.06140000000005</v>
      </c>
      <c r="C256" s="52">
        <v>611.72940000000006</v>
      </c>
      <c r="D256" s="52">
        <v>614.49720000000002</v>
      </c>
      <c r="E256" s="52">
        <v>15741274</v>
      </c>
      <c r="F256" s="52" t="s">
        <v>319</v>
      </c>
      <c r="G256" s="25">
        <f t="shared" si="0"/>
        <v>6.3092232153376671E-3</v>
      </c>
      <c r="I256" s="25">
        <v>0.04</v>
      </c>
      <c r="J256">
        <v>3</v>
      </c>
      <c r="L256" s="25">
        <v>3.7499999999999999E-2</v>
      </c>
      <c r="M256" s="1">
        <f t="shared" si="1"/>
        <v>3.5026623641956487</v>
      </c>
    </row>
    <row r="257" spans="1:13" ht="15">
      <c r="A257" s="52">
        <v>595.79160000000002</v>
      </c>
      <c r="B257" s="52">
        <v>597.0856</v>
      </c>
      <c r="C257" s="52">
        <v>580.50340000000006</v>
      </c>
      <c r="D257" s="52">
        <v>582.97649999999999</v>
      </c>
      <c r="E257" s="52">
        <v>25015864</v>
      </c>
      <c r="F257" s="52" t="s">
        <v>320</v>
      </c>
      <c r="G257" s="25">
        <f t="shared" si="0"/>
        <v>2.1982189676599262E-2</v>
      </c>
      <c r="I257" s="25">
        <v>4.2500000000000003E-2</v>
      </c>
      <c r="J257">
        <v>2</v>
      </c>
      <c r="L257" s="25">
        <v>0.04</v>
      </c>
      <c r="M257" s="1">
        <f t="shared" si="1"/>
        <v>2.7322908884020212</v>
      </c>
    </row>
    <row r="258" spans="1:13" ht="15">
      <c r="A258" s="52">
        <v>585.54949999999997</v>
      </c>
      <c r="B258" s="52">
        <v>609.73090000000002</v>
      </c>
      <c r="C258" s="52">
        <v>579.06449999999995</v>
      </c>
      <c r="D258" s="52">
        <v>582.30700000000002</v>
      </c>
      <c r="E258" s="52">
        <v>24336505</v>
      </c>
      <c r="F258" s="52" t="s">
        <v>321</v>
      </c>
      <c r="G258" s="25">
        <f t="shared" si="0"/>
        <v>5.5683685753389334E-3</v>
      </c>
      <c r="I258" s="25">
        <v>4.4999999999999998E-2</v>
      </c>
      <c r="J258">
        <v>3</v>
      </c>
      <c r="L258" s="25">
        <v>4.2500000000000003E-2</v>
      </c>
      <c r="M258" s="1">
        <f t="shared" si="1"/>
        <v>2.0967568674562269</v>
      </c>
    </row>
    <row r="259" spans="1:13" ht="15">
      <c r="A259" s="52">
        <v>583.61099999999999</v>
      </c>
      <c r="B259" s="52">
        <v>591.86689999999999</v>
      </c>
      <c r="C259" s="52">
        <v>574.32809999999995</v>
      </c>
      <c r="D259" s="52">
        <v>583.83079999999995</v>
      </c>
      <c r="E259" s="52">
        <v>20537498</v>
      </c>
      <c r="F259" s="52" t="s">
        <v>322</v>
      </c>
      <c r="G259" s="25">
        <f t="shared" si="0"/>
        <v>-3.7647893876091576E-4</v>
      </c>
      <c r="I259" s="25">
        <v>4.7500000000000001E-2</v>
      </c>
      <c r="J259">
        <v>4</v>
      </c>
      <c r="L259" s="25">
        <v>4.4999999999999998E-2</v>
      </c>
      <c r="M259" s="1">
        <f t="shared" si="1"/>
        <v>1.5829299517533759</v>
      </c>
    </row>
    <row r="260" spans="1:13" ht="15">
      <c r="A260" s="52">
        <v>581.91229999999996</v>
      </c>
      <c r="B260" s="52">
        <v>599.7885</v>
      </c>
      <c r="C260" s="52">
        <v>574.21820000000002</v>
      </c>
      <c r="D260" s="52">
        <v>599.58870000000002</v>
      </c>
      <c r="E260" s="52">
        <v>20297708</v>
      </c>
      <c r="F260" s="52" t="s">
        <v>323</v>
      </c>
      <c r="G260" s="25">
        <f t="shared" ref="G260:G323" si="2">A260/D260-1</f>
        <v>-2.9480875807032514E-2</v>
      </c>
      <c r="I260" s="25">
        <v>0.05</v>
      </c>
      <c r="J260">
        <v>3</v>
      </c>
      <c r="L260" s="25">
        <v>4.7500000000000001E-2</v>
      </c>
      <c r="M260" s="1">
        <f t="shared" si="1"/>
        <v>1.1756222629377588</v>
      </c>
    </row>
    <row r="261" spans="1:13" ht="15">
      <c r="A261" s="52">
        <v>604.43489999999997</v>
      </c>
      <c r="B261" s="52">
        <v>612.62860000000001</v>
      </c>
      <c r="C261" s="52">
        <v>597.54020000000003</v>
      </c>
      <c r="D261" s="52">
        <v>606.99300000000005</v>
      </c>
      <c r="E261" s="52">
        <v>15473909</v>
      </c>
      <c r="F261" s="52" t="s">
        <v>324</v>
      </c>
      <c r="G261" s="25">
        <f t="shared" si="2"/>
        <v>-4.2143813849584433E-3</v>
      </c>
      <c r="I261" s="25">
        <v>5.2499999999999998E-2</v>
      </c>
      <c r="J261">
        <v>4</v>
      </c>
      <c r="L261" s="25">
        <v>0.05</v>
      </c>
      <c r="M261" s="1">
        <f t="shared" si="1"/>
        <v>0.85894704344517292</v>
      </c>
    </row>
    <row r="262" spans="1:13" ht="15">
      <c r="A262" s="52">
        <v>607.13289999999995</v>
      </c>
      <c r="B262" s="52">
        <v>608.39189999999996</v>
      </c>
      <c r="C262" s="52">
        <v>594.32270000000005</v>
      </c>
      <c r="D262" s="52">
        <v>602.34159999999997</v>
      </c>
      <c r="E262" s="52">
        <v>12364505</v>
      </c>
      <c r="F262" s="52" t="s">
        <v>325</v>
      </c>
      <c r="G262" s="25">
        <f t="shared" si="2"/>
        <v>7.9544564081244218E-3</v>
      </c>
      <c r="I262" s="25">
        <v>5.5E-2</v>
      </c>
      <c r="J262">
        <v>3</v>
      </c>
      <c r="L262" s="25">
        <v>5.2499999999999998E-2</v>
      </c>
      <c r="M262" s="1">
        <f t="shared" si="1"/>
        <v>0.61738696924369429</v>
      </c>
    </row>
    <row r="263" spans="1:13" ht="15">
      <c r="A263" s="52">
        <v>589.66129999999998</v>
      </c>
      <c r="B263" s="52">
        <v>619.47180000000003</v>
      </c>
      <c r="C263" s="52">
        <v>585.53819999999996</v>
      </c>
      <c r="D263" s="52">
        <v>619.21730000000002</v>
      </c>
      <c r="E263" s="52">
        <v>16480324</v>
      </c>
      <c r="F263" s="52" t="s">
        <v>326</v>
      </c>
      <c r="G263" s="25">
        <f t="shared" si="2"/>
        <v>-4.7731224563654862E-2</v>
      </c>
      <c r="I263" s="25">
        <v>5.7500000000000002E-2</v>
      </c>
      <c r="J263">
        <v>2</v>
      </c>
      <c r="L263" s="25">
        <v>5.5E-2</v>
      </c>
      <c r="M263" s="1">
        <f t="shared" si="1"/>
        <v>0.43655705494721142</v>
      </c>
    </row>
    <row r="264" spans="1:13" ht="15">
      <c r="A264" s="52">
        <v>618.53340000000003</v>
      </c>
      <c r="B264" s="52">
        <v>632.28060000000005</v>
      </c>
      <c r="C264" s="52">
        <v>608.34029999999996</v>
      </c>
      <c r="D264" s="52">
        <v>628.85630000000003</v>
      </c>
      <c r="E264" s="52">
        <v>15746966</v>
      </c>
      <c r="F264" s="52" t="s">
        <v>327</v>
      </c>
      <c r="G264" s="25">
        <f t="shared" si="2"/>
        <v>-1.6415355940617937E-2</v>
      </c>
      <c r="I264" s="25">
        <v>0.06</v>
      </c>
      <c r="J264">
        <v>1</v>
      </c>
      <c r="L264" s="25">
        <v>5.7500000000000002E-2</v>
      </c>
      <c r="M264" s="1">
        <f t="shared" si="1"/>
        <v>0.30368059766070521</v>
      </c>
    </row>
    <row r="265" spans="1:13" ht="15.75" thickBot="1">
      <c r="A265" s="52">
        <v>604.70630000000006</v>
      </c>
      <c r="B265" s="52">
        <v>613.91510000000005</v>
      </c>
      <c r="C265" s="52">
        <v>592.34690000000001</v>
      </c>
      <c r="D265" s="52">
        <v>594.06899999999996</v>
      </c>
      <c r="E265" s="52">
        <v>17401469</v>
      </c>
      <c r="F265" s="52" t="s">
        <v>328</v>
      </c>
      <c r="G265" s="25">
        <f t="shared" si="2"/>
        <v>1.7905832487472129E-2</v>
      </c>
      <c r="I265" s="53" t="s">
        <v>1513</v>
      </c>
      <c r="J265" s="53">
        <v>11</v>
      </c>
      <c r="L265" s="25">
        <v>0.06</v>
      </c>
      <c r="M265" s="1">
        <f t="shared" si="1"/>
        <v>0.20781914909728022</v>
      </c>
    </row>
    <row r="266" spans="1:13">
      <c r="A266" s="52">
        <v>596.9991</v>
      </c>
      <c r="B266" s="52">
        <v>609.09500000000003</v>
      </c>
      <c r="C266" s="52">
        <v>585.89769999999999</v>
      </c>
      <c r="D266" s="52">
        <v>607.06240000000003</v>
      </c>
      <c r="E266" s="52">
        <v>21999943</v>
      </c>
      <c r="F266" s="52" t="s">
        <v>329</v>
      </c>
      <c r="G266" s="25">
        <f t="shared" si="2"/>
        <v>-1.6577043809664405E-2</v>
      </c>
      <c r="L266" s="25">
        <v>6.25E-2</v>
      </c>
      <c r="M266" s="1">
        <f t="shared" si="1"/>
        <v>0.13990929284185369</v>
      </c>
    </row>
    <row r="267" spans="1:13">
      <c r="A267" s="52">
        <v>624.62329999999997</v>
      </c>
      <c r="B267" s="52">
        <v>633.73820000000001</v>
      </c>
      <c r="C267" s="52">
        <v>599.61479999999995</v>
      </c>
      <c r="D267" s="52">
        <v>624.3338</v>
      </c>
      <c r="E267" s="52">
        <v>21375671</v>
      </c>
      <c r="F267" s="52" t="s">
        <v>330</v>
      </c>
      <c r="G267" s="25">
        <f t="shared" si="2"/>
        <v>4.6369426098658018E-4</v>
      </c>
    </row>
    <row r="268" spans="1:13">
      <c r="A268" s="52">
        <v>626.8895</v>
      </c>
      <c r="B268" s="52">
        <v>649.48450000000003</v>
      </c>
      <c r="C268" s="52">
        <v>623.07590000000005</v>
      </c>
      <c r="D268" s="52">
        <v>646.92629999999997</v>
      </c>
      <c r="E268" s="52">
        <v>13446454</v>
      </c>
      <c r="F268" s="52" t="s">
        <v>331</v>
      </c>
      <c r="G268" s="25">
        <f t="shared" si="2"/>
        <v>-3.0972307046413072E-2</v>
      </c>
    </row>
    <row r="269" spans="1:13">
      <c r="A269" s="52">
        <v>655.38220000000001</v>
      </c>
      <c r="B269" s="52">
        <v>658.40719999999999</v>
      </c>
      <c r="C269" s="52">
        <v>636.60339999999997</v>
      </c>
      <c r="D269" s="52">
        <v>639.93790000000001</v>
      </c>
      <c r="E269" s="52">
        <v>13770026</v>
      </c>
      <c r="F269" s="52" t="s">
        <v>332</v>
      </c>
      <c r="G269" s="25">
        <f t="shared" si="2"/>
        <v>2.4134060508058663E-2</v>
      </c>
    </row>
    <row r="270" spans="1:13">
      <c r="A270" s="52">
        <v>638.93949999999995</v>
      </c>
      <c r="B270" s="52">
        <v>648.67340000000002</v>
      </c>
      <c r="C270" s="52">
        <v>622.61659999999995</v>
      </c>
      <c r="D270" s="52">
        <v>644.44039999999995</v>
      </c>
      <c r="E270" s="52">
        <v>21495208</v>
      </c>
      <c r="F270" s="52" t="s">
        <v>333</v>
      </c>
      <c r="G270" s="25">
        <f t="shared" si="2"/>
        <v>-8.5359328806822177E-3</v>
      </c>
    </row>
    <row r="271" spans="1:13">
      <c r="A271" s="52">
        <v>653.96460000000002</v>
      </c>
      <c r="B271" s="52">
        <v>680.12120000000004</v>
      </c>
      <c r="C271" s="52">
        <v>649.76549999999997</v>
      </c>
      <c r="D271" s="52">
        <v>672.55870000000004</v>
      </c>
      <c r="E271" s="52">
        <v>10843763</v>
      </c>
      <c r="F271" s="52" t="s">
        <v>334</v>
      </c>
      <c r="G271" s="25">
        <f t="shared" si="2"/>
        <v>-2.7646806144950631E-2</v>
      </c>
    </row>
    <row r="272" spans="1:13">
      <c r="A272" s="52">
        <v>667.09280000000001</v>
      </c>
      <c r="B272" s="52">
        <v>668.5204</v>
      </c>
      <c r="C272" s="52">
        <v>641.53689999999995</v>
      </c>
      <c r="D272" s="52">
        <v>656.94960000000003</v>
      </c>
      <c r="E272" s="52">
        <v>17534168</v>
      </c>
      <c r="F272" s="52" t="s">
        <v>335</v>
      </c>
      <c r="G272" s="25">
        <f t="shared" si="2"/>
        <v>1.5439845004852737E-2</v>
      </c>
    </row>
    <row r="273" spans="1:7">
      <c r="A273" s="52">
        <v>657.14930000000004</v>
      </c>
      <c r="B273" s="52">
        <v>687.50580000000002</v>
      </c>
      <c r="C273" s="52">
        <v>656.48040000000003</v>
      </c>
      <c r="D273" s="52">
        <v>681.31920000000002</v>
      </c>
      <c r="E273" s="52">
        <v>12500013</v>
      </c>
      <c r="F273" s="52" t="s">
        <v>336</v>
      </c>
      <c r="G273" s="25">
        <f t="shared" si="2"/>
        <v>-3.5475148799564149E-2</v>
      </c>
    </row>
    <row r="274" spans="1:7">
      <c r="A274" s="52">
        <v>672.58370000000002</v>
      </c>
      <c r="B274" s="52">
        <v>681.87609999999995</v>
      </c>
      <c r="C274" s="52">
        <v>656.90970000000004</v>
      </c>
      <c r="D274" s="52">
        <v>658.55700000000002</v>
      </c>
      <c r="E274" s="52">
        <v>14488705</v>
      </c>
      <c r="F274" s="52" t="s">
        <v>337</v>
      </c>
      <c r="G274" s="25">
        <f t="shared" si="2"/>
        <v>2.1299143430257406E-2</v>
      </c>
    </row>
    <row r="275" spans="1:7">
      <c r="A275" s="52">
        <v>656.41049999999996</v>
      </c>
      <c r="B275" s="52">
        <v>666.8931</v>
      </c>
      <c r="C275" s="52">
        <v>640.79639999999995</v>
      </c>
      <c r="D275" s="52">
        <v>664.86850000000004</v>
      </c>
      <c r="E275" s="52">
        <v>20579662</v>
      </c>
      <c r="F275" s="52" t="s">
        <v>338</v>
      </c>
      <c r="G275" s="25">
        <f t="shared" si="2"/>
        <v>-1.2721312560303399E-2</v>
      </c>
    </row>
    <row r="276" spans="1:7">
      <c r="A276" s="52">
        <v>667.02290000000005</v>
      </c>
      <c r="B276" s="52">
        <v>686.13120000000004</v>
      </c>
      <c r="C276" s="52">
        <v>661.35230000000001</v>
      </c>
      <c r="D276" s="52">
        <v>685.14279999999997</v>
      </c>
      <c r="E276" s="52">
        <v>15676994</v>
      </c>
      <c r="F276" s="52" t="s">
        <v>339</v>
      </c>
      <c r="G276" s="25">
        <f t="shared" si="2"/>
        <v>-2.6446895450116248E-2</v>
      </c>
    </row>
    <row r="277" spans="1:7">
      <c r="A277" s="52">
        <v>682.41740000000004</v>
      </c>
      <c r="B277" s="52">
        <v>702.70370000000003</v>
      </c>
      <c r="C277" s="52">
        <v>681.22929999999997</v>
      </c>
      <c r="D277" s="52">
        <v>695.42579999999998</v>
      </c>
      <c r="E277" s="52">
        <v>15660355</v>
      </c>
      <c r="F277" s="52" t="s">
        <v>340</v>
      </c>
      <c r="G277" s="25">
        <f t="shared" si="2"/>
        <v>-1.8705662056253791E-2</v>
      </c>
    </row>
    <row r="278" spans="1:7">
      <c r="A278" s="52">
        <v>693.68870000000004</v>
      </c>
      <c r="B278" s="52">
        <v>704.46079999999995</v>
      </c>
      <c r="C278" s="52">
        <v>692.49059999999997</v>
      </c>
      <c r="D278" s="52">
        <v>696.11959999999999</v>
      </c>
      <c r="E278" s="52">
        <v>12587408</v>
      </c>
      <c r="F278" s="52" t="s">
        <v>341</v>
      </c>
      <c r="G278" s="25">
        <f t="shared" si="2"/>
        <v>-3.4920723392933839E-3</v>
      </c>
    </row>
    <row r="279" spans="1:7">
      <c r="A279" s="52">
        <v>702.60389999999995</v>
      </c>
      <c r="B279" s="52">
        <v>705.82849999999996</v>
      </c>
      <c r="C279" s="52">
        <v>694.23770000000002</v>
      </c>
      <c r="D279" s="52">
        <v>702.92830000000004</v>
      </c>
      <c r="E279" s="52">
        <v>17535480</v>
      </c>
      <c r="F279" s="52" t="s">
        <v>342</v>
      </c>
      <c r="G279" s="25">
        <f t="shared" si="2"/>
        <v>-4.6149799346539844E-4</v>
      </c>
    </row>
    <row r="280" spans="1:7">
      <c r="A280" s="52">
        <v>715.18299999999999</v>
      </c>
      <c r="B280" s="52">
        <v>735.77880000000005</v>
      </c>
      <c r="C280" s="52">
        <v>705.26940000000002</v>
      </c>
      <c r="D280" s="52">
        <v>734.78049999999996</v>
      </c>
      <c r="E280" s="52">
        <v>21938703</v>
      </c>
      <c r="F280" s="52" t="s">
        <v>343</v>
      </c>
      <c r="G280" s="25">
        <f t="shared" si="2"/>
        <v>-2.6671230387850464E-2</v>
      </c>
    </row>
    <row r="281" spans="1:7">
      <c r="A281" s="52">
        <v>735.44929999999999</v>
      </c>
      <c r="B281" s="52">
        <v>739.68230000000005</v>
      </c>
      <c r="C281" s="52">
        <v>724.41759999999999</v>
      </c>
      <c r="D281" s="52">
        <v>724.93679999999995</v>
      </c>
      <c r="E281" s="52">
        <v>16901249</v>
      </c>
      <c r="F281" s="52" t="s">
        <v>344</v>
      </c>
      <c r="G281" s="25">
        <f t="shared" si="2"/>
        <v>1.4501264110195589E-2</v>
      </c>
    </row>
    <row r="282" spans="1:7">
      <c r="A282" s="52">
        <v>727.3528</v>
      </c>
      <c r="B282" s="52">
        <v>727.79200000000003</v>
      </c>
      <c r="C282" s="52">
        <v>716.85019999999997</v>
      </c>
      <c r="D282" s="52">
        <v>720.32410000000004</v>
      </c>
      <c r="E282" s="52">
        <v>12569064</v>
      </c>
      <c r="F282" s="52" t="s">
        <v>345</v>
      </c>
      <c r="G282" s="25">
        <f t="shared" si="2"/>
        <v>9.757691017140635E-3</v>
      </c>
    </row>
    <row r="283" spans="1:7">
      <c r="A283" s="52">
        <v>724.178</v>
      </c>
      <c r="B283" s="52">
        <v>725.89520000000005</v>
      </c>
      <c r="C283" s="52">
        <v>711.41920000000005</v>
      </c>
      <c r="D283" s="52">
        <v>714.11479999999995</v>
      </c>
      <c r="E283" s="52">
        <v>12016517</v>
      </c>
      <c r="F283" s="52" t="s">
        <v>346</v>
      </c>
      <c r="G283" s="25">
        <f t="shared" si="2"/>
        <v>1.4091851898322405E-2</v>
      </c>
    </row>
    <row r="284" spans="1:7">
      <c r="A284" s="52">
        <v>718.60730000000001</v>
      </c>
      <c r="B284" s="52">
        <v>722.46090000000004</v>
      </c>
      <c r="C284" s="52">
        <v>708.86350000000004</v>
      </c>
      <c r="D284" s="52">
        <v>712.13800000000003</v>
      </c>
      <c r="E284" s="52">
        <v>12997959</v>
      </c>
      <c r="F284" s="52" t="s">
        <v>347</v>
      </c>
      <c r="G284" s="25">
        <f t="shared" si="2"/>
        <v>9.0843347778097883E-3</v>
      </c>
    </row>
    <row r="285" spans="1:7">
      <c r="A285" s="52">
        <v>716.21130000000005</v>
      </c>
      <c r="B285" s="52">
        <v>720.005</v>
      </c>
      <c r="C285" s="52">
        <v>710.15129999999999</v>
      </c>
      <c r="D285" s="52">
        <v>717.36929999999995</v>
      </c>
      <c r="E285" s="52">
        <v>12904317</v>
      </c>
      <c r="F285" s="52" t="s">
        <v>348</v>
      </c>
      <c r="G285" s="25">
        <f t="shared" si="2"/>
        <v>-1.6142313310590906E-3</v>
      </c>
    </row>
    <row r="286" spans="1:7">
      <c r="A286" s="52">
        <v>713.33600000000001</v>
      </c>
      <c r="B286" s="52">
        <v>723.80870000000004</v>
      </c>
      <c r="C286" s="52">
        <v>710.57060000000001</v>
      </c>
      <c r="D286" s="52">
        <v>715.60730000000001</v>
      </c>
      <c r="E286" s="52">
        <v>16427067</v>
      </c>
      <c r="F286" s="52" t="s">
        <v>349</v>
      </c>
      <c r="G286" s="25">
        <f t="shared" si="2"/>
        <v>-3.1739474988586869E-3</v>
      </c>
    </row>
    <row r="287" spans="1:7">
      <c r="A287" s="52">
        <v>710.81020000000001</v>
      </c>
      <c r="B287" s="52">
        <v>717.7088</v>
      </c>
      <c r="C287" s="52">
        <v>702.33429999999998</v>
      </c>
      <c r="D287" s="52">
        <v>704.71040000000005</v>
      </c>
      <c r="E287" s="52">
        <v>13080690</v>
      </c>
      <c r="F287" s="52" t="s">
        <v>350</v>
      </c>
      <c r="G287" s="25">
        <f t="shared" si="2"/>
        <v>8.6557541934955129E-3</v>
      </c>
    </row>
    <row r="288" spans="1:7">
      <c r="A288" s="52">
        <v>703.702</v>
      </c>
      <c r="B288" s="52">
        <v>716.95</v>
      </c>
      <c r="C288" s="52">
        <v>697.85170000000005</v>
      </c>
      <c r="D288" s="52">
        <v>702.38419999999996</v>
      </c>
      <c r="E288" s="52">
        <v>17793766</v>
      </c>
      <c r="F288" s="52" t="s">
        <v>351</v>
      </c>
      <c r="G288" s="25">
        <f t="shared" si="2"/>
        <v>1.8761811555556562E-3</v>
      </c>
    </row>
    <row r="289" spans="1:7">
      <c r="A289" s="52">
        <v>703.02319999999997</v>
      </c>
      <c r="B289" s="52">
        <v>706.53729999999996</v>
      </c>
      <c r="C289" s="52">
        <v>690.46400000000006</v>
      </c>
      <c r="D289" s="52">
        <v>701.33600000000001</v>
      </c>
      <c r="E289" s="52">
        <v>13826270</v>
      </c>
      <c r="F289" s="52" t="s">
        <v>352</v>
      </c>
      <c r="G289" s="25">
        <f t="shared" si="2"/>
        <v>2.4056942749266508E-3</v>
      </c>
    </row>
    <row r="290" spans="1:7">
      <c r="A290" s="52">
        <v>696.30430000000001</v>
      </c>
      <c r="B290" s="52">
        <v>702.83349999999996</v>
      </c>
      <c r="C290" s="52">
        <v>674.13109999999995</v>
      </c>
      <c r="D290" s="52">
        <v>674.79</v>
      </c>
      <c r="E290" s="52">
        <v>21415739</v>
      </c>
      <c r="F290" s="52" t="s">
        <v>353</v>
      </c>
      <c r="G290" s="25">
        <f t="shared" si="2"/>
        <v>3.1882956178959532E-2</v>
      </c>
    </row>
    <row r="291" spans="1:7">
      <c r="A291" s="52">
        <v>688.03800000000001</v>
      </c>
      <c r="B291" s="52">
        <v>704.13120000000004</v>
      </c>
      <c r="C291" s="52">
        <v>684.44399999999996</v>
      </c>
      <c r="D291" s="52">
        <v>689.85500000000002</v>
      </c>
      <c r="E291" s="52">
        <v>19331660</v>
      </c>
      <c r="F291" s="52" t="s">
        <v>354</v>
      </c>
      <c r="G291" s="25">
        <f t="shared" si="2"/>
        <v>-2.6338868312906216E-3</v>
      </c>
    </row>
    <row r="292" spans="1:7">
      <c r="A292" s="52">
        <v>685.86159999999995</v>
      </c>
      <c r="B292" s="52">
        <v>709.61220000000003</v>
      </c>
      <c r="C292" s="52">
        <v>674.97969999999998</v>
      </c>
      <c r="D292" s="52">
        <v>695.66539999999998</v>
      </c>
      <c r="E292" s="52">
        <v>29322898</v>
      </c>
      <c r="F292" s="52" t="s">
        <v>355</v>
      </c>
      <c r="G292" s="25">
        <f t="shared" si="2"/>
        <v>-1.4092694562644614E-2</v>
      </c>
    </row>
    <row r="293" spans="1:7">
      <c r="A293" s="52">
        <v>675.3691</v>
      </c>
      <c r="B293" s="52">
        <v>679.91740000000004</v>
      </c>
      <c r="C293" s="52">
        <v>664.56700000000001</v>
      </c>
      <c r="D293" s="52">
        <v>673.88149999999996</v>
      </c>
      <c r="E293" s="52">
        <v>21377820</v>
      </c>
      <c r="F293" s="52" t="s">
        <v>356</v>
      </c>
      <c r="G293" s="25">
        <f t="shared" si="2"/>
        <v>2.2075097773126551E-3</v>
      </c>
    </row>
    <row r="294" spans="1:7">
      <c r="A294" s="52">
        <v>673.21259999999995</v>
      </c>
      <c r="B294" s="52">
        <v>681.44899999999996</v>
      </c>
      <c r="C294" s="52">
        <v>658.3723</v>
      </c>
      <c r="D294" s="52">
        <v>664.89639999999997</v>
      </c>
      <c r="E294" s="52">
        <v>20950107</v>
      </c>
      <c r="F294" s="52" t="s">
        <v>357</v>
      </c>
      <c r="G294" s="25">
        <f t="shared" si="2"/>
        <v>1.2507512448555858E-2</v>
      </c>
    </row>
    <row r="295" spans="1:7">
      <c r="A295" s="52">
        <v>658.78660000000002</v>
      </c>
      <c r="B295" s="52">
        <v>662.77</v>
      </c>
      <c r="C295" s="52">
        <v>624.06420000000003</v>
      </c>
      <c r="D295" s="52">
        <v>625.57169999999996</v>
      </c>
      <c r="E295" s="52">
        <v>28399190</v>
      </c>
      <c r="F295" s="52" t="s">
        <v>358</v>
      </c>
      <c r="G295" s="25">
        <f t="shared" si="2"/>
        <v>5.3095272692163187E-2</v>
      </c>
    </row>
    <row r="296" spans="1:7">
      <c r="A296" s="52">
        <v>646.4171</v>
      </c>
      <c r="B296" s="52">
        <v>650.91959999999995</v>
      </c>
      <c r="C296" s="52">
        <v>633.14909999999998</v>
      </c>
      <c r="D296" s="52">
        <v>635.34550000000002</v>
      </c>
      <c r="E296" s="52">
        <v>19065329</v>
      </c>
      <c r="F296" s="52" t="s">
        <v>359</v>
      </c>
      <c r="G296" s="25">
        <f t="shared" si="2"/>
        <v>1.7426109101268406E-2</v>
      </c>
    </row>
    <row r="297" spans="1:7">
      <c r="A297" s="52">
        <v>635.3954</v>
      </c>
      <c r="B297" s="52">
        <v>635.54520000000002</v>
      </c>
      <c r="C297" s="52">
        <v>620.12080000000003</v>
      </c>
      <c r="D297" s="52">
        <v>626.32050000000004</v>
      </c>
      <c r="E297" s="52">
        <v>9910163</v>
      </c>
      <c r="F297" s="52" t="s">
        <v>360</v>
      </c>
      <c r="G297" s="25">
        <f t="shared" si="2"/>
        <v>1.4489227160854545E-2</v>
      </c>
    </row>
    <row r="298" spans="1:7">
      <c r="A298" s="52">
        <v>622.46690000000001</v>
      </c>
      <c r="B298" s="52">
        <v>632.65</v>
      </c>
      <c r="C298" s="52">
        <v>618.40859999999998</v>
      </c>
      <c r="D298" s="52">
        <v>622.2672</v>
      </c>
      <c r="E298" s="52">
        <v>12274011</v>
      </c>
      <c r="F298" s="52" t="s">
        <v>361</v>
      </c>
      <c r="G298" s="25">
        <f t="shared" si="2"/>
        <v>3.2092323040644466E-4</v>
      </c>
    </row>
    <row r="299" spans="1:7">
      <c r="A299" s="52">
        <v>615.43849999999998</v>
      </c>
      <c r="B299" s="52">
        <v>620.47019999999998</v>
      </c>
      <c r="C299" s="52">
        <v>607.9991</v>
      </c>
      <c r="D299" s="52">
        <v>616.80129999999997</v>
      </c>
      <c r="E299" s="52">
        <v>11674016</v>
      </c>
      <c r="F299" s="52" t="s">
        <v>362</v>
      </c>
      <c r="G299" s="25">
        <f t="shared" si="2"/>
        <v>-2.2094635663056916E-3</v>
      </c>
    </row>
    <row r="300" spans="1:7">
      <c r="A300" s="52">
        <v>611.75459999999998</v>
      </c>
      <c r="B300" s="52">
        <v>623.93439999999998</v>
      </c>
      <c r="C300" s="52">
        <v>602.66970000000003</v>
      </c>
      <c r="D300" s="52">
        <v>623.01599999999996</v>
      </c>
      <c r="E300" s="52">
        <v>17280600</v>
      </c>
      <c r="F300" s="52" t="s">
        <v>363</v>
      </c>
      <c r="G300" s="25">
        <f t="shared" si="2"/>
        <v>-1.8075619245733643E-2</v>
      </c>
    </row>
    <row r="301" spans="1:7">
      <c r="A301" s="52">
        <v>610.28710000000001</v>
      </c>
      <c r="B301" s="52">
        <v>615.22889999999995</v>
      </c>
      <c r="C301" s="52">
        <v>608.69970000000001</v>
      </c>
      <c r="D301" s="52">
        <v>610.48670000000004</v>
      </c>
      <c r="E301" s="52">
        <v>8355349</v>
      </c>
      <c r="F301" s="52" t="s">
        <v>364</v>
      </c>
      <c r="G301" s="25">
        <f t="shared" si="2"/>
        <v>-3.269522497378885E-4</v>
      </c>
    </row>
    <row r="302" spans="1:7">
      <c r="A302" s="52">
        <v>616.09739999999999</v>
      </c>
      <c r="B302" s="52">
        <v>621.42859999999996</v>
      </c>
      <c r="C302" s="52">
        <v>605.495</v>
      </c>
      <c r="D302" s="52">
        <v>609.19889999999998</v>
      </c>
      <c r="E302" s="52">
        <v>15524302</v>
      </c>
      <c r="F302" s="52" t="s">
        <v>365</v>
      </c>
      <c r="G302" s="25">
        <f t="shared" si="2"/>
        <v>1.1323887813980082E-2</v>
      </c>
    </row>
    <row r="303" spans="1:7">
      <c r="A303" s="52">
        <v>593.26530000000002</v>
      </c>
      <c r="B303" s="52">
        <v>604.48670000000004</v>
      </c>
      <c r="C303" s="52">
        <v>587.57479999999998</v>
      </c>
      <c r="D303" s="52">
        <v>604.06240000000003</v>
      </c>
      <c r="E303" s="52">
        <v>13597992</v>
      </c>
      <c r="F303" s="52" t="s">
        <v>366</v>
      </c>
      <c r="G303" s="25">
        <f t="shared" si="2"/>
        <v>-1.7874146776889255E-2</v>
      </c>
    </row>
    <row r="304" spans="1:7">
      <c r="A304" s="52">
        <v>607.322</v>
      </c>
      <c r="B304" s="52">
        <v>607.96090000000004</v>
      </c>
      <c r="C304" s="52">
        <v>597.45339999999999</v>
      </c>
      <c r="D304" s="52">
        <v>606.09400000000005</v>
      </c>
      <c r="E304" s="52">
        <v>10785031</v>
      </c>
      <c r="F304" s="52" t="s">
        <v>367</v>
      </c>
      <c r="G304" s="25">
        <f t="shared" si="2"/>
        <v>2.0260883625311532E-3</v>
      </c>
    </row>
    <row r="305" spans="1:7">
      <c r="A305" s="52">
        <v>614.83950000000004</v>
      </c>
      <c r="B305" s="52">
        <v>628.86620000000005</v>
      </c>
      <c r="C305" s="52">
        <v>596.35019999999997</v>
      </c>
      <c r="D305" s="52">
        <v>609.01919999999996</v>
      </c>
      <c r="E305" s="52">
        <v>19256564</v>
      </c>
      <c r="F305" s="52" t="s">
        <v>368</v>
      </c>
      <c r="G305" s="25">
        <f t="shared" si="2"/>
        <v>9.5568415577047539E-3</v>
      </c>
    </row>
    <row r="306" spans="1:7">
      <c r="A306" s="52">
        <v>609.70799999999997</v>
      </c>
      <c r="B306" s="52">
        <v>615.41830000000004</v>
      </c>
      <c r="C306" s="52">
        <v>601.7912</v>
      </c>
      <c r="D306" s="52">
        <v>612.37860000000001</v>
      </c>
      <c r="E306" s="52">
        <v>10085846</v>
      </c>
      <c r="F306" s="52" t="s">
        <v>369</v>
      </c>
      <c r="G306" s="25">
        <f t="shared" si="2"/>
        <v>-4.3610276387843205E-3</v>
      </c>
    </row>
    <row r="307" spans="1:7">
      <c r="A307" s="52">
        <v>616.86620000000005</v>
      </c>
      <c r="B307" s="52">
        <v>631.05370000000005</v>
      </c>
      <c r="C307" s="52">
        <v>607.22220000000004</v>
      </c>
      <c r="D307" s="52">
        <v>630.65329999999994</v>
      </c>
      <c r="E307" s="52">
        <v>12071479</v>
      </c>
      <c r="F307" s="52" t="s">
        <v>370</v>
      </c>
      <c r="G307" s="25">
        <f t="shared" si="2"/>
        <v>-2.1861615565953452E-2</v>
      </c>
    </row>
    <row r="308" spans="1:7">
      <c r="A308" s="52">
        <v>629.1558</v>
      </c>
      <c r="B308" s="52">
        <v>629.94449999999995</v>
      </c>
      <c r="C308" s="52">
        <v>604.61649999999997</v>
      </c>
      <c r="D308" s="52">
        <v>610.81119999999999</v>
      </c>
      <c r="E308" s="52">
        <v>14560754</v>
      </c>
      <c r="F308" s="52" t="s">
        <v>371</v>
      </c>
      <c r="G308" s="25">
        <f t="shared" si="2"/>
        <v>3.0033175554082803E-2</v>
      </c>
    </row>
    <row r="309" spans="1:7">
      <c r="A309" s="52">
        <v>603.62810000000002</v>
      </c>
      <c r="B309" s="52">
        <v>608.49009999999998</v>
      </c>
      <c r="C309" s="52">
        <v>595.42529999999999</v>
      </c>
      <c r="D309" s="52">
        <v>603.75789999999995</v>
      </c>
      <c r="E309" s="52">
        <v>11436784</v>
      </c>
      <c r="F309" s="52" t="s">
        <v>372</v>
      </c>
      <c r="G309" s="25">
        <f t="shared" si="2"/>
        <v>-2.1498683495480009E-4</v>
      </c>
    </row>
    <row r="310" spans="1:7">
      <c r="A310" s="52">
        <v>598.24710000000005</v>
      </c>
      <c r="B310" s="52">
        <v>603.90769999999998</v>
      </c>
      <c r="C310" s="52">
        <v>586.846</v>
      </c>
      <c r="D310" s="52">
        <v>588.74279999999999</v>
      </c>
      <c r="E310" s="52">
        <v>12682269</v>
      </c>
      <c r="F310" s="52" t="s">
        <v>373</v>
      </c>
      <c r="G310" s="25">
        <f t="shared" si="2"/>
        <v>1.6143382135628714E-2</v>
      </c>
    </row>
    <row r="311" spans="1:7">
      <c r="A311" s="52">
        <v>584.53980000000001</v>
      </c>
      <c r="B311" s="52">
        <v>592.98580000000004</v>
      </c>
      <c r="C311" s="52">
        <v>582.88260000000002</v>
      </c>
      <c r="D311" s="52">
        <v>591.28359999999998</v>
      </c>
      <c r="E311" s="52">
        <v>6019520</v>
      </c>
      <c r="F311" s="52" t="s">
        <v>374</v>
      </c>
      <c r="G311" s="25">
        <f t="shared" si="2"/>
        <v>-1.1405356076170547E-2</v>
      </c>
    </row>
    <row r="312" spans="1:7">
      <c r="A312" s="52">
        <v>590.26030000000003</v>
      </c>
      <c r="B312" s="52">
        <v>595.95079999999996</v>
      </c>
      <c r="C312" s="52">
        <v>584.60969999999998</v>
      </c>
      <c r="D312" s="52">
        <v>587.77440000000001</v>
      </c>
      <c r="E312" s="52">
        <v>7025864</v>
      </c>
      <c r="F312" s="52" t="s">
        <v>375</v>
      </c>
      <c r="G312" s="25">
        <f t="shared" si="2"/>
        <v>4.229343775435046E-3</v>
      </c>
    </row>
    <row r="313" spans="1:7">
      <c r="A313" s="52">
        <v>598.81610000000001</v>
      </c>
      <c r="B313" s="52">
        <v>600.85270000000003</v>
      </c>
      <c r="C313" s="52">
        <v>588.82270000000005</v>
      </c>
      <c r="D313" s="52">
        <v>598.41679999999997</v>
      </c>
      <c r="E313" s="52">
        <v>8084229</v>
      </c>
      <c r="F313" s="52" t="s">
        <v>376</v>
      </c>
      <c r="G313" s="25">
        <f t="shared" si="2"/>
        <v>6.6726067851052839E-4</v>
      </c>
    </row>
    <row r="314" spans="1:7">
      <c r="A314" s="52">
        <v>602.35029999999995</v>
      </c>
      <c r="B314" s="52">
        <v>605.29539999999997</v>
      </c>
      <c r="C314" s="52">
        <v>597.94759999999997</v>
      </c>
      <c r="D314" s="52">
        <v>604.47670000000005</v>
      </c>
      <c r="E314" s="52">
        <v>6091239</v>
      </c>
      <c r="F314" s="52" t="s">
        <v>377</v>
      </c>
      <c r="G314" s="25">
        <f t="shared" si="2"/>
        <v>-3.5177534551787959E-3</v>
      </c>
    </row>
    <row r="315" spans="1:7">
      <c r="A315" s="52">
        <v>606.74300000000005</v>
      </c>
      <c r="B315" s="52">
        <v>606.98260000000005</v>
      </c>
      <c r="C315" s="52">
        <v>598.29190000000006</v>
      </c>
      <c r="D315" s="52">
        <v>601.71630000000005</v>
      </c>
      <c r="E315" s="52">
        <v>4726056</v>
      </c>
      <c r="F315" s="52" t="s">
        <v>378</v>
      </c>
      <c r="G315" s="25">
        <f t="shared" si="2"/>
        <v>8.3539368968399419E-3</v>
      </c>
    </row>
    <row r="316" spans="1:7">
      <c r="A316" s="52">
        <v>598.85609999999997</v>
      </c>
      <c r="B316" s="52">
        <v>600.09400000000005</v>
      </c>
      <c r="C316" s="52">
        <v>585.27859999999998</v>
      </c>
      <c r="D316" s="52">
        <v>588.62300000000005</v>
      </c>
      <c r="E316" s="52">
        <v>10205750</v>
      </c>
      <c r="F316" s="52" t="s">
        <v>379</v>
      </c>
      <c r="G316" s="25">
        <f t="shared" si="2"/>
        <v>1.7384811670627665E-2</v>
      </c>
    </row>
    <row r="317" spans="1:7">
      <c r="A317" s="52">
        <v>584.28020000000004</v>
      </c>
      <c r="B317" s="52">
        <v>602.11059999999998</v>
      </c>
      <c r="C317" s="52">
        <v>579.03890000000001</v>
      </c>
      <c r="D317" s="52">
        <v>589.60140000000001</v>
      </c>
      <c r="E317" s="52">
        <v>48989390</v>
      </c>
      <c r="F317" s="52" t="s">
        <v>380</v>
      </c>
      <c r="G317" s="25">
        <f t="shared" si="2"/>
        <v>-9.0250803339340102E-3</v>
      </c>
    </row>
    <row r="318" spans="1:7">
      <c r="A318" s="52">
        <v>594.58309999999994</v>
      </c>
      <c r="B318" s="52">
        <v>610.50670000000002</v>
      </c>
      <c r="C318" s="52">
        <v>594.01409999999998</v>
      </c>
      <c r="D318" s="52">
        <v>609.37860000000001</v>
      </c>
      <c r="E318" s="52">
        <v>14958082</v>
      </c>
      <c r="F318" s="52" t="s">
        <v>381</v>
      </c>
      <c r="G318" s="25">
        <f t="shared" si="2"/>
        <v>-2.4279651435084926E-2</v>
      </c>
    </row>
    <row r="319" spans="1:7">
      <c r="A319" s="52">
        <v>596.20050000000003</v>
      </c>
      <c r="B319" s="52">
        <v>626.32050000000004</v>
      </c>
      <c r="C319" s="52">
        <v>595.33190000000002</v>
      </c>
      <c r="D319" s="52">
        <v>619.971</v>
      </c>
      <c r="E319" s="52">
        <v>17075480</v>
      </c>
      <c r="F319" s="52" t="s">
        <v>382</v>
      </c>
      <c r="G319" s="25">
        <f t="shared" si="2"/>
        <v>-3.8341309512864297E-2</v>
      </c>
    </row>
    <row r="320" spans="1:7">
      <c r="A320" s="52">
        <v>618.41359999999997</v>
      </c>
      <c r="B320" s="52">
        <v>631.32219999999995</v>
      </c>
      <c r="C320" s="52">
        <v>615.51840000000004</v>
      </c>
      <c r="D320" s="52">
        <v>625.13239999999996</v>
      </c>
      <c r="E320" s="52">
        <v>12897842</v>
      </c>
      <c r="F320" s="52" t="s">
        <v>383</v>
      </c>
      <c r="G320" s="25">
        <f t="shared" si="2"/>
        <v>-1.0747803185373161E-2</v>
      </c>
    </row>
    <row r="321" spans="1:7">
      <c r="A321" s="52">
        <v>623.2056</v>
      </c>
      <c r="B321" s="52">
        <v>630.10419999999999</v>
      </c>
      <c r="C321" s="52">
        <v>617.55499999999995</v>
      </c>
      <c r="D321" s="52">
        <v>628.93110000000001</v>
      </c>
      <c r="E321" s="52">
        <v>10885625</v>
      </c>
      <c r="F321" s="52" t="s">
        <v>384</v>
      </c>
      <c r="G321" s="25">
        <f t="shared" si="2"/>
        <v>-9.1035409125101996E-3</v>
      </c>
    </row>
    <row r="322" spans="1:7">
      <c r="A322" s="52">
        <v>618.8229</v>
      </c>
      <c r="B322" s="52">
        <v>629.52650000000006</v>
      </c>
      <c r="C322" s="52">
        <v>615.36739999999998</v>
      </c>
      <c r="D322" s="52">
        <v>625.67600000000004</v>
      </c>
      <c r="E322" s="52">
        <v>8453349</v>
      </c>
      <c r="F322" s="52" t="s">
        <v>385</v>
      </c>
      <c r="G322" s="25">
        <f t="shared" si="2"/>
        <v>-1.0953113112857182E-2</v>
      </c>
    </row>
    <row r="323" spans="1:7">
      <c r="A323" s="52">
        <v>629.23720000000003</v>
      </c>
      <c r="B323" s="52">
        <v>635.09270000000004</v>
      </c>
      <c r="C323" s="52">
        <v>625.66539999999998</v>
      </c>
      <c r="D323" s="52">
        <v>629.94550000000004</v>
      </c>
      <c r="E323" s="52">
        <v>7474717</v>
      </c>
      <c r="F323" s="52" t="s">
        <v>386</v>
      </c>
      <c r="G323" s="25">
        <f t="shared" si="2"/>
        <v>-1.124382982337413E-3</v>
      </c>
    </row>
    <row r="324" spans="1:7">
      <c r="A324" s="52">
        <v>631.12260000000003</v>
      </c>
      <c r="B324" s="52">
        <v>636.82849999999996</v>
      </c>
      <c r="C324" s="52">
        <v>620.00490000000002</v>
      </c>
      <c r="D324" s="52">
        <v>621.83550000000002</v>
      </c>
      <c r="E324" s="52">
        <v>10837228</v>
      </c>
      <c r="F324" s="52" t="s">
        <v>387</v>
      </c>
      <c r="G324" s="25">
        <f t="shared" ref="G324:G387" si="3">A324/D324-1</f>
        <v>1.4934978784582054E-2</v>
      </c>
    </row>
    <row r="325" spans="1:7">
      <c r="A325" s="52">
        <v>617.79539999999997</v>
      </c>
      <c r="B325" s="52">
        <v>624.04999999999995</v>
      </c>
      <c r="C325" s="52">
        <v>611.23159999999996</v>
      </c>
      <c r="D325" s="52">
        <v>616.03980000000001</v>
      </c>
      <c r="E325" s="52">
        <v>10938854</v>
      </c>
      <c r="F325" s="52" t="s">
        <v>388</v>
      </c>
      <c r="G325" s="25">
        <f t="shared" si="3"/>
        <v>2.8498158722860545E-3</v>
      </c>
    </row>
    <row r="326" spans="1:7">
      <c r="A326" s="52">
        <v>612.05960000000005</v>
      </c>
      <c r="B326" s="52">
        <v>624.85799999999995</v>
      </c>
      <c r="C326" s="52">
        <v>604.67790000000002</v>
      </c>
      <c r="D326" s="52">
        <v>622.38909999999998</v>
      </c>
      <c r="E326" s="52">
        <v>11426015</v>
      </c>
      <c r="F326" s="52" t="s">
        <v>389</v>
      </c>
      <c r="G326" s="25">
        <f t="shared" si="3"/>
        <v>-1.6596531012512794E-2</v>
      </c>
    </row>
    <row r="327" spans="1:7">
      <c r="A327" s="52">
        <v>622.23450000000003</v>
      </c>
      <c r="B327" s="52">
        <v>628.2396</v>
      </c>
      <c r="C327" s="52">
        <v>607.03200000000004</v>
      </c>
      <c r="D327" s="52">
        <v>608.59810000000004</v>
      </c>
      <c r="E327" s="52">
        <v>16935503</v>
      </c>
      <c r="F327" s="52" t="s">
        <v>390</v>
      </c>
      <c r="G327" s="25">
        <f t="shared" si="3"/>
        <v>2.2406248064198664E-2</v>
      </c>
    </row>
    <row r="328" spans="1:7">
      <c r="A328" s="52">
        <v>607.43100000000004</v>
      </c>
      <c r="B328" s="52">
        <v>618.37400000000002</v>
      </c>
      <c r="C328" s="52">
        <v>605.5557</v>
      </c>
      <c r="D328" s="52">
        <v>615.55600000000004</v>
      </c>
      <c r="E328" s="52">
        <v>8081212</v>
      </c>
      <c r="F328" s="52" t="s">
        <v>391</v>
      </c>
      <c r="G328" s="25">
        <f t="shared" si="3"/>
        <v>-1.3199448953466475E-2</v>
      </c>
    </row>
    <row r="329" spans="1:7">
      <c r="A329" s="52">
        <v>612.26909999999998</v>
      </c>
      <c r="B329" s="52">
        <v>616.25919999999996</v>
      </c>
      <c r="C329" s="52">
        <v>603.6105</v>
      </c>
      <c r="D329" s="52">
        <v>611.4511</v>
      </c>
      <c r="E329" s="52">
        <v>14697006</v>
      </c>
      <c r="F329" s="52" t="s">
        <v>392</v>
      </c>
      <c r="G329" s="25">
        <f t="shared" si="3"/>
        <v>1.3378011749427543E-3</v>
      </c>
    </row>
    <row r="330" spans="1:7">
      <c r="A330" s="52">
        <v>612.13940000000002</v>
      </c>
      <c r="B330" s="52">
        <v>612.68799999999999</v>
      </c>
      <c r="C330" s="52">
        <v>589.79459999999995</v>
      </c>
      <c r="D330" s="52">
        <v>593.53530000000001</v>
      </c>
      <c r="E330" s="52">
        <v>14907164</v>
      </c>
      <c r="F330" s="52" t="s">
        <v>393</v>
      </c>
      <c r="G330" s="25">
        <f t="shared" si="3"/>
        <v>3.1344555243807859E-2</v>
      </c>
    </row>
    <row r="331" spans="1:7">
      <c r="A331" s="52">
        <v>591.37070000000006</v>
      </c>
      <c r="B331" s="52">
        <v>593.03650000000005</v>
      </c>
      <c r="C331" s="52">
        <v>574.15309999999999</v>
      </c>
      <c r="D331" s="52">
        <v>576.07839999999999</v>
      </c>
      <c r="E331" s="52">
        <v>12522371</v>
      </c>
      <c r="F331" s="52" t="s">
        <v>394</v>
      </c>
      <c r="G331" s="25">
        <f t="shared" si="3"/>
        <v>2.6545518804385049E-2</v>
      </c>
    </row>
    <row r="332" spans="1:7">
      <c r="A332" s="52">
        <v>572.90620000000001</v>
      </c>
      <c r="B332" s="52">
        <v>577.03599999999994</v>
      </c>
      <c r="C332" s="52">
        <v>565.50450000000001</v>
      </c>
      <c r="D332" s="52">
        <v>567.59929999999997</v>
      </c>
      <c r="E332" s="52">
        <v>7130519</v>
      </c>
      <c r="F332" s="52" t="s">
        <v>395</v>
      </c>
      <c r="G332" s="25">
        <f t="shared" si="3"/>
        <v>9.3497296420204101E-3</v>
      </c>
    </row>
    <row r="333" spans="1:7">
      <c r="A333" s="52">
        <v>567.79880000000003</v>
      </c>
      <c r="B333" s="52">
        <v>573.56460000000004</v>
      </c>
      <c r="C333" s="52">
        <v>562.7115</v>
      </c>
      <c r="D333" s="52">
        <v>573.47479999999996</v>
      </c>
      <c r="E333" s="52">
        <v>7200228</v>
      </c>
      <c r="F333" s="52" t="s">
        <v>396</v>
      </c>
      <c r="G333" s="25">
        <f t="shared" si="3"/>
        <v>-9.8975578351480076E-3</v>
      </c>
    </row>
    <row r="334" spans="1:7">
      <c r="A334" s="52">
        <v>572.12810000000002</v>
      </c>
      <c r="B334" s="52">
        <v>576.07839999999999</v>
      </c>
      <c r="C334" s="52">
        <v>563.80870000000004</v>
      </c>
      <c r="D334" s="52">
        <v>564.60670000000005</v>
      </c>
      <c r="E334" s="52">
        <v>10356550</v>
      </c>
      <c r="F334" s="52" t="s">
        <v>397</v>
      </c>
      <c r="G334" s="25">
        <f t="shared" si="3"/>
        <v>1.3321485557999946E-2</v>
      </c>
    </row>
    <row r="335" spans="1:7">
      <c r="A335" s="52">
        <v>563.71889999999996</v>
      </c>
      <c r="B335" s="52">
        <v>571.18200000000002</v>
      </c>
      <c r="C335" s="52">
        <v>555.0204</v>
      </c>
      <c r="D335" s="52">
        <v>560.71630000000005</v>
      </c>
      <c r="E335" s="52">
        <v>13599830</v>
      </c>
      <c r="F335" s="52" t="s">
        <v>398</v>
      </c>
      <c r="G335" s="25">
        <f t="shared" si="3"/>
        <v>5.3549361771718651E-3</v>
      </c>
    </row>
    <row r="336" spans="1:7">
      <c r="A336" s="52">
        <v>557.7636</v>
      </c>
      <c r="B336" s="52">
        <v>562.43939999999998</v>
      </c>
      <c r="C336" s="52">
        <v>553.22479999999996</v>
      </c>
      <c r="D336" s="52">
        <v>562.16269999999997</v>
      </c>
      <c r="E336" s="52">
        <v>9164004</v>
      </c>
      <c r="F336" s="52" t="s">
        <v>399</v>
      </c>
      <c r="G336" s="25">
        <f t="shared" si="3"/>
        <v>-7.8253146286653141E-3</v>
      </c>
    </row>
    <row r="337" spans="1:7">
      <c r="A337" s="52">
        <v>561.70389999999998</v>
      </c>
      <c r="B337" s="52">
        <v>568.59690000000001</v>
      </c>
      <c r="C337" s="52">
        <v>547.69839999999999</v>
      </c>
      <c r="D337" s="52">
        <v>568.11800000000005</v>
      </c>
      <c r="E337" s="52">
        <v>11154749</v>
      </c>
      <c r="F337" s="52" t="s">
        <v>400</v>
      </c>
      <c r="G337" s="25">
        <f t="shared" si="3"/>
        <v>-1.1290084102246523E-2</v>
      </c>
    </row>
    <row r="338" spans="1:7">
      <c r="A338" s="52">
        <v>564.12789999999995</v>
      </c>
      <c r="B338" s="52">
        <v>564.95569999999998</v>
      </c>
      <c r="C338" s="52">
        <v>552.83579999999995</v>
      </c>
      <c r="D338" s="52">
        <v>561.54430000000002</v>
      </c>
      <c r="E338" s="52">
        <v>9797339</v>
      </c>
      <c r="F338" s="52" t="s">
        <v>401</v>
      </c>
      <c r="G338" s="25">
        <f t="shared" si="3"/>
        <v>4.6008836702642331E-3</v>
      </c>
    </row>
    <row r="339" spans="1:7">
      <c r="A339" s="52">
        <v>559.7088</v>
      </c>
      <c r="B339" s="52">
        <v>560.048</v>
      </c>
      <c r="C339" s="52">
        <v>549.24459999999999</v>
      </c>
      <c r="D339" s="52">
        <v>550.50149999999996</v>
      </c>
      <c r="E339" s="52">
        <v>9522445</v>
      </c>
      <c r="F339" s="52" t="s">
        <v>402</v>
      </c>
      <c r="G339" s="25">
        <f t="shared" si="3"/>
        <v>1.6725295026444043E-2</v>
      </c>
    </row>
    <row r="340" spans="1:7">
      <c r="A340" s="52">
        <v>553.03530000000001</v>
      </c>
      <c r="B340" s="52">
        <v>558.52170000000001</v>
      </c>
      <c r="C340" s="52">
        <v>548.73590000000002</v>
      </c>
      <c r="D340" s="52">
        <v>555.66880000000003</v>
      </c>
      <c r="E340" s="52">
        <v>14346715</v>
      </c>
      <c r="F340" s="52" t="s">
        <v>403</v>
      </c>
      <c r="G340" s="25">
        <f t="shared" si="3"/>
        <v>-4.7393339341709195E-3</v>
      </c>
    </row>
    <row r="341" spans="1:7">
      <c r="A341" s="52">
        <v>552.71600000000001</v>
      </c>
      <c r="B341" s="52">
        <v>571.16049999999996</v>
      </c>
      <c r="C341" s="52">
        <v>550.14239999999995</v>
      </c>
      <c r="D341" s="52">
        <v>569.81389999999999</v>
      </c>
      <c r="E341" s="52">
        <v>17712864</v>
      </c>
      <c r="F341" s="52" t="s">
        <v>404</v>
      </c>
      <c r="G341" s="25">
        <f t="shared" si="3"/>
        <v>-3.0006112522000583E-2</v>
      </c>
    </row>
    <row r="342" spans="1:7">
      <c r="A342" s="52">
        <v>575.73919999999998</v>
      </c>
      <c r="B342" s="52">
        <v>579.33040000000005</v>
      </c>
      <c r="C342" s="52">
        <v>571.59939999999995</v>
      </c>
      <c r="D342" s="52">
        <v>575.57960000000003</v>
      </c>
      <c r="E342" s="52">
        <v>11053743</v>
      </c>
      <c r="F342" s="52" t="s">
        <v>405</v>
      </c>
      <c r="G342" s="25">
        <f t="shared" si="3"/>
        <v>2.7728571339213914E-4</v>
      </c>
    </row>
    <row r="343" spans="1:7">
      <c r="A343" s="52">
        <v>578.57219999999995</v>
      </c>
      <c r="B343" s="52">
        <v>584.19839999999999</v>
      </c>
      <c r="C343" s="52">
        <v>573.75409999999999</v>
      </c>
      <c r="D343" s="52">
        <v>581.17079999999999</v>
      </c>
      <c r="E343" s="52">
        <v>10757583</v>
      </c>
      <c r="F343" s="52" t="s">
        <v>406</v>
      </c>
      <c r="G343" s="25">
        <f t="shared" si="3"/>
        <v>-4.471318930682755E-3</v>
      </c>
    </row>
    <row r="344" spans="1:7">
      <c r="A344" s="52">
        <v>583.38040000000001</v>
      </c>
      <c r="B344" s="52">
        <v>598.18380000000002</v>
      </c>
      <c r="C344" s="52">
        <v>578.95129999999995</v>
      </c>
      <c r="D344" s="52">
        <v>587.09619999999995</v>
      </c>
      <c r="E344" s="52">
        <v>16287724</v>
      </c>
      <c r="F344" s="52" t="s">
        <v>407</v>
      </c>
      <c r="G344" s="25">
        <f t="shared" si="3"/>
        <v>-6.3291160801244306E-3</v>
      </c>
    </row>
    <row r="345" spans="1:7">
      <c r="A345" s="52">
        <v>581.73440000000005</v>
      </c>
      <c r="B345" s="52">
        <v>585.55499999999995</v>
      </c>
      <c r="C345" s="52">
        <v>575.09079999999994</v>
      </c>
      <c r="D345" s="52">
        <v>584.91660000000002</v>
      </c>
      <c r="E345" s="52">
        <v>10209051</v>
      </c>
      <c r="F345" s="52" t="s">
        <v>408</v>
      </c>
      <c r="G345" s="25">
        <f t="shared" si="3"/>
        <v>-5.4404337302104144E-3</v>
      </c>
    </row>
    <row r="346" spans="1:7">
      <c r="A346" s="52">
        <v>587.88919999999996</v>
      </c>
      <c r="B346" s="52">
        <v>591.64</v>
      </c>
      <c r="C346" s="52">
        <v>583.08109999999999</v>
      </c>
      <c r="D346" s="52">
        <v>590.0838</v>
      </c>
      <c r="E346" s="52">
        <v>9415699</v>
      </c>
      <c r="F346" s="52" t="s">
        <v>409</v>
      </c>
      <c r="G346" s="25">
        <f t="shared" si="3"/>
        <v>-3.7191327740230262E-3</v>
      </c>
    </row>
    <row r="347" spans="1:7">
      <c r="A347" s="52">
        <v>590.24339999999995</v>
      </c>
      <c r="B347" s="52">
        <v>593.33569999999997</v>
      </c>
      <c r="C347" s="52">
        <v>573.79399999999998</v>
      </c>
      <c r="D347" s="52">
        <v>575.46990000000005</v>
      </c>
      <c r="E347" s="52">
        <v>14653708</v>
      </c>
      <c r="F347" s="52" t="s">
        <v>410</v>
      </c>
      <c r="G347" s="25">
        <f t="shared" si="3"/>
        <v>2.5672063821235325E-2</v>
      </c>
    </row>
    <row r="348" spans="1:7">
      <c r="A348" s="52">
        <v>570.64179999999999</v>
      </c>
      <c r="B348" s="52">
        <v>571.58950000000004</v>
      </c>
      <c r="C348" s="52">
        <v>553.80129999999997</v>
      </c>
      <c r="D348" s="52">
        <v>561.36469999999997</v>
      </c>
      <c r="E348" s="52">
        <v>18305429</v>
      </c>
      <c r="F348" s="52" t="s">
        <v>411</v>
      </c>
      <c r="G348" s="25">
        <f t="shared" si="3"/>
        <v>1.6525976784788954E-2</v>
      </c>
    </row>
    <row r="349" spans="1:7">
      <c r="A349" s="52">
        <v>571.02089999999998</v>
      </c>
      <c r="B349" s="52">
        <v>572.06830000000002</v>
      </c>
      <c r="C349" s="52">
        <v>565.27509999999995</v>
      </c>
      <c r="D349" s="52">
        <v>565.9085</v>
      </c>
      <c r="E349" s="52">
        <v>9775379</v>
      </c>
      <c r="F349" s="52" t="s">
        <v>412</v>
      </c>
      <c r="G349" s="25">
        <f t="shared" si="3"/>
        <v>9.0339692724177301E-3</v>
      </c>
    </row>
    <row r="350" spans="1:7">
      <c r="A350" s="52">
        <v>559.2998</v>
      </c>
      <c r="B350" s="52">
        <v>567.29010000000005</v>
      </c>
      <c r="C350" s="52">
        <v>556.51670000000001</v>
      </c>
      <c r="D350" s="52">
        <v>562.71140000000003</v>
      </c>
      <c r="E350" s="52">
        <v>12064601</v>
      </c>
      <c r="F350" s="52" t="s">
        <v>413</v>
      </c>
      <c r="G350" s="25">
        <f t="shared" si="3"/>
        <v>-6.0627881361564606E-3</v>
      </c>
    </row>
    <row r="351" spans="1:7">
      <c r="A351" s="52">
        <v>565.76379999999995</v>
      </c>
      <c r="B351" s="52">
        <v>572.25779999999997</v>
      </c>
      <c r="C351" s="52">
        <v>561.17520000000002</v>
      </c>
      <c r="D351" s="52">
        <v>566.20780000000002</v>
      </c>
      <c r="E351" s="52">
        <v>15303235</v>
      </c>
      <c r="F351" s="52" t="s">
        <v>414</v>
      </c>
      <c r="G351" s="25">
        <f t="shared" si="3"/>
        <v>-7.8416440041995106E-4</v>
      </c>
    </row>
    <row r="352" spans="1:7">
      <c r="A352" s="52">
        <v>566.18280000000004</v>
      </c>
      <c r="B352" s="52">
        <v>588.4479</v>
      </c>
      <c r="C352" s="52">
        <v>561.6241</v>
      </c>
      <c r="D352" s="52">
        <v>583.55989999999997</v>
      </c>
      <c r="E352" s="52">
        <v>26838395</v>
      </c>
      <c r="F352" s="52" t="s">
        <v>415</v>
      </c>
      <c r="G352" s="25">
        <f t="shared" si="3"/>
        <v>-2.9777748608154742E-2</v>
      </c>
    </row>
    <row r="353" spans="1:7">
      <c r="A353" s="52">
        <v>590.34320000000002</v>
      </c>
      <c r="B353" s="52">
        <v>599.7201</v>
      </c>
      <c r="C353" s="52">
        <v>587.92909999999995</v>
      </c>
      <c r="D353" s="52">
        <v>599.50059999999996</v>
      </c>
      <c r="E353" s="52">
        <v>26864925</v>
      </c>
      <c r="F353" s="52" t="s">
        <v>416</v>
      </c>
      <c r="G353" s="25">
        <f t="shared" si="3"/>
        <v>-1.5275047264339592E-2</v>
      </c>
    </row>
    <row r="354" spans="1:7">
      <c r="A354" s="52">
        <v>591.81949999999995</v>
      </c>
      <c r="B354" s="52">
        <v>592.20860000000005</v>
      </c>
      <c r="C354" s="52">
        <v>573.98159999999996</v>
      </c>
      <c r="D354" s="52">
        <v>578.71690000000001</v>
      </c>
      <c r="E354" s="52">
        <v>13019092</v>
      </c>
      <c r="F354" s="52" t="s">
        <v>417</v>
      </c>
      <c r="G354" s="25">
        <f t="shared" si="3"/>
        <v>2.2640776517844907E-2</v>
      </c>
    </row>
    <row r="355" spans="1:7">
      <c r="A355" s="52">
        <v>576.73680000000002</v>
      </c>
      <c r="B355" s="52">
        <v>582.31290000000001</v>
      </c>
      <c r="C355" s="52">
        <v>572.70669999999996</v>
      </c>
      <c r="D355" s="52">
        <v>580.56730000000005</v>
      </c>
      <c r="E355" s="52">
        <v>10925131</v>
      </c>
      <c r="F355" s="52" t="s">
        <v>418</v>
      </c>
      <c r="G355" s="25">
        <f t="shared" si="3"/>
        <v>-6.5978569581855995E-3</v>
      </c>
    </row>
    <row r="356" spans="1:7">
      <c r="A356" s="52">
        <v>571.83889999999997</v>
      </c>
      <c r="B356" s="52">
        <v>579.85910000000001</v>
      </c>
      <c r="C356" s="52">
        <v>570.31259999999997</v>
      </c>
      <c r="D356" s="52">
        <v>572.5222</v>
      </c>
      <c r="E356" s="52">
        <v>11337874</v>
      </c>
      <c r="F356" s="52" t="s">
        <v>419</v>
      </c>
      <c r="G356" s="25">
        <f t="shared" si="3"/>
        <v>-1.1934908375605957E-3</v>
      </c>
    </row>
    <row r="357" spans="1:7">
      <c r="A357" s="52">
        <v>566.38229999999999</v>
      </c>
      <c r="B357" s="52">
        <v>567.47950000000003</v>
      </c>
      <c r="C357" s="52">
        <v>560.1377</v>
      </c>
      <c r="D357" s="52">
        <v>565.72889999999995</v>
      </c>
      <c r="E357" s="52">
        <v>7184651</v>
      </c>
      <c r="F357" s="52" t="s">
        <v>420</v>
      </c>
      <c r="G357" s="25">
        <f t="shared" si="3"/>
        <v>1.1549701632709297E-3</v>
      </c>
    </row>
    <row r="358" spans="1:7">
      <c r="A358" s="52">
        <v>562.30240000000003</v>
      </c>
      <c r="B358" s="52">
        <v>583.55989999999997</v>
      </c>
      <c r="C358" s="52">
        <v>561.11530000000005</v>
      </c>
      <c r="D358" s="52">
        <v>578.54229999999995</v>
      </c>
      <c r="E358" s="52">
        <v>14248419</v>
      </c>
      <c r="F358" s="52" t="s">
        <v>421</v>
      </c>
      <c r="G358" s="25">
        <f t="shared" si="3"/>
        <v>-2.8070376185111989E-2</v>
      </c>
    </row>
    <row r="359" spans="1:7">
      <c r="A359" s="52">
        <v>580.57730000000004</v>
      </c>
      <c r="B359" s="52">
        <v>582.09349999999995</v>
      </c>
      <c r="C359" s="52">
        <v>570.71159999999998</v>
      </c>
      <c r="D359" s="52">
        <v>572.87630000000001</v>
      </c>
      <c r="E359" s="52">
        <v>8544463</v>
      </c>
      <c r="F359" s="52" t="s">
        <v>422</v>
      </c>
      <c r="G359" s="25">
        <f t="shared" si="3"/>
        <v>1.3442692602225081E-2</v>
      </c>
    </row>
    <row r="360" spans="1:7">
      <c r="A360" s="52">
        <v>573.74419999999998</v>
      </c>
      <c r="B360" s="52">
        <v>575.81889999999999</v>
      </c>
      <c r="C360" s="52">
        <v>567.70899999999995</v>
      </c>
      <c r="D360" s="52">
        <v>574.61199999999997</v>
      </c>
      <c r="E360" s="52">
        <v>8171879</v>
      </c>
      <c r="F360" s="52" t="s">
        <v>423</v>
      </c>
      <c r="G360" s="25">
        <f t="shared" si="3"/>
        <v>-1.5102364726110595E-3</v>
      </c>
    </row>
    <row r="361" spans="1:7">
      <c r="A361" s="52">
        <v>575.05089999999996</v>
      </c>
      <c r="B361" s="52">
        <v>582.53</v>
      </c>
      <c r="C361" s="52">
        <v>573.83389999999997</v>
      </c>
      <c r="D361" s="52">
        <v>579.66949999999997</v>
      </c>
      <c r="E361" s="52">
        <v>7694274</v>
      </c>
      <c r="F361" s="52" t="s">
        <v>424</v>
      </c>
      <c r="G361" s="25">
        <f t="shared" si="3"/>
        <v>-7.9676436314141119E-3</v>
      </c>
    </row>
    <row r="362" spans="1:7">
      <c r="A362" s="52">
        <v>575.50980000000004</v>
      </c>
      <c r="B362" s="52">
        <v>583.53</v>
      </c>
      <c r="C362" s="52">
        <v>573.78409999999997</v>
      </c>
      <c r="D362" s="52">
        <v>581.89400000000001</v>
      </c>
      <c r="E362" s="52">
        <v>8701158</v>
      </c>
      <c r="F362" s="52" t="s">
        <v>425</v>
      </c>
      <c r="G362" s="25">
        <f t="shared" si="3"/>
        <v>-1.0971414037608151E-2</v>
      </c>
    </row>
    <row r="363" spans="1:7">
      <c r="A363" s="52">
        <v>575.37009999999998</v>
      </c>
      <c r="B363" s="52">
        <v>580.64710000000002</v>
      </c>
      <c r="C363" s="52">
        <v>572.61689999999999</v>
      </c>
      <c r="D363" s="52">
        <v>579.96379999999999</v>
      </c>
      <c r="E363" s="52">
        <v>11268384</v>
      </c>
      <c r="F363" s="52" t="s">
        <v>426</v>
      </c>
      <c r="G363" s="25">
        <f t="shared" si="3"/>
        <v>-7.9206667726503532E-3</v>
      </c>
    </row>
    <row r="364" spans="1:7">
      <c r="A364" s="52">
        <v>584.82680000000005</v>
      </c>
      <c r="B364" s="52">
        <v>589.15610000000004</v>
      </c>
      <c r="C364" s="52">
        <v>578.71489999999994</v>
      </c>
      <c r="D364" s="52">
        <v>588.70719999999994</v>
      </c>
      <c r="E364" s="52">
        <v>9564236</v>
      </c>
      <c r="F364" s="52" t="s">
        <v>427</v>
      </c>
      <c r="G364" s="25">
        <f t="shared" si="3"/>
        <v>-6.5913921215842164E-3</v>
      </c>
    </row>
    <row r="365" spans="1:7">
      <c r="A365" s="52">
        <v>588.96659999999997</v>
      </c>
      <c r="B365" s="52">
        <v>598.62279999999998</v>
      </c>
      <c r="C365" s="52">
        <v>588.5077</v>
      </c>
      <c r="D365" s="52">
        <v>592.75720000000001</v>
      </c>
      <c r="E365" s="52">
        <v>8251971</v>
      </c>
      <c r="F365" s="52" t="s">
        <v>428</v>
      </c>
      <c r="G365" s="25">
        <f t="shared" si="3"/>
        <v>-6.3948611674392586E-3</v>
      </c>
    </row>
    <row r="366" spans="1:7">
      <c r="A366" s="52">
        <v>588.49770000000001</v>
      </c>
      <c r="B366" s="52">
        <v>589.75459999999998</v>
      </c>
      <c r="C366" s="52">
        <v>581.27560000000005</v>
      </c>
      <c r="D366" s="52">
        <v>583.39030000000002</v>
      </c>
      <c r="E366" s="52">
        <v>8587051</v>
      </c>
      <c r="F366" s="52" t="s">
        <v>429</v>
      </c>
      <c r="G366" s="25">
        <f t="shared" si="3"/>
        <v>8.7546878993358668E-3</v>
      </c>
    </row>
    <row r="367" spans="1:7">
      <c r="A367" s="52">
        <v>582.39279999999997</v>
      </c>
      <c r="B367" s="52">
        <v>588.77710000000002</v>
      </c>
      <c r="C367" s="52">
        <v>581.08600000000001</v>
      </c>
      <c r="D367" s="52">
        <v>586.12360000000001</v>
      </c>
      <c r="E367" s="52">
        <v>7740449</v>
      </c>
      <c r="F367" s="52" t="s">
        <v>430</v>
      </c>
      <c r="G367" s="25">
        <f t="shared" si="3"/>
        <v>-6.3652103413001093E-3</v>
      </c>
    </row>
    <row r="368" spans="1:7">
      <c r="A368" s="52">
        <v>589.05640000000005</v>
      </c>
      <c r="B368" s="52">
        <v>592.92679999999996</v>
      </c>
      <c r="C368" s="52">
        <v>580.17830000000004</v>
      </c>
      <c r="D368" s="52">
        <v>592.52779999999996</v>
      </c>
      <c r="E368" s="52">
        <v>9529707</v>
      </c>
      <c r="F368" s="52" t="s">
        <v>431</v>
      </c>
      <c r="G368" s="25">
        <f t="shared" si="3"/>
        <v>-5.8586280677461744E-3</v>
      </c>
    </row>
    <row r="369" spans="1:7">
      <c r="A369" s="52">
        <v>591.43050000000005</v>
      </c>
      <c r="B369" s="52">
        <v>592.09889999999996</v>
      </c>
      <c r="C369" s="52">
        <v>584.52750000000003</v>
      </c>
      <c r="D369" s="52">
        <v>588.23839999999996</v>
      </c>
      <c r="E369" s="52">
        <v>7857377</v>
      </c>
      <c r="F369" s="52" t="s">
        <v>432</v>
      </c>
      <c r="G369" s="25">
        <f t="shared" si="3"/>
        <v>5.4265413478618019E-3</v>
      </c>
    </row>
    <row r="370" spans="1:7">
      <c r="A370" s="52">
        <v>583.34050000000002</v>
      </c>
      <c r="B370" s="52">
        <v>601.46569999999997</v>
      </c>
      <c r="C370" s="52">
        <v>582.60230000000001</v>
      </c>
      <c r="D370" s="52">
        <v>596.74739999999997</v>
      </c>
      <c r="E370" s="52">
        <v>12014198</v>
      </c>
      <c r="F370" s="52" t="s">
        <v>433</v>
      </c>
      <c r="G370" s="25">
        <f t="shared" si="3"/>
        <v>-2.2466624906953836E-2</v>
      </c>
    </row>
    <row r="371" spans="1:7">
      <c r="A371" s="52">
        <v>594.47299999999996</v>
      </c>
      <c r="B371" s="52">
        <v>595.38080000000002</v>
      </c>
      <c r="C371" s="52">
        <v>579.99869999999999</v>
      </c>
      <c r="D371" s="52">
        <v>582.29309999999998</v>
      </c>
      <c r="E371" s="52">
        <v>14199788</v>
      </c>
      <c r="F371" s="52" t="s">
        <v>434</v>
      </c>
      <c r="G371" s="25">
        <f t="shared" si="3"/>
        <v>2.0917129191467376E-2</v>
      </c>
    </row>
    <row r="372" spans="1:7">
      <c r="A372" s="52">
        <v>581.33540000000005</v>
      </c>
      <c r="B372" s="52">
        <v>581.92399999999998</v>
      </c>
      <c r="C372" s="52">
        <v>567.33000000000004</v>
      </c>
      <c r="D372" s="52">
        <v>568.74649999999997</v>
      </c>
      <c r="E372" s="52">
        <v>11580980</v>
      </c>
      <c r="F372" s="52" t="s">
        <v>435</v>
      </c>
      <c r="G372" s="25">
        <f t="shared" si="3"/>
        <v>2.2134465882427623E-2</v>
      </c>
    </row>
    <row r="373" spans="1:7">
      <c r="A373" s="52">
        <v>571.3999</v>
      </c>
      <c r="B373" s="52">
        <v>574.58209999999997</v>
      </c>
      <c r="C373" s="52">
        <v>567.93849999999998</v>
      </c>
      <c r="D373" s="52">
        <v>573.44489999999996</v>
      </c>
      <c r="E373" s="52">
        <v>6524650</v>
      </c>
      <c r="F373" s="52" t="s">
        <v>436</v>
      </c>
      <c r="G373" s="25">
        <f t="shared" si="3"/>
        <v>-3.5661665139927745E-3</v>
      </c>
    </row>
    <row r="374" spans="1:7">
      <c r="A374" s="52">
        <v>575.05089999999996</v>
      </c>
      <c r="B374" s="52">
        <v>581.60479999999995</v>
      </c>
      <c r="C374" s="52">
        <v>568.69659999999999</v>
      </c>
      <c r="D374" s="52">
        <v>576.55719999999997</v>
      </c>
      <c r="E374" s="52">
        <v>15259274</v>
      </c>
      <c r="F374" s="52" t="s">
        <v>437</v>
      </c>
      <c r="G374" s="25">
        <f t="shared" si="3"/>
        <v>-2.6125768614111422E-3</v>
      </c>
    </row>
    <row r="375" spans="1:7">
      <c r="A375" s="52">
        <v>571.0308</v>
      </c>
      <c r="B375" s="52">
        <v>573.26530000000002</v>
      </c>
      <c r="C375" s="52">
        <v>563.40970000000004</v>
      </c>
      <c r="D375" s="52">
        <v>566.30250000000001</v>
      </c>
      <c r="E375" s="52">
        <v>12807206</v>
      </c>
      <c r="F375" s="52" t="s">
        <v>438</v>
      </c>
      <c r="G375" s="25">
        <f t="shared" si="3"/>
        <v>8.3494245566635428E-3</v>
      </c>
    </row>
    <row r="376" spans="1:7">
      <c r="A376" s="52">
        <v>565.96339999999998</v>
      </c>
      <c r="B376" s="52">
        <v>569.43470000000002</v>
      </c>
      <c r="C376" s="52">
        <v>563.12040000000002</v>
      </c>
      <c r="D376" s="52">
        <v>568.69659999999999</v>
      </c>
      <c r="E376" s="52">
        <v>9398367</v>
      </c>
      <c r="F376" s="52" t="s">
        <v>439</v>
      </c>
      <c r="G376" s="25">
        <f t="shared" si="3"/>
        <v>-4.8060776167819785E-3</v>
      </c>
    </row>
    <row r="377" spans="1:7">
      <c r="A377" s="52">
        <v>566.44219999999996</v>
      </c>
      <c r="B377" s="52">
        <v>575.97860000000003</v>
      </c>
      <c r="C377" s="52">
        <v>560.96579999999994</v>
      </c>
      <c r="D377" s="52">
        <v>574.31269999999995</v>
      </c>
      <c r="E377" s="52">
        <v>14400787</v>
      </c>
      <c r="F377" s="52" t="s">
        <v>440</v>
      </c>
      <c r="G377" s="25">
        <f t="shared" si="3"/>
        <v>-1.3704206784910022E-2</v>
      </c>
    </row>
    <row r="378" spans="1:7">
      <c r="A378" s="52">
        <v>566.91099999999994</v>
      </c>
      <c r="B378" s="52">
        <v>575.45989999999995</v>
      </c>
      <c r="C378" s="52">
        <v>562.33230000000003</v>
      </c>
      <c r="D378" s="52">
        <v>562.66150000000005</v>
      </c>
      <c r="E378" s="52">
        <v>16543350</v>
      </c>
      <c r="F378" s="52" t="s">
        <v>441</v>
      </c>
      <c r="G378" s="25">
        <f t="shared" si="3"/>
        <v>7.5524982604993074E-3</v>
      </c>
    </row>
    <row r="379" spans="1:7">
      <c r="A379" s="52">
        <v>561.94330000000002</v>
      </c>
      <c r="B379" s="52">
        <v>566.34739999999999</v>
      </c>
      <c r="C379" s="52">
        <v>552.82579999999996</v>
      </c>
      <c r="D379" s="52">
        <v>565.28499999999997</v>
      </c>
      <c r="E379" s="52">
        <v>12992956</v>
      </c>
      <c r="F379" s="52" t="s">
        <v>442</v>
      </c>
      <c r="G379" s="25">
        <f t="shared" si="3"/>
        <v>-5.9115313514420675E-3</v>
      </c>
    </row>
    <row r="380" spans="1:7">
      <c r="A380" s="52">
        <v>563.02059999999994</v>
      </c>
      <c r="B380" s="52">
        <v>572.56700000000001</v>
      </c>
      <c r="C380" s="52">
        <v>561.02549999999997</v>
      </c>
      <c r="D380" s="52">
        <v>568.09810000000004</v>
      </c>
      <c r="E380" s="52">
        <v>12830669</v>
      </c>
      <c r="F380" s="52" t="s">
        <v>443</v>
      </c>
      <c r="G380" s="25">
        <f t="shared" si="3"/>
        <v>-8.9377169189618355E-3</v>
      </c>
    </row>
    <row r="381" spans="1:7">
      <c r="A381" s="52">
        <v>559.96810000000005</v>
      </c>
      <c r="B381" s="52">
        <v>563.11040000000003</v>
      </c>
      <c r="C381" s="52">
        <v>554.9307</v>
      </c>
      <c r="D381" s="52">
        <v>558.62149999999997</v>
      </c>
      <c r="E381" s="52">
        <v>22066817</v>
      </c>
      <c r="F381" s="52" t="s">
        <v>444</v>
      </c>
      <c r="G381" s="25">
        <f t="shared" si="3"/>
        <v>2.4105767500894881E-3</v>
      </c>
    </row>
    <row r="382" spans="1:7">
      <c r="A382" s="52">
        <v>557.72370000000001</v>
      </c>
      <c r="B382" s="52">
        <v>560.68640000000005</v>
      </c>
      <c r="C382" s="52">
        <v>545.17470000000003</v>
      </c>
      <c r="D382" s="52">
        <v>548.64610000000005</v>
      </c>
      <c r="E382" s="52">
        <v>15646951</v>
      </c>
      <c r="F382" s="52" t="s">
        <v>445</v>
      </c>
      <c r="G382" s="25">
        <f t="shared" si="3"/>
        <v>1.6545456169286377E-2</v>
      </c>
    </row>
    <row r="383" spans="1:7">
      <c r="A383" s="52">
        <v>536.62580000000003</v>
      </c>
      <c r="B383" s="52">
        <v>542.86040000000003</v>
      </c>
      <c r="C383" s="52">
        <v>532.5883</v>
      </c>
      <c r="D383" s="52">
        <v>535.74289999999996</v>
      </c>
      <c r="E383" s="52">
        <v>10323537</v>
      </c>
      <c r="F383" s="52" t="s">
        <v>446</v>
      </c>
      <c r="G383" s="25">
        <f t="shared" si="3"/>
        <v>1.6479919752554473E-3</v>
      </c>
    </row>
    <row r="384" spans="1:7">
      <c r="A384" s="52">
        <v>534.99480000000005</v>
      </c>
      <c r="B384" s="52">
        <v>540.76549999999997</v>
      </c>
      <c r="C384" s="52">
        <v>529.26390000000004</v>
      </c>
      <c r="D384" s="52">
        <v>536.27660000000003</v>
      </c>
      <c r="E384" s="52">
        <v>11690779</v>
      </c>
      <c r="F384" s="52" t="s">
        <v>447</v>
      </c>
      <c r="G384" s="25">
        <f t="shared" si="3"/>
        <v>-2.3901844682389095E-3</v>
      </c>
    </row>
    <row r="385" spans="1:7">
      <c r="A385" s="52">
        <v>531.96720000000005</v>
      </c>
      <c r="B385" s="52">
        <v>532.78520000000003</v>
      </c>
      <c r="C385" s="52">
        <v>516.12630000000001</v>
      </c>
      <c r="D385" s="52">
        <v>523.24879999999996</v>
      </c>
      <c r="E385" s="52">
        <v>9527646</v>
      </c>
      <c r="F385" s="52" t="s">
        <v>448</v>
      </c>
      <c r="G385" s="25">
        <f t="shared" si="3"/>
        <v>1.6662054456694664E-2</v>
      </c>
    </row>
    <row r="386" spans="1:7">
      <c r="A386" s="52">
        <v>522.82979999999998</v>
      </c>
      <c r="B386" s="52">
        <v>525.78070000000002</v>
      </c>
      <c r="C386" s="52">
        <v>515.34540000000004</v>
      </c>
      <c r="D386" s="52">
        <v>518.56439999999998</v>
      </c>
      <c r="E386" s="52">
        <v>10321422</v>
      </c>
      <c r="F386" s="52" t="s">
        <v>449</v>
      </c>
      <c r="G386" s="25">
        <f t="shared" si="3"/>
        <v>8.2254007409687802E-3</v>
      </c>
    </row>
    <row r="387" spans="1:7">
      <c r="A387" s="52">
        <v>523.80650000000003</v>
      </c>
      <c r="B387" s="52">
        <v>524.91269999999997</v>
      </c>
      <c r="C387" s="52">
        <v>513.46190000000001</v>
      </c>
      <c r="D387" s="52">
        <v>515.28560000000004</v>
      </c>
      <c r="E387" s="52">
        <v>11993342</v>
      </c>
      <c r="F387" s="52" t="s">
        <v>450</v>
      </c>
      <c r="G387" s="25">
        <f t="shared" si="3"/>
        <v>1.6536266489884488E-2</v>
      </c>
    </row>
    <row r="388" spans="1:7">
      <c r="A388" s="52">
        <v>510.08339999999998</v>
      </c>
      <c r="B388" s="52">
        <v>511.36900000000003</v>
      </c>
      <c r="C388" s="52">
        <v>493.90879999999999</v>
      </c>
      <c r="D388" s="52">
        <v>505.2799</v>
      </c>
      <c r="E388" s="52">
        <v>10782532</v>
      </c>
      <c r="F388" s="52" t="s">
        <v>451</v>
      </c>
      <c r="G388" s="25">
        <f t="shared" ref="G388:G451" si="4">A388/D388-1</f>
        <v>9.5066120777809182E-3</v>
      </c>
    </row>
    <row r="389" spans="1:7">
      <c r="A389" s="52">
        <v>503.0675</v>
      </c>
      <c r="B389" s="52">
        <v>512.42539999999997</v>
      </c>
      <c r="C389" s="52">
        <v>498.32150000000001</v>
      </c>
      <c r="D389" s="52">
        <v>506.42599999999999</v>
      </c>
      <c r="E389" s="52">
        <v>9899022</v>
      </c>
      <c r="F389" s="52" t="s">
        <v>452</v>
      </c>
      <c r="G389" s="25">
        <f t="shared" si="4"/>
        <v>-6.6317685110953706E-3</v>
      </c>
    </row>
    <row r="390" spans="1:7">
      <c r="A390" s="52">
        <v>503.0675</v>
      </c>
      <c r="B390" s="52">
        <v>509.58510000000001</v>
      </c>
      <c r="C390" s="52">
        <v>500.36669999999998</v>
      </c>
      <c r="D390" s="52">
        <v>504.43279999999999</v>
      </c>
      <c r="E390" s="52">
        <v>11047828</v>
      </c>
      <c r="F390" s="52" t="s">
        <v>453</v>
      </c>
      <c r="G390" s="25">
        <f t="shared" si="4"/>
        <v>-2.7066043286637642E-3</v>
      </c>
    </row>
    <row r="391" spans="1:7">
      <c r="A391" s="52">
        <v>498.56290000000001</v>
      </c>
      <c r="B391" s="52">
        <v>522.79480000000001</v>
      </c>
      <c r="C391" s="52">
        <v>496.5498</v>
      </c>
      <c r="D391" s="52">
        <v>520.09910000000002</v>
      </c>
      <c r="E391" s="52">
        <v>14744521</v>
      </c>
      <c r="F391" s="52" t="s">
        <v>454</v>
      </c>
      <c r="G391" s="25">
        <f t="shared" si="4"/>
        <v>-4.1407877844818475E-2</v>
      </c>
    </row>
    <row r="392" spans="1:7">
      <c r="A392" s="52">
        <v>515.09630000000004</v>
      </c>
      <c r="B392" s="52">
        <v>519.84950000000003</v>
      </c>
      <c r="C392" s="52">
        <v>509.4058</v>
      </c>
      <c r="D392" s="52">
        <v>509.97379999999998</v>
      </c>
      <c r="E392" s="52">
        <v>8640888</v>
      </c>
      <c r="F392" s="52" t="s">
        <v>455</v>
      </c>
      <c r="G392" s="25">
        <f t="shared" si="4"/>
        <v>1.004463366549424E-2</v>
      </c>
    </row>
    <row r="393" spans="1:7">
      <c r="A393" s="52">
        <v>510.99029999999999</v>
      </c>
      <c r="B393" s="52">
        <v>514.82719999999995</v>
      </c>
      <c r="C393" s="52">
        <v>502.34989999999999</v>
      </c>
      <c r="D393" s="52">
        <v>504.34309999999999</v>
      </c>
      <c r="E393" s="52">
        <v>8335207</v>
      </c>
      <c r="F393" s="52" t="s">
        <v>456</v>
      </c>
      <c r="G393" s="25">
        <f t="shared" si="4"/>
        <v>1.3179916608356379E-2</v>
      </c>
    </row>
    <row r="394" spans="1:7">
      <c r="A394" s="52">
        <v>510.01369999999997</v>
      </c>
      <c r="B394" s="52">
        <v>523.69680000000005</v>
      </c>
      <c r="C394" s="52">
        <v>506.88200000000001</v>
      </c>
      <c r="D394" s="52">
        <v>517.86680000000001</v>
      </c>
      <c r="E394" s="52">
        <v>12459113</v>
      </c>
      <c r="F394" s="52" t="s">
        <v>457</v>
      </c>
      <c r="G394" s="25">
        <f t="shared" si="4"/>
        <v>-1.5164324108052574E-2</v>
      </c>
    </row>
    <row r="395" spans="1:7">
      <c r="A395" s="52">
        <v>519.53110000000004</v>
      </c>
      <c r="B395" s="52">
        <v>521.75350000000003</v>
      </c>
      <c r="C395" s="52">
        <v>513.44190000000003</v>
      </c>
      <c r="D395" s="52">
        <v>519.57100000000003</v>
      </c>
      <c r="E395" s="52">
        <v>9157541</v>
      </c>
      <c r="F395" s="52" t="s">
        <v>458</v>
      </c>
      <c r="G395" s="25">
        <f t="shared" si="4"/>
        <v>-7.6794124383328111E-5</v>
      </c>
    </row>
    <row r="396" spans="1:7">
      <c r="A396" s="52">
        <v>516.45159999999998</v>
      </c>
      <c r="B396" s="52">
        <v>525.40099999999995</v>
      </c>
      <c r="C396" s="52">
        <v>513.91920000000005</v>
      </c>
      <c r="D396" s="52">
        <v>517.27880000000005</v>
      </c>
      <c r="E396" s="52">
        <v>8317424</v>
      </c>
      <c r="F396" s="52" t="s">
        <v>459</v>
      </c>
      <c r="G396" s="25">
        <f t="shared" si="4"/>
        <v>-1.5991376410555702E-3</v>
      </c>
    </row>
    <row r="397" spans="1:7">
      <c r="A397" s="52">
        <v>515.01649999999995</v>
      </c>
      <c r="B397" s="52">
        <v>519.30690000000004</v>
      </c>
      <c r="C397" s="52">
        <v>510.7013</v>
      </c>
      <c r="D397" s="52">
        <v>515.9085</v>
      </c>
      <c r="E397" s="52">
        <v>9106077</v>
      </c>
      <c r="F397" s="52" t="s">
        <v>460</v>
      </c>
      <c r="G397" s="25">
        <f t="shared" si="4"/>
        <v>-1.7289887644805768E-3</v>
      </c>
    </row>
    <row r="398" spans="1:7">
      <c r="A398" s="52">
        <v>517.32860000000005</v>
      </c>
      <c r="B398" s="52">
        <v>522.22190000000001</v>
      </c>
      <c r="C398" s="52">
        <v>513.55160000000001</v>
      </c>
      <c r="D398" s="52">
        <v>517.20899999999995</v>
      </c>
      <c r="E398" s="52">
        <v>6282720</v>
      </c>
      <c r="F398" s="52" t="s">
        <v>461</v>
      </c>
      <c r="G398" s="25">
        <f t="shared" si="4"/>
        <v>2.3124114236239279E-4</v>
      </c>
    </row>
    <row r="399" spans="1:7">
      <c r="A399" s="52">
        <v>519.34169999999995</v>
      </c>
      <c r="B399" s="52">
        <v>526.19830000000002</v>
      </c>
      <c r="C399" s="52">
        <v>513.19280000000003</v>
      </c>
      <c r="D399" s="52">
        <v>525.79960000000005</v>
      </c>
      <c r="E399" s="52">
        <v>9584002</v>
      </c>
      <c r="F399" s="52" t="s">
        <v>462</v>
      </c>
      <c r="G399" s="25">
        <f t="shared" si="4"/>
        <v>-1.2282055748996545E-2</v>
      </c>
    </row>
    <row r="400" spans="1:7">
      <c r="A400" s="52">
        <v>526.19830000000002</v>
      </c>
      <c r="B400" s="52">
        <v>538.02779999999996</v>
      </c>
      <c r="C400" s="52">
        <v>523.26829999999995</v>
      </c>
      <c r="D400" s="52">
        <v>535.08780000000002</v>
      </c>
      <c r="E400" s="52">
        <v>11323936</v>
      </c>
      <c r="F400" s="52" t="s">
        <v>463</v>
      </c>
      <c r="G400" s="25">
        <f t="shared" si="4"/>
        <v>-1.6613161428834622E-2</v>
      </c>
    </row>
    <row r="401" spans="1:7">
      <c r="A401" s="52">
        <v>530.11490000000003</v>
      </c>
      <c r="B401" s="52">
        <v>542.37289999999996</v>
      </c>
      <c r="C401" s="52">
        <v>526.78620000000001</v>
      </c>
      <c r="D401" s="52">
        <v>535.16759999999999</v>
      </c>
      <c r="E401" s="52">
        <v>15708292</v>
      </c>
      <c r="F401" s="52" t="s">
        <v>464</v>
      </c>
      <c r="G401" s="25">
        <f t="shared" si="4"/>
        <v>-9.4413413667044921E-3</v>
      </c>
    </row>
    <row r="402" spans="1:7">
      <c r="A402" s="52">
        <v>533.3338</v>
      </c>
      <c r="B402" s="52">
        <v>537.55939999999998</v>
      </c>
      <c r="C402" s="52">
        <v>525.13689999999997</v>
      </c>
      <c r="D402" s="52">
        <v>525.35119999999995</v>
      </c>
      <c r="E402" s="52">
        <v>13423292</v>
      </c>
      <c r="F402" s="52" t="s">
        <v>465</v>
      </c>
      <c r="G402" s="25">
        <f t="shared" si="4"/>
        <v>1.5194787791481312E-2</v>
      </c>
    </row>
    <row r="403" spans="1:7">
      <c r="A403" s="52">
        <v>524.93259999999998</v>
      </c>
      <c r="B403" s="52">
        <v>529.27769999999998</v>
      </c>
      <c r="C403" s="52">
        <v>524.08550000000002</v>
      </c>
      <c r="D403" s="52">
        <v>526.5471</v>
      </c>
      <c r="E403" s="52">
        <v>7944391</v>
      </c>
      <c r="F403" s="52" t="s">
        <v>466</v>
      </c>
      <c r="G403" s="25">
        <f t="shared" si="4"/>
        <v>-3.0662024346920225E-3</v>
      </c>
    </row>
    <row r="404" spans="1:7">
      <c r="A404" s="52">
        <v>527.47389999999996</v>
      </c>
      <c r="B404" s="52">
        <v>529.84580000000005</v>
      </c>
      <c r="C404" s="52">
        <v>520.97609999999997</v>
      </c>
      <c r="D404" s="52">
        <v>525.07209999999998</v>
      </c>
      <c r="E404" s="52">
        <v>9879713</v>
      </c>
      <c r="F404" s="52" t="s">
        <v>467</v>
      </c>
      <c r="G404" s="25">
        <f t="shared" si="4"/>
        <v>4.5742289487480381E-3</v>
      </c>
    </row>
    <row r="405" spans="1:7">
      <c r="A405" s="52">
        <v>525.62019999999995</v>
      </c>
      <c r="B405" s="52">
        <v>531.83889999999997</v>
      </c>
      <c r="C405" s="52">
        <v>522.86969999999997</v>
      </c>
      <c r="D405" s="52">
        <v>530.08500000000004</v>
      </c>
      <c r="E405" s="52">
        <v>14776684</v>
      </c>
      <c r="F405" s="52" t="s">
        <v>468</v>
      </c>
      <c r="G405" s="25">
        <f t="shared" si="4"/>
        <v>-8.4228001169625033E-3</v>
      </c>
    </row>
    <row r="406" spans="1:7">
      <c r="A406" s="52">
        <v>535.49639999999999</v>
      </c>
      <c r="B406" s="52">
        <v>537.92809999999997</v>
      </c>
      <c r="C406" s="52">
        <v>524.90269999999998</v>
      </c>
      <c r="D406" s="52">
        <v>529.97529999999995</v>
      </c>
      <c r="E406" s="52">
        <v>13482141</v>
      </c>
      <c r="F406" s="52" t="s">
        <v>469</v>
      </c>
      <c r="G406" s="25">
        <f t="shared" si="4"/>
        <v>1.0417655313370355E-2</v>
      </c>
    </row>
    <row r="407" spans="1:7">
      <c r="A407" s="52">
        <v>524.96249999999998</v>
      </c>
      <c r="B407" s="52">
        <v>532.17780000000005</v>
      </c>
      <c r="C407" s="52">
        <v>521.34490000000005</v>
      </c>
      <c r="D407" s="52">
        <v>526.25810000000001</v>
      </c>
      <c r="E407" s="52">
        <v>11444189</v>
      </c>
      <c r="F407" s="52" t="s">
        <v>470</v>
      </c>
      <c r="G407" s="25">
        <f t="shared" si="4"/>
        <v>-2.4619098499387704E-3</v>
      </c>
    </row>
    <row r="408" spans="1:7">
      <c r="A408" s="52">
        <v>526.7364</v>
      </c>
      <c r="B408" s="52">
        <v>529.68619999999999</v>
      </c>
      <c r="C408" s="52">
        <v>516.38189999999997</v>
      </c>
      <c r="D408" s="52">
        <v>518.2355</v>
      </c>
      <c r="E408" s="52">
        <v>13743839</v>
      </c>
      <c r="F408" s="52" t="s">
        <v>471</v>
      </c>
      <c r="G408" s="25">
        <f t="shared" si="4"/>
        <v>1.6403546264198487E-2</v>
      </c>
    </row>
    <row r="409" spans="1:7">
      <c r="A409" s="52">
        <v>514.18939999999998</v>
      </c>
      <c r="B409" s="52">
        <v>516.25229999999999</v>
      </c>
      <c r="C409" s="52">
        <v>507.36279999999999</v>
      </c>
      <c r="D409" s="52">
        <v>515.09630000000004</v>
      </c>
      <c r="E409" s="52">
        <v>9767422</v>
      </c>
      <c r="F409" s="52" t="s">
        <v>472</v>
      </c>
      <c r="G409" s="25">
        <f t="shared" si="4"/>
        <v>-1.7606416508914036E-3</v>
      </c>
    </row>
    <row r="410" spans="1:7">
      <c r="A410" s="52">
        <v>516.00319999999999</v>
      </c>
      <c r="B410" s="52">
        <v>516.57119999999998</v>
      </c>
      <c r="C410" s="52">
        <v>503.9744</v>
      </c>
      <c r="D410" s="52">
        <v>505.97750000000002</v>
      </c>
      <c r="E410" s="52">
        <v>13696640</v>
      </c>
      <c r="F410" s="52" t="s">
        <v>473</v>
      </c>
      <c r="G410" s="25">
        <f t="shared" si="4"/>
        <v>1.9814517443957458E-2</v>
      </c>
    </row>
    <row r="411" spans="1:7">
      <c r="A411" s="52">
        <v>507.89089999999999</v>
      </c>
      <c r="B411" s="52">
        <v>508.21980000000002</v>
      </c>
      <c r="C411" s="52">
        <v>493.03179999999998</v>
      </c>
      <c r="D411" s="52">
        <v>495.8023</v>
      </c>
      <c r="E411" s="52">
        <v>16156843</v>
      </c>
      <c r="F411" s="52" t="s">
        <v>474</v>
      </c>
      <c r="G411" s="25">
        <f t="shared" si="4"/>
        <v>2.4381895767728423E-2</v>
      </c>
    </row>
    <row r="412" spans="1:7">
      <c r="A412" s="52">
        <v>487.2516</v>
      </c>
      <c r="B412" s="52">
        <v>508.4092</v>
      </c>
      <c r="C412" s="52">
        <v>485.1986</v>
      </c>
      <c r="D412" s="52">
        <v>501.41309999999999</v>
      </c>
      <c r="E412" s="52">
        <v>20105307</v>
      </c>
      <c r="F412" s="52" t="s">
        <v>475</v>
      </c>
      <c r="G412" s="25">
        <f t="shared" si="4"/>
        <v>-2.8243179127150797E-2</v>
      </c>
    </row>
    <row r="413" spans="1:7">
      <c r="A413" s="52">
        <v>492.404</v>
      </c>
      <c r="B413" s="52">
        <v>500.8451</v>
      </c>
      <c r="C413" s="52">
        <v>477.01670000000001</v>
      </c>
      <c r="D413" s="52">
        <v>477.3655</v>
      </c>
      <c r="E413" s="52">
        <v>20954959</v>
      </c>
      <c r="F413" s="52" t="s">
        <v>476</v>
      </c>
      <c r="G413" s="25">
        <f t="shared" si="4"/>
        <v>3.1503114489840556E-2</v>
      </c>
    </row>
    <row r="414" spans="1:7">
      <c r="A414" s="52">
        <v>474.10660000000001</v>
      </c>
      <c r="B414" s="52">
        <v>481.83019999999999</v>
      </c>
      <c r="C414" s="52">
        <v>449.26170000000002</v>
      </c>
      <c r="D414" s="52">
        <v>449.8048</v>
      </c>
      <c r="E414" s="52">
        <v>21396191</v>
      </c>
      <c r="F414" s="52" t="s">
        <v>477</v>
      </c>
      <c r="G414" s="25">
        <f t="shared" si="4"/>
        <v>5.4027435901084164E-2</v>
      </c>
    </row>
    <row r="415" spans="1:7">
      <c r="A415" s="52">
        <v>486.47430000000003</v>
      </c>
      <c r="B415" s="52">
        <v>499.43490000000003</v>
      </c>
      <c r="C415" s="52">
        <v>474.52519999999998</v>
      </c>
      <c r="D415" s="52">
        <v>487.3313</v>
      </c>
      <c r="E415" s="52">
        <v>24044658</v>
      </c>
      <c r="F415" s="52" t="s">
        <v>478</v>
      </c>
      <c r="G415" s="25">
        <f t="shared" si="4"/>
        <v>-1.7585572689461371E-3</v>
      </c>
    </row>
    <row r="416" spans="1:7">
      <c r="A416" s="52">
        <v>496.04149999999998</v>
      </c>
      <c r="B416" s="52">
        <v>525.37199999999996</v>
      </c>
      <c r="C416" s="52">
        <v>490.42079999999999</v>
      </c>
      <c r="D416" s="52">
        <v>519.22209999999995</v>
      </c>
      <c r="E416" s="52">
        <v>43083082</v>
      </c>
      <c r="F416" s="52" t="s">
        <v>479</v>
      </c>
      <c r="G416" s="25">
        <f t="shared" si="4"/>
        <v>-4.464486392239464E-2</v>
      </c>
    </row>
    <row r="417" spans="1:7">
      <c r="A417" s="52">
        <v>473.2097</v>
      </c>
      <c r="B417" s="52">
        <v>474.87400000000002</v>
      </c>
      <c r="C417" s="52">
        <v>465.15730000000002</v>
      </c>
      <c r="D417" s="52">
        <v>469.41269999999997</v>
      </c>
      <c r="E417" s="52">
        <v>24285777</v>
      </c>
      <c r="F417" s="52" t="s">
        <v>480</v>
      </c>
      <c r="G417" s="25">
        <f t="shared" si="4"/>
        <v>8.0888310009508135E-3</v>
      </c>
    </row>
    <row r="418" spans="1:7">
      <c r="A418" s="52">
        <v>461.60939999999999</v>
      </c>
      <c r="B418" s="52">
        <v>471.11689999999999</v>
      </c>
      <c r="C418" s="52">
        <v>455.14159999999998</v>
      </c>
      <c r="D418" s="52">
        <v>465.40640000000002</v>
      </c>
      <c r="E418" s="52">
        <v>11390439</v>
      </c>
      <c r="F418" s="52" t="s">
        <v>481</v>
      </c>
      <c r="G418" s="25">
        <f t="shared" si="4"/>
        <v>-8.1584610783178579E-3</v>
      </c>
    </row>
    <row r="419" spans="1:7">
      <c r="A419" s="52">
        <v>464.12079999999997</v>
      </c>
      <c r="B419" s="52">
        <v>472.34269999999998</v>
      </c>
      <c r="C419" s="52">
        <v>463.4332</v>
      </c>
      <c r="D419" s="52">
        <v>468.27659999999997</v>
      </c>
      <c r="E419" s="52">
        <v>11339630</v>
      </c>
      <c r="F419" s="52" t="s">
        <v>482</v>
      </c>
      <c r="G419" s="25">
        <f t="shared" si="4"/>
        <v>-8.8746693727596027E-3</v>
      </c>
    </row>
    <row r="420" spans="1:7">
      <c r="A420" s="52">
        <v>464.11090000000002</v>
      </c>
      <c r="B420" s="52">
        <v>468.16699999999997</v>
      </c>
      <c r="C420" s="52">
        <v>457.85230000000001</v>
      </c>
      <c r="D420" s="52">
        <v>462.61099999999999</v>
      </c>
      <c r="E420" s="52">
        <v>14222388</v>
      </c>
      <c r="F420" s="52" t="s">
        <v>483</v>
      </c>
      <c r="G420" s="25">
        <f t="shared" si="4"/>
        <v>3.2422488872940747E-3</v>
      </c>
    </row>
    <row r="421" spans="1:7">
      <c r="A421" s="52">
        <v>451.86279999999999</v>
      </c>
      <c r="B421" s="52">
        <v>461.96620000000001</v>
      </c>
      <c r="C421" s="52">
        <v>441.1395</v>
      </c>
      <c r="D421" s="52">
        <v>461.67919999999998</v>
      </c>
      <c r="E421" s="52">
        <v>18240489</v>
      </c>
      <c r="F421" s="52" t="s">
        <v>484</v>
      </c>
      <c r="G421" s="25">
        <f t="shared" si="4"/>
        <v>-2.1262383057326306E-2</v>
      </c>
    </row>
    <row r="422" spans="1:7">
      <c r="A422" s="52">
        <v>459.69600000000003</v>
      </c>
      <c r="B422" s="52">
        <v>474.67469999999997</v>
      </c>
      <c r="C422" s="52">
        <v>459.00830000000002</v>
      </c>
      <c r="D422" s="52">
        <v>470.69330000000002</v>
      </c>
      <c r="E422" s="52">
        <v>17649738</v>
      </c>
      <c r="F422" s="52" t="s">
        <v>485</v>
      </c>
      <c r="G422" s="25">
        <f t="shared" si="4"/>
        <v>-2.336404618463872E-2</v>
      </c>
    </row>
    <row r="423" spans="1:7">
      <c r="A423" s="52">
        <v>487.0224</v>
      </c>
      <c r="B423" s="52">
        <v>493.5301</v>
      </c>
      <c r="C423" s="52">
        <v>486.0557</v>
      </c>
      <c r="D423" s="52">
        <v>488.16849999999999</v>
      </c>
      <c r="E423" s="52">
        <v>9455527</v>
      </c>
      <c r="F423" s="52" t="s">
        <v>486</v>
      </c>
      <c r="G423" s="25">
        <f t="shared" si="4"/>
        <v>-2.347754924785117E-3</v>
      </c>
    </row>
    <row r="424" spans="1:7">
      <c r="A424" s="52">
        <v>485.73680000000002</v>
      </c>
      <c r="B424" s="52">
        <v>490.3809</v>
      </c>
      <c r="C424" s="52">
        <v>482.24869999999999</v>
      </c>
      <c r="D424" s="52">
        <v>484.91460000000001</v>
      </c>
      <c r="E424" s="52">
        <v>12023088</v>
      </c>
      <c r="F424" s="52" t="s">
        <v>487</v>
      </c>
      <c r="G424" s="25">
        <f t="shared" si="4"/>
        <v>1.6955562897054133E-3</v>
      </c>
    </row>
    <row r="425" spans="1:7">
      <c r="A425" s="52">
        <v>475.16300000000001</v>
      </c>
      <c r="B425" s="52">
        <v>485.04919999999998</v>
      </c>
      <c r="C425" s="52">
        <v>474.08670000000001</v>
      </c>
      <c r="D425" s="52">
        <v>474.43549999999999</v>
      </c>
      <c r="E425" s="52">
        <v>15149416</v>
      </c>
      <c r="F425" s="52" t="s">
        <v>488</v>
      </c>
      <c r="G425" s="25">
        <f t="shared" si="4"/>
        <v>1.5334012737242553E-3</v>
      </c>
    </row>
    <row r="426" spans="1:7">
      <c r="A426" s="52">
        <v>474.22620000000001</v>
      </c>
      <c r="B426" s="52">
        <v>477.60399999999998</v>
      </c>
      <c r="C426" s="52">
        <v>462.95479999999998</v>
      </c>
      <c r="D426" s="52">
        <v>473.37909999999999</v>
      </c>
      <c r="E426" s="52">
        <v>19267160</v>
      </c>
      <c r="F426" s="52" t="s">
        <v>489</v>
      </c>
      <c r="G426" s="25">
        <f t="shared" si="4"/>
        <v>1.7894748627473867E-3</v>
      </c>
    </row>
    <row r="427" spans="1:7">
      <c r="A427" s="52">
        <v>460.4135</v>
      </c>
      <c r="B427" s="52">
        <v>477.53489999999999</v>
      </c>
      <c r="C427" s="52">
        <v>457.55329999999998</v>
      </c>
      <c r="D427" s="52">
        <v>477.53489999999999</v>
      </c>
      <c r="E427" s="52">
        <v>28076595</v>
      </c>
      <c r="F427" s="52" t="s">
        <v>490</v>
      </c>
      <c r="G427" s="25">
        <f t="shared" si="4"/>
        <v>-3.5853714566202344E-2</v>
      </c>
    </row>
    <row r="428" spans="1:7">
      <c r="A428" s="52">
        <v>488.11860000000001</v>
      </c>
      <c r="B428" s="52">
        <v>502.23020000000002</v>
      </c>
      <c r="C428" s="52">
        <v>484.13229999999999</v>
      </c>
      <c r="D428" s="52">
        <v>499.78870000000001</v>
      </c>
      <c r="E428" s="52">
        <v>14075833</v>
      </c>
      <c r="F428" s="52" t="s">
        <v>491</v>
      </c>
      <c r="G428" s="25">
        <f t="shared" si="4"/>
        <v>-2.3350067738626357E-2</v>
      </c>
    </row>
    <row r="429" spans="1:7">
      <c r="A429" s="52">
        <v>494.46690000000001</v>
      </c>
      <c r="B429" s="52">
        <v>504.95089999999999</v>
      </c>
      <c r="C429" s="52">
        <v>491.68639999999999</v>
      </c>
      <c r="D429" s="52">
        <v>496.92849999999999</v>
      </c>
      <c r="E429" s="52">
        <v>12539163</v>
      </c>
      <c r="F429" s="52" t="s">
        <v>492</v>
      </c>
      <c r="G429" s="25">
        <f t="shared" si="4"/>
        <v>-4.9536301500114899E-3</v>
      </c>
    </row>
    <row r="430" spans="1:7">
      <c r="A430" s="52">
        <v>497.16770000000002</v>
      </c>
      <c r="B430" s="52">
        <v>506.3562</v>
      </c>
      <c r="C430" s="52">
        <v>492.54349999999999</v>
      </c>
      <c r="D430" s="52">
        <v>496.05650000000003</v>
      </c>
      <c r="E430" s="52">
        <v>19750544</v>
      </c>
      <c r="F430" s="52" t="s">
        <v>493</v>
      </c>
      <c r="G430" s="25">
        <f t="shared" si="4"/>
        <v>2.2400674116758168E-3</v>
      </c>
    </row>
    <row r="431" spans="1:7">
      <c r="A431" s="52">
        <v>510.95049999999998</v>
      </c>
      <c r="B431" s="52">
        <v>533.63279999999997</v>
      </c>
      <c r="C431" s="52">
        <v>506.63850000000002</v>
      </c>
      <c r="D431" s="52">
        <v>529.07839999999999</v>
      </c>
      <c r="E431" s="52">
        <v>16458253</v>
      </c>
      <c r="F431" s="52" t="s">
        <v>494</v>
      </c>
      <c r="G431" s="25">
        <f t="shared" si="4"/>
        <v>-3.4263164022572123E-2</v>
      </c>
    </row>
    <row r="432" spans="1:7">
      <c r="A432" s="52">
        <v>532.86540000000002</v>
      </c>
      <c r="B432" s="52">
        <v>537.04110000000003</v>
      </c>
      <c r="C432" s="52">
        <v>526.55700000000002</v>
      </c>
      <c r="D432" s="52">
        <v>528.9787</v>
      </c>
      <c r="E432" s="52">
        <v>10983276</v>
      </c>
      <c r="F432" s="52" t="s">
        <v>495</v>
      </c>
      <c r="G432" s="25">
        <f t="shared" si="4"/>
        <v>7.3475548259316348E-3</v>
      </c>
    </row>
    <row r="433" spans="1:7">
      <c r="A433" s="52">
        <v>528.19140000000004</v>
      </c>
      <c r="B433" s="52">
        <v>535.64589999999998</v>
      </c>
      <c r="C433" s="52">
        <v>526.3877</v>
      </c>
      <c r="D433" s="52">
        <v>531.92859999999996</v>
      </c>
      <c r="E433" s="52">
        <v>8769088</v>
      </c>
      <c r="F433" s="52" t="s">
        <v>496</v>
      </c>
      <c r="G433" s="25">
        <f t="shared" si="4"/>
        <v>-7.0257549603460756E-3</v>
      </c>
    </row>
    <row r="434" spans="1:7">
      <c r="A434" s="52">
        <v>527.51379999999995</v>
      </c>
      <c r="B434" s="52">
        <v>540.95770000000005</v>
      </c>
      <c r="C434" s="52">
        <v>524.85289999999998</v>
      </c>
      <c r="D434" s="52">
        <v>540.49929999999995</v>
      </c>
      <c r="E434" s="52">
        <v>14917495</v>
      </c>
      <c r="F434" s="52" t="s">
        <v>497</v>
      </c>
      <c r="G434" s="25">
        <f t="shared" si="4"/>
        <v>-2.4025007987984459E-2</v>
      </c>
    </row>
    <row r="435" spans="1:7">
      <c r="A435" s="52">
        <v>538.06759999999997</v>
      </c>
      <c r="B435" s="52">
        <v>539.02430000000004</v>
      </c>
      <c r="C435" s="52">
        <v>509.85419999999999</v>
      </c>
      <c r="D435" s="52">
        <v>509.85419999999999</v>
      </c>
      <c r="E435" s="52">
        <v>21354093</v>
      </c>
      <c r="F435" s="52" t="s">
        <v>498</v>
      </c>
      <c r="G435" s="25">
        <f t="shared" si="4"/>
        <v>5.5336211803295843E-2</v>
      </c>
    </row>
    <row r="436" spans="1:7">
      <c r="A436" s="52">
        <v>508.21980000000002</v>
      </c>
      <c r="B436" s="52">
        <v>509.53530000000001</v>
      </c>
      <c r="C436" s="52">
        <v>504.29329999999999</v>
      </c>
      <c r="D436" s="52">
        <v>504.64210000000003</v>
      </c>
      <c r="E436" s="52">
        <v>6005615</v>
      </c>
      <c r="F436" s="52" t="s">
        <v>499</v>
      </c>
      <c r="G436" s="25">
        <f t="shared" si="4"/>
        <v>7.0895789312861446E-3</v>
      </c>
    </row>
    <row r="437" spans="1:7">
      <c r="A437" s="52">
        <v>507.76139999999998</v>
      </c>
      <c r="B437" s="52">
        <v>508.75799999999998</v>
      </c>
      <c r="C437" s="52">
        <v>497.7457</v>
      </c>
      <c r="D437" s="52">
        <v>499.05119999999999</v>
      </c>
      <c r="E437" s="52">
        <v>7739479</v>
      </c>
      <c r="F437" s="52" t="s">
        <v>500</v>
      </c>
      <c r="G437" s="25">
        <f t="shared" si="4"/>
        <v>1.745351979917098E-2</v>
      </c>
    </row>
    <row r="438" spans="1:7">
      <c r="A438" s="52">
        <v>502.95780000000002</v>
      </c>
      <c r="B438" s="52">
        <v>504.85140000000001</v>
      </c>
      <c r="C438" s="52">
        <v>491.4871</v>
      </c>
      <c r="D438" s="52">
        <v>503.2269</v>
      </c>
      <c r="E438" s="52">
        <v>10328150</v>
      </c>
      <c r="F438" s="52" t="s">
        <v>501</v>
      </c>
      <c r="G438" s="25">
        <f t="shared" si="4"/>
        <v>-5.347488379495724E-4</v>
      </c>
    </row>
    <row r="439" spans="1:7">
      <c r="A439" s="52">
        <v>502.49939999999998</v>
      </c>
      <c r="B439" s="52">
        <v>520.09910000000002</v>
      </c>
      <c r="C439" s="52">
        <v>502.1207</v>
      </c>
      <c r="D439" s="52">
        <v>515.38530000000003</v>
      </c>
      <c r="E439" s="52">
        <v>15855137</v>
      </c>
      <c r="F439" s="52" t="s">
        <v>502</v>
      </c>
      <c r="G439" s="25">
        <f t="shared" si="4"/>
        <v>-2.5002459325091486E-2</v>
      </c>
    </row>
    <row r="440" spans="1:7">
      <c r="A440" s="52">
        <v>517.78710000000001</v>
      </c>
      <c r="B440" s="52">
        <v>521.09559999999999</v>
      </c>
      <c r="C440" s="52">
        <v>512.14639999999997</v>
      </c>
      <c r="D440" s="52">
        <v>512.49519999999995</v>
      </c>
      <c r="E440" s="52">
        <v>10121199</v>
      </c>
      <c r="F440" s="52" t="s">
        <v>503</v>
      </c>
      <c r="G440" s="25">
        <f t="shared" si="4"/>
        <v>1.0325755246098023E-2</v>
      </c>
    </row>
    <row r="441" spans="1:7">
      <c r="A441" s="52">
        <v>511.36900000000003</v>
      </c>
      <c r="B441" s="52">
        <v>512.05669999999998</v>
      </c>
      <c r="C441" s="52">
        <v>502.95440000000002</v>
      </c>
      <c r="D441" s="52">
        <v>504.91609999999997</v>
      </c>
      <c r="E441" s="52">
        <v>8882337</v>
      </c>
      <c r="F441" s="52" t="s">
        <v>504</v>
      </c>
      <c r="G441" s="25">
        <f t="shared" si="4"/>
        <v>1.2780143077236072E-2</v>
      </c>
    </row>
    <row r="442" spans="1:7">
      <c r="A442" s="52">
        <v>508.85759999999999</v>
      </c>
      <c r="B442" s="52">
        <v>508.96730000000002</v>
      </c>
      <c r="C442" s="52">
        <v>493.80919999999998</v>
      </c>
      <c r="D442" s="52">
        <v>495.35390000000001</v>
      </c>
      <c r="E442" s="52">
        <v>12109769</v>
      </c>
      <c r="F442" s="52" t="s">
        <v>505</v>
      </c>
      <c r="G442" s="25">
        <f t="shared" si="4"/>
        <v>2.7260711987934227E-2</v>
      </c>
    </row>
    <row r="443" spans="1:7">
      <c r="A443" s="52">
        <v>497.20749999999998</v>
      </c>
      <c r="B443" s="52">
        <v>506.06720000000001</v>
      </c>
      <c r="C443" s="52">
        <v>492.60329999999999</v>
      </c>
      <c r="D443" s="52">
        <v>497.49650000000003</v>
      </c>
      <c r="E443" s="52">
        <v>13525278</v>
      </c>
      <c r="F443" s="52" t="s">
        <v>506</v>
      </c>
      <c r="G443" s="25">
        <f t="shared" si="4"/>
        <v>-5.8090860940740452E-4</v>
      </c>
    </row>
    <row r="444" spans="1:7">
      <c r="A444" s="52">
        <v>493.09160000000003</v>
      </c>
      <c r="B444" s="52">
        <v>501.73200000000003</v>
      </c>
      <c r="C444" s="52">
        <v>490.70979999999997</v>
      </c>
      <c r="D444" s="52">
        <v>501.73200000000003</v>
      </c>
      <c r="E444" s="52">
        <v>23130732</v>
      </c>
      <c r="F444" s="52" t="s">
        <v>507</v>
      </c>
      <c r="G444" s="25">
        <f t="shared" si="4"/>
        <v>-1.7221145950427674E-2</v>
      </c>
    </row>
    <row r="445" spans="1:7">
      <c r="A445" s="52">
        <v>499.988</v>
      </c>
      <c r="B445" s="52">
        <v>501.9513</v>
      </c>
      <c r="C445" s="52">
        <v>495.07479999999998</v>
      </c>
      <c r="D445" s="52">
        <v>500.28699999999998</v>
      </c>
      <c r="E445" s="52">
        <v>11801182</v>
      </c>
      <c r="F445" s="52" t="s">
        <v>508</v>
      </c>
      <c r="G445" s="25">
        <f t="shared" si="4"/>
        <v>-5.9765694491353827E-4</v>
      </c>
    </row>
    <row r="446" spans="1:7">
      <c r="A446" s="52">
        <v>497.78550000000001</v>
      </c>
      <c r="B446" s="52">
        <v>504.27330000000001</v>
      </c>
      <c r="C446" s="52">
        <v>493.33080000000001</v>
      </c>
      <c r="D446" s="52">
        <v>502.83819999999997</v>
      </c>
      <c r="E446" s="52">
        <v>13060425</v>
      </c>
      <c r="F446" s="52" t="s">
        <v>509</v>
      </c>
      <c r="G446" s="25">
        <f t="shared" si="4"/>
        <v>-1.0048361480889834E-2</v>
      </c>
    </row>
    <row r="447" spans="1:7">
      <c r="A447" s="52">
        <v>504.90120000000002</v>
      </c>
      <c r="B447" s="52">
        <v>509.00709999999998</v>
      </c>
      <c r="C447" s="52">
        <v>494.31740000000002</v>
      </c>
      <c r="D447" s="52">
        <v>499.9581</v>
      </c>
      <c r="E447" s="52">
        <v>11266601</v>
      </c>
      <c r="F447" s="52" t="s">
        <v>510</v>
      </c>
      <c r="G447" s="25">
        <f t="shared" si="4"/>
        <v>9.8870285329910601E-3</v>
      </c>
    </row>
    <row r="448" spans="1:7">
      <c r="A448" s="52">
        <v>502.43959999999998</v>
      </c>
      <c r="B448" s="52">
        <v>505.4194</v>
      </c>
      <c r="C448" s="52">
        <v>499.0412</v>
      </c>
      <c r="D448" s="52">
        <v>500.9348</v>
      </c>
      <c r="E448" s="52">
        <v>10243347</v>
      </c>
      <c r="F448" s="52" t="s">
        <v>511</v>
      </c>
      <c r="G448" s="25">
        <f t="shared" si="4"/>
        <v>3.0039837519773016E-3</v>
      </c>
    </row>
    <row r="449" spans="1:7">
      <c r="A449" s="52">
        <v>501.88150000000002</v>
      </c>
      <c r="B449" s="52">
        <v>507.11840000000001</v>
      </c>
      <c r="C449" s="52">
        <v>499.15359999999998</v>
      </c>
      <c r="D449" s="52">
        <v>503.48439999999999</v>
      </c>
      <c r="E449" s="52">
        <v>9954621</v>
      </c>
      <c r="F449" s="52" t="s">
        <v>512</v>
      </c>
      <c r="G449" s="25">
        <f t="shared" si="4"/>
        <v>-3.183614030543902E-3</v>
      </c>
    </row>
    <row r="450" spans="1:7">
      <c r="A450" s="52">
        <v>506.60070000000002</v>
      </c>
      <c r="B450" s="52">
        <v>511.74790000000002</v>
      </c>
      <c r="C450" s="52">
        <v>502.24990000000003</v>
      </c>
      <c r="D450" s="52">
        <v>511.72800000000001</v>
      </c>
      <c r="E450" s="52">
        <v>11983227</v>
      </c>
      <c r="F450" s="52" t="s">
        <v>513</v>
      </c>
      <c r="G450" s="25">
        <f t="shared" si="4"/>
        <v>-1.0019580714754728E-2</v>
      </c>
    </row>
    <row r="451" spans="1:7">
      <c r="A451" s="52">
        <v>505.23669999999998</v>
      </c>
      <c r="B451" s="52">
        <v>505.36610000000002</v>
      </c>
      <c r="C451" s="52">
        <v>496.0772</v>
      </c>
      <c r="D451" s="52">
        <v>497.95890000000003</v>
      </c>
      <c r="E451" s="52">
        <v>9673715</v>
      </c>
      <c r="F451" s="52" t="s">
        <v>514</v>
      </c>
      <c r="G451" s="25">
        <f t="shared" si="4"/>
        <v>1.461526242426836E-2</v>
      </c>
    </row>
    <row r="452" spans="1:7">
      <c r="A452" s="52">
        <v>500.38810000000001</v>
      </c>
      <c r="B452" s="52">
        <v>500.4479</v>
      </c>
      <c r="C452" s="52">
        <v>491.23860000000002</v>
      </c>
      <c r="D452" s="52">
        <v>491.6866</v>
      </c>
      <c r="E452" s="52">
        <v>11236919</v>
      </c>
      <c r="F452" s="52" t="s">
        <v>515</v>
      </c>
      <c r="G452" s="25">
        <f t="shared" ref="G452:G515" si="5">A452/D452-1</f>
        <v>1.7697248613242733E-2</v>
      </c>
    </row>
    <row r="453" spans="1:7">
      <c r="A453" s="52">
        <v>490.79050000000001</v>
      </c>
      <c r="B453" s="52">
        <v>496.71440000000001</v>
      </c>
      <c r="C453" s="52">
        <v>488.0129</v>
      </c>
      <c r="D453" s="52">
        <v>493.7276</v>
      </c>
      <c r="E453" s="52">
        <v>9380745</v>
      </c>
      <c r="F453" s="52" t="s">
        <v>516</v>
      </c>
      <c r="G453" s="25">
        <f t="shared" si="5"/>
        <v>-5.9488268429798152E-3</v>
      </c>
    </row>
    <row r="454" spans="1:7">
      <c r="A454" s="52">
        <v>491.58699999999999</v>
      </c>
      <c r="B454" s="52">
        <v>500.60719999999998</v>
      </c>
      <c r="C454" s="52">
        <v>488.72969999999998</v>
      </c>
      <c r="D454" s="52">
        <v>490.81049999999999</v>
      </c>
      <c r="E454" s="52">
        <v>10667339</v>
      </c>
      <c r="F454" s="52" t="s">
        <v>517</v>
      </c>
      <c r="G454" s="25">
        <f t="shared" si="5"/>
        <v>1.582076993055459E-3</v>
      </c>
    </row>
    <row r="455" spans="1:7">
      <c r="A455" s="52">
        <v>492.88130000000001</v>
      </c>
      <c r="B455" s="52">
        <v>494.46429999999998</v>
      </c>
      <c r="C455" s="52">
        <v>481.78039999999999</v>
      </c>
      <c r="D455" s="52">
        <v>482.31799999999998</v>
      </c>
      <c r="E455" s="52">
        <v>15690484</v>
      </c>
      <c r="F455" s="52" t="s">
        <v>518</v>
      </c>
      <c r="G455" s="25">
        <f t="shared" si="5"/>
        <v>2.1901110885349517E-2</v>
      </c>
    </row>
    <row r="456" spans="1:7">
      <c r="A456" s="52">
        <v>474.89080000000001</v>
      </c>
      <c r="B456" s="52">
        <v>476.78250000000003</v>
      </c>
      <c r="C456" s="52">
        <v>471.14960000000002</v>
      </c>
      <c r="D456" s="52">
        <v>474.9008</v>
      </c>
      <c r="E456" s="52">
        <v>7088718</v>
      </c>
      <c r="F456" s="52" t="s">
        <v>519</v>
      </c>
      <c r="G456" s="25">
        <f t="shared" si="5"/>
        <v>-2.1057029173210395E-5</v>
      </c>
    </row>
    <row r="457" spans="1:7">
      <c r="A457" s="52">
        <v>475.3886</v>
      </c>
      <c r="B457" s="52">
        <v>477.48930000000001</v>
      </c>
      <c r="C457" s="52">
        <v>466.17930000000001</v>
      </c>
      <c r="D457" s="52">
        <v>468.7878</v>
      </c>
      <c r="E457" s="52">
        <v>11279390</v>
      </c>
      <c r="F457" s="52" t="s">
        <v>520</v>
      </c>
      <c r="G457" s="25">
        <f t="shared" si="5"/>
        <v>1.4080571209404313E-2</v>
      </c>
    </row>
    <row r="458" spans="1:7">
      <c r="A458" s="52">
        <v>464.77550000000002</v>
      </c>
      <c r="B458" s="52">
        <v>467.05549999999999</v>
      </c>
      <c r="C458" s="52">
        <v>452.46010000000001</v>
      </c>
      <c r="D458" s="52">
        <v>463.75009999999997</v>
      </c>
      <c r="E458" s="52">
        <v>16919805</v>
      </c>
      <c r="F458" s="52" t="s">
        <v>521</v>
      </c>
      <c r="G458" s="25">
        <f t="shared" si="5"/>
        <v>2.2111046445059124E-3</v>
      </c>
    </row>
    <row r="459" spans="1:7">
      <c r="A459" s="52">
        <v>464.99459999999999</v>
      </c>
      <c r="B459" s="52">
        <v>469.654</v>
      </c>
      <c r="C459" s="52">
        <v>462.66489999999999</v>
      </c>
      <c r="D459" s="52">
        <v>469.5942</v>
      </c>
      <c r="E459" s="52">
        <v>10735226</v>
      </c>
      <c r="F459" s="52" t="s">
        <v>522</v>
      </c>
      <c r="G459" s="25">
        <f t="shared" si="5"/>
        <v>-9.7948398851603891E-3</v>
      </c>
    </row>
    <row r="460" spans="1:7">
      <c r="A460" s="52">
        <v>472.2724</v>
      </c>
      <c r="B460" s="52">
        <v>477.73820000000001</v>
      </c>
      <c r="C460" s="52">
        <v>471.61529999999999</v>
      </c>
      <c r="D460" s="52">
        <v>472.5711</v>
      </c>
      <c r="E460" s="52">
        <v>9226218</v>
      </c>
      <c r="F460" s="52" t="s">
        <v>523</v>
      </c>
      <c r="G460" s="25">
        <f t="shared" si="5"/>
        <v>-6.320742000516244E-4</v>
      </c>
    </row>
    <row r="461" spans="1:7">
      <c r="A461" s="52">
        <v>477.80790000000002</v>
      </c>
      <c r="B461" s="52">
        <v>478.74380000000002</v>
      </c>
      <c r="C461" s="52">
        <v>472.75029999999998</v>
      </c>
      <c r="D461" s="52">
        <v>474.47770000000003</v>
      </c>
      <c r="E461" s="52">
        <v>10175770</v>
      </c>
      <c r="F461" s="52" t="s">
        <v>524</v>
      </c>
      <c r="G461" s="25">
        <f t="shared" si="5"/>
        <v>7.0186649446328797E-3</v>
      </c>
    </row>
    <row r="462" spans="1:7">
      <c r="A462" s="52">
        <v>476.11540000000002</v>
      </c>
      <c r="B462" s="52">
        <v>477.73809999999997</v>
      </c>
      <c r="C462" s="52">
        <v>464.24790000000002</v>
      </c>
      <c r="D462" s="52">
        <v>465.56209999999999</v>
      </c>
      <c r="E462" s="52">
        <v>12024254</v>
      </c>
      <c r="F462" s="52" t="s">
        <v>525</v>
      </c>
      <c r="G462" s="25">
        <f t="shared" si="5"/>
        <v>2.2667867508974648E-2</v>
      </c>
    </row>
    <row r="463" spans="1:7">
      <c r="A463" s="52">
        <v>463.73020000000002</v>
      </c>
      <c r="B463" s="52">
        <v>472.27050000000003</v>
      </c>
      <c r="C463" s="52">
        <v>459.50880000000001</v>
      </c>
      <c r="D463" s="52">
        <v>470.7989</v>
      </c>
      <c r="E463" s="52">
        <v>11747913</v>
      </c>
      <c r="F463" s="52" t="s">
        <v>526</v>
      </c>
      <c r="G463" s="25">
        <f t="shared" si="5"/>
        <v>-1.5014266176067936E-2</v>
      </c>
    </row>
    <row r="464" spans="1:7">
      <c r="A464" s="52">
        <v>465.72140000000002</v>
      </c>
      <c r="B464" s="52">
        <v>471.63510000000002</v>
      </c>
      <c r="C464" s="52">
        <v>463.60070000000002</v>
      </c>
      <c r="D464" s="52">
        <v>465.81099999999998</v>
      </c>
      <c r="E464" s="52">
        <v>10078611</v>
      </c>
      <c r="F464" s="52" t="s">
        <v>527</v>
      </c>
      <c r="G464" s="25">
        <f t="shared" si="5"/>
        <v>-1.9235269240092112E-4</v>
      </c>
    </row>
    <row r="465" spans="1:7">
      <c r="A465" s="52">
        <v>462.58519999999999</v>
      </c>
      <c r="B465" s="52">
        <v>468.62849999999997</v>
      </c>
      <c r="C465" s="52">
        <v>460.23559999999998</v>
      </c>
      <c r="D465" s="52">
        <v>465.0643</v>
      </c>
      <c r="E465" s="52">
        <v>11742189</v>
      </c>
      <c r="F465" s="52" t="s">
        <v>528</v>
      </c>
      <c r="G465" s="25">
        <f t="shared" si="5"/>
        <v>-5.3306607279897111E-3</v>
      </c>
    </row>
    <row r="466" spans="1:7">
      <c r="A466" s="52">
        <v>466.77670000000001</v>
      </c>
      <c r="B466" s="52">
        <v>471.11750000000001</v>
      </c>
      <c r="C466" s="52">
        <v>464.9846</v>
      </c>
      <c r="D466" s="52">
        <v>467.8818</v>
      </c>
      <c r="E466" s="52">
        <v>11745080</v>
      </c>
      <c r="F466" s="52" t="s">
        <v>529</v>
      </c>
      <c r="G466" s="25">
        <f t="shared" si="5"/>
        <v>-2.3619213228640579E-3</v>
      </c>
    </row>
    <row r="467" spans="1:7">
      <c r="A467" s="52">
        <v>469.83319999999998</v>
      </c>
      <c r="B467" s="52">
        <v>470.71929999999998</v>
      </c>
      <c r="C467" s="52">
        <v>466.35849999999999</v>
      </c>
      <c r="D467" s="52">
        <v>468.75790000000001</v>
      </c>
      <c r="E467" s="52">
        <v>10807289</v>
      </c>
      <c r="F467" s="52" t="s">
        <v>530</v>
      </c>
      <c r="G467" s="25">
        <f t="shared" si="5"/>
        <v>2.293934672887632E-3</v>
      </c>
    </row>
    <row r="468" spans="1:7">
      <c r="A468" s="52">
        <v>471.1474</v>
      </c>
      <c r="B468" s="52">
        <v>475.58780000000002</v>
      </c>
      <c r="C468" s="52">
        <v>470.66950000000003</v>
      </c>
      <c r="D468" s="52">
        <v>472.90960000000001</v>
      </c>
      <c r="E468" s="52">
        <v>16608179</v>
      </c>
      <c r="F468" s="52" t="s">
        <v>531</v>
      </c>
      <c r="G468" s="25">
        <f t="shared" si="5"/>
        <v>-3.7262935664660324E-3</v>
      </c>
    </row>
    <row r="469" spans="1:7">
      <c r="A469" s="52">
        <v>479.42079999999999</v>
      </c>
      <c r="B469" s="52">
        <v>480.37650000000002</v>
      </c>
      <c r="C469" s="52">
        <v>469.12630000000001</v>
      </c>
      <c r="D469" s="52">
        <v>472.8897</v>
      </c>
      <c r="E469" s="52">
        <v>13100470</v>
      </c>
      <c r="F469" s="52" t="s">
        <v>532</v>
      </c>
      <c r="G469" s="25">
        <f t="shared" si="5"/>
        <v>1.3811043040269144E-2</v>
      </c>
    </row>
    <row r="470" spans="1:7">
      <c r="A470" s="52">
        <v>469.77350000000001</v>
      </c>
      <c r="B470" s="52">
        <v>470.46039999999999</v>
      </c>
      <c r="C470" s="52">
        <v>458.05529999999999</v>
      </c>
      <c r="D470" s="52">
        <v>461.33080000000001</v>
      </c>
      <c r="E470" s="52">
        <v>10478553</v>
      </c>
      <c r="F470" s="52" t="s">
        <v>533</v>
      </c>
      <c r="G470" s="25">
        <f t="shared" si="5"/>
        <v>1.8300750784469688E-2</v>
      </c>
    </row>
    <row r="471" spans="1:7">
      <c r="A471" s="52">
        <v>465.9504</v>
      </c>
      <c r="B471" s="52">
        <v>471.26690000000002</v>
      </c>
      <c r="C471" s="52">
        <v>460.81310000000002</v>
      </c>
      <c r="D471" s="52">
        <v>470.66950000000003</v>
      </c>
      <c r="E471" s="52">
        <v>14668798</v>
      </c>
      <c r="F471" s="52" t="s">
        <v>534</v>
      </c>
      <c r="G471" s="25">
        <f t="shared" si="5"/>
        <v>-1.0026356073635556E-2</v>
      </c>
    </row>
    <row r="472" spans="1:7">
      <c r="A472" s="52">
        <v>474.10430000000002</v>
      </c>
      <c r="B472" s="52">
        <v>475.39859999999999</v>
      </c>
      <c r="C472" s="52">
        <v>467.53339999999997</v>
      </c>
      <c r="D472" s="52">
        <v>474.99040000000002</v>
      </c>
      <c r="E472" s="52">
        <v>10749999</v>
      </c>
      <c r="F472" s="52" t="s">
        <v>535</v>
      </c>
      <c r="G472" s="25">
        <f t="shared" si="5"/>
        <v>-1.8655113871774986E-3</v>
      </c>
    </row>
    <row r="473" spans="1:7">
      <c r="A473" s="52">
        <v>473.32769999999999</v>
      </c>
      <c r="B473" s="52">
        <v>473.98480000000001</v>
      </c>
      <c r="C473" s="52">
        <v>465.572</v>
      </c>
      <c r="D473" s="52">
        <v>467.9316</v>
      </c>
      <c r="E473" s="52">
        <v>9437651</v>
      </c>
      <c r="F473" s="52" t="s">
        <v>536</v>
      </c>
      <c r="G473" s="25">
        <f t="shared" si="5"/>
        <v>1.1531813624042542E-2</v>
      </c>
    </row>
    <row r="474" spans="1:7">
      <c r="A474" s="52">
        <v>470.52019999999999</v>
      </c>
      <c r="B474" s="52">
        <v>473.48700000000002</v>
      </c>
      <c r="C474" s="52">
        <v>460.96440000000001</v>
      </c>
      <c r="D474" s="52">
        <v>461.46019999999999</v>
      </c>
      <c r="E474" s="52">
        <v>11683929</v>
      </c>
      <c r="F474" s="52" t="s">
        <v>537</v>
      </c>
      <c r="G474" s="25">
        <f t="shared" si="5"/>
        <v>1.9633329158180945E-2</v>
      </c>
    </row>
    <row r="475" spans="1:7">
      <c r="A475" s="52">
        <v>466.17930000000001</v>
      </c>
      <c r="B475" s="52">
        <v>469.45490000000001</v>
      </c>
      <c r="C475" s="52">
        <v>459.27980000000002</v>
      </c>
      <c r="D475" s="52">
        <v>464.23790000000002</v>
      </c>
      <c r="E475" s="52">
        <v>13406816</v>
      </c>
      <c r="F475" s="52" t="s">
        <v>538</v>
      </c>
      <c r="G475" s="25">
        <f t="shared" si="5"/>
        <v>4.1819075952220786E-3</v>
      </c>
    </row>
    <row r="476" spans="1:7">
      <c r="A476" s="52">
        <v>463.63060000000002</v>
      </c>
      <c r="B476" s="52">
        <v>464.10849999999999</v>
      </c>
      <c r="C476" s="52">
        <v>451.3449</v>
      </c>
      <c r="D476" s="52">
        <v>453.57510000000002</v>
      </c>
      <c r="E476" s="52">
        <v>15094627</v>
      </c>
      <c r="F476" s="52" t="s">
        <v>539</v>
      </c>
      <c r="G476" s="25">
        <f t="shared" si="5"/>
        <v>2.2169426849048879E-2</v>
      </c>
    </row>
    <row r="477" spans="1:7">
      <c r="A477" s="52">
        <v>449.971</v>
      </c>
      <c r="B477" s="52">
        <v>452.17129999999997</v>
      </c>
      <c r="C477" s="52">
        <v>441.89670000000001</v>
      </c>
      <c r="D477" s="52">
        <v>443.96749999999997</v>
      </c>
      <c r="E477" s="52">
        <v>16489057</v>
      </c>
      <c r="F477" s="52" t="s">
        <v>540</v>
      </c>
      <c r="G477" s="25">
        <f t="shared" si="5"/>
        <v>1.3522386210702342E-2</v>
      </c>
    </row>
    <row r="478" spans="1:7">
      <c r="A478" s="52">
        <v>439.7362</v>
      </c>
      <c r="B478" s="52">
        <v>442.00619999999998</v>
      </c>
      <c r="C478" s="52">
        <v>430.37759999999997</v>
      </c>
      <c r="D478" s="52">
        <v>436.90870000000001</v>
      </c>
      <c r="E478" s="52">
        <v>15221322</v>
      </c>
      <c r="F478" s="52" t="s">
        <v>541</v>
      </c>
      <c r="G478" s="25">
        <f t="shared" si="5"/>
        <v>6.4716037927374792E-3</v>
      </c>
    </row>
    <row r="479" spans="1:7">
      <c r="A479" s="52">
        <v>437.25720000000001</v>
      </c>
      <c r="B479" s="52">
        <v>447.97980000000001</v>
      </c>
      <c r="C479" s="52">
        <v>425.2303</v>
      </c>
      <c r="D479" s="52">
        <v>426.71379999999999</v>
      </c>
      <c r="E479" s="52">
        <v>20344947</v>
      </c>
      <c r="F479" s="52" t="s">
        <v>542</v>
      </c>
      <c r="G479" s="25">
        <f t="shared" si="5"/>
        <v>2.4708364247887138E-2</v>
      </c>
    </row>
    <row r="480" spans="1:7">
      <c r="A480" s="52">
        <v>428.27690000000001</v>
      </c>
      <c r="B480" s="52">
        <v>437.68520000000001</v>
      </c>
      <c r="C480" s="52">
        <v>427.82889999999998</v>
      </c>
      <c r="D480" s="52">
        <v>429.15300000000002</v>
      </c>
      <c r="E480" s="52">
        <v>18429496</v>
      </c>
      <c r="F480" s="52" t="s">
        <v>543</v>
      </c>
      <c r="G480" s="25">
        <f t="shared" si="5"/>
        <v>-2.0414630679501666E-3</v>
      </c>
    </row>
    <row r="481" spans="1:7">
      <c r="A481" s="52">
        <v>430.71609999999998</v>
      </c>
      <c r="B481" s="52">
        <v>437.82470000000001</v>
      </c>
      <c r="C481" s="52">
        <v>426.67399999999998</v>
      </c>
      <c r="D481" s="52">
        <v>437.62560000000002</v>
      </c>
      <c r="E481" s="52">
        <v>21502646</v>
      </c>
      <c r="F481" s="52" t="s">
        <v>544</v>
      </c>
      <c r="G481" s="25">
        <f t="shared" si="5"/>
        <v>-1.5788610172713935E-2</v>
      </c>
    </row>
    <row r="482" spans="1:7">
      <c r="A482" s="52">
        <v>441.33909999999997</v>
      </c>
      <c r="B482" s="52">
        <v>444.4753</v>
      </c>
      <c r="C482" s="52">
        <v>430.05900000000003</v>
      </c>
      <c r="D482" s="52">
        <v>439.5172</v>
      </c>
      <c r="E482" s="52">
        <v>32691443</v>
      </c>
      <c r="F482" s="52" t="s">
        <v>545</v>
      </c>
      <c r="G482" s="25">
        <f t="shared" si="5"/>
        <v>4.1452302663012031E-3</v>
      </c>
    </row>
    <row r="483" spans="1:7">
      <c r="A483" s="52">
        <v>439.4375</v>
      </c>
      <c r="B483" s="52">
        <v>443.8082</v>
      </c>
      <c r="C483" s="52">
        <v>412.67579999999998</v>
      </c>
      <c r="D483" s="52">
        <v>419.5455</v>
      </c>
      <c r="E483" s="52">
        <v>82890741</v>
      </c>
      <c r="F483" s="52" t="s">
        <v>546</v>
      </c>
      <c r="G483" s="25">
        <f t="shared" si="5"/>
        <v>4.7413212631287838E-2</v>
      </c>
    </row>
    <row r="484" spans="1:7">
      <c r="A484" s="52">
        <v>491.32819999999998</v>
      </c>
      <c r="B484" s="52">
        <v>507.75560000000002</v>
      </c>
      <c r="C484" s="52">
        <v>482.44740000000002</v>
      </c>
      <c r="D484" s="52">
        <v>505.82409999999999</v>
      </c>
      <c r="E484" s="52">
        <v>37772677</v>
      </c>
      <c r="F484" s="52" t="s">
        <v>547</v>
      </c>
      <c r="G484" s="25">
        <f t="shared" si="5"/>
        <v>-2.8657986046928152E-2</v>
      </c>
    </row>
    <row r="485" spans="1:7">
      <c r="A485" s="52">
        <v>493.91669999999999</v>
      </c>
      <c r="B485" s="52">
        <v>496.565</v>
      </c>
      <c r="C485" s="52">
        <v>486.81810000000002</v>
      </c>
      <c r="D485" s="52">
        <v>489.0881</v>
      </c>
      <c r="E485" s="52">
        <v>15079196</v>
      </c>
      <c r="F485" s="52" t="s">
        <v>548</v>
      </c>
      <c r="G485" s="25">
        <f t="shared" si="5"/>
        <v>9.8726589340447646E-3</v>
      </c>
    </row>
    <row r="486" spans="1:7">
      <c r="A486" s="52">
        <v>479.61</v>
      </c>
      <c r="B486" s="52">
        <v>489.84469999999999</v>
      </c>
      <c r="C486" s="52">
        <v>471.31659999999999</v>
      </c>
      <c r="D486" s="52">
        <v>487.5598</v>
      </c>
      <c r="E486" s="52">
        <v>17271125</v>
      </c>
      <c r="F486" s="52" t="s">
        <v>549</v>
      </c>
      <c r="G486" s="25">
        <f t="shared" si="5"/>
        <v>-1.630528193669778E-2</v>
      </c>
    </row>
    <row r="487" spans="1:7">
      <c r="A487" s="52">
        <v>478.9529</v>
      </c>
      <c r="B487" s="52">
        <v>500.5872</v>
      </c>
      <c r="C487" s="52">
        <v>473.63639999999998</v>
      </c>
      <c r="D487" s="52">
        <v>500.5872</v>
      </c>
      <c r="E487" s="52">
        <v>25215364</v>
      </c>
      <c r="F487" s="52" t="s">
        <v>550</v>
      </c>
      <c r="G487" s="25">
        <f t="shared" si="5"/>
        <v>-4.3217844962875618E-2</v>
      </c>
    </row>
    <row r="488" spans="1:7">
      <c r="A488" s="52">
        <v>499.59160000000003</v>
      </c>
      <c r="B488" s="52">
        <v>509.95580000000001</v>
      </c>
      <c r="C488" s="52">
        <v>496.84379999999999</v>
      </c>
      <c r="D488" s="52">
        <v>497.62040000000002</v>
      </c>
      <c r="E488" s="52">
        <v>14808670</v>
      </c>
      <c r="F488" s="52" t="s">
        <v>551</v>
      </c>
      <c r="G488" s="25">
        <f t="shared" si="5"/>
        <v>3.9612523923857612E-3</v>
      </c>
    </row>
    <row r="489" spans="1:7">
      <c r="A489" s="52">
        <v>491.99520000000001</v>
      </c>
      <c r="B489" s="52">
        <v>500.94569999999999</v>
      </c>
      <c r="C489" s="52">
        <v>484.99619999999999</v>
      </c>
      <c r="D489" s="52">
        <v>500.88589999999999</v>
      </c>
      <c r="E489" s="52">
        <v>12193743</v>
      </c>
      <c r="F489" s="52" t="s">
        <v>552</v>
      </c>
      <c r="G489" s="25">
        <f t="shared" si="5"/>
        <v>-1.7749950637460543E-2</v>
      </c>
    </row>
    <row r="490" spans="1:7">
      <c r="A490" s="52">
        <v>497.56060000000002</v>
      </c>
      <c r="B490" s="52">
        <v>502.54849999999999</v>
      </c>
      <c r="C490" s="52">
        <v>494.92230000000001</v>
      </c>
      <c r="D490" s="52">
        <v>495.91789999999997</v>
      </c>
      <c r="E490" s="52">
        <v>9847925</v>
      </c>
      <c r="F490" s="52" t="s">
        <v>553</v>
      </c>
      <c r="G490" s="25">
        <f t="shared" si="5"/>
        <v>3.3124434508213785E-3</v>
      </c>
    </row>
    <row r="491" spans="1:7">
      <c r="A491" s="52">
        <v>498.02859999999998</v>
      </c>
      <c r="B491" s="52">
        <v>516.24800000000005</v>
      </c>
      <c r="C491" s="52">
        <v>495.0915</v>
      </c>
      <c r="D491" s="52">
        <v>514.44600000000003</v>
      </c>
      <c r="E491" s="52">
        <v>13512893</v>
      </c>
      <c r="F491" s="52" t="s">
        <v>554</v>
      </c>
      <c r="G491" s="25">
        <f t="shared" si="5"/>
        <v>-3.1912776073679372E-2</v>
      </c>
    </row>
    <row r="492" spans="1:7">
      <c r="A492" s="52">
        <v>509.6472</v>
      </c>
      <c r="B492" s="52">
        <v>517.90060000000005</v>
      </c>
      <c r="C492" s="52">
        <v>507.08850000000001</v>
      </c>
      <c r="D492" s="52">
        <v>515.47149999999999</v>
      </c>
      <c r="E492" s="52">
        <v>11984535</v>
      </c>
      <c r="F492" s="52" t="s">
        <v>555</v>
      </c>
      <c r="G492" s="25">
        <f t="shared" si="5"/>
        <v>-1.1298975792066068E-2</v>
      </c>
    </row>
    <row r="493" spans="1:7">
      <c r="A493" s="52">
        <v>520.85760000000005</v>
      </c>
      <c r="B493" s="52">
        <v>521.55460000000005</v>
      </c>
      <c r="C493" s="52">
        <v>515.01350000000002</v>
      </c>
      <c r="D493" s="52">
        <v>518.81669999999997</v>
      </c>
      <c r="E493" s="52">
        <v>10369469</v>
      </c>
      <c r="F493" s="52" t="s">
        <v>556</v>
      </c>
      <c r="G493" s="25">
        <f t="shared" si="5"/>
        <v>3.9337592641102148E-3</v>
      </c>
    </row>
    <row r="494" spans="1:7">
      <c r="A494" s="52">
        <v>517.54229999999995</v>
      </c>
      <c r="B494" s="52">
        <v>520.26020000000005</v>
      </c>
      <c r="C494" s="52">
        <v>503.57400000000001</v>
      </c>
      <c r="D494" s="52">
        <v>507.0487</v>
      </c>
      <c r="E494" s="52">
        <v>11418491</v>
      </c>
      <c r="F494" s="52" t="s">
        <v>557</v>
      </c>
      <c r="G494" s="25">
        <f t="shared" si="5"/>
        <v>2.0695447991484706E-2</v>
      </c>
    </row>
    <row r="495" spans="1:7">
      <c r="A495" s="52">
        <v>514.62519999999995</v>
      </c>
      <c r="B495" s="52">
        <v>523.5557</v>
      </c>
      <c r="C495" s="52">
        <v>504.50990000000002</v>
      </c>
      <c r="D495" s="52">
        <v>519.93169999999998</v>
      </c>
      <c r="E495" s="52">
        <v>10881445</v>
      </c>
      <c r="F495" s="52" t="s">
        <v>558</v>
      </c>
      <c r="G495" s="25">
        <f t="shared" si="5"/>
        <v>-1.020614823062338E-2</v>
      </c>
    </row>
    <row r="496" spans="1:7">
      <c r="A496" s="52">
        <v>516.96489999999994</v>
      </c>
      <c r="B496" s="52">
        <v>529.15089999999998</v>
      </c>
      <c r="C496" s="52">
        <v>516.60640000000001</v>
      </c>
      <c r="D496" s="52">
        <v>526.95069999999998</v>
      </c>
      <c r="E496" s="52">
        <v>13260579</v>
      </c>
      <c r="F496" s="52" t="s">
        <v>559</v>
      </c>
      <c r="G496" s="25">
        <f t="shared" si="5"/>
        <v>-1.8950159853663773E-2</v>
      </c>
    </row>
    <row r="497" spans="1:7">
      <c r="A497" s="52">
        <v>525.01919999999996</v>
      </c>
      <c r="B497" s="52">
        <v>528.36450000000002</v>
      </c>
      <c r="C497" s="52">
        <v>512.14610000000005</v>
      </c>
      <c r="D497" s="52">
        <v>514.58040000000005</v>
      </c>
      <c r="E497" s="52">
        <v>19263265</v>
      </c>
      <c r="F497" s="52" t="s">
        <v>560</v>
      </c>
      <c r="G497" s="25">
        <f t="shared" si="5"/>
        <v>2.0286042764162682E-2</v>
      </c>
    </row>
    <row r="498" spans="1:7">
      <c r="A498" s="52">
        <v>508.67149999999998</v>
      </c>
      <c r="B498" s="52">
        <v>527.66750000000002</v>
      </c>
      <c r="C498" s="52">
        <v>508.33300000000003</v>
      </c>
      <c r="D498" s="52">
        <v>514.14729999999997</v>
      </c>
      <c r="E498" s="52">
        <v>26476253</v>
      </c>
      <c r="F498" s="52" t="s">
        <v>561</v>
      </c>
      <c r="G498" s="25">
        <f t="shared" si="5"/>
        <v>-1.0650255286763111E-2</v>
      </c>
    </row>
    <row r="499" spans="1:7">
      <c r="A499" s="52">
        <v>504.50990000000002</v>
      </c>
      <c r="B499" s="52">
        <v>505.0077</v>
      </c>
      <c r="C499" s="52">
        <v>496.55509999999998</v>
      </c>
      <c r="D499" s="52">
        <v>496.73430000000002</v>
      </c>
      <c r="E499" s="52">
        <v>12099171</v>
      </c>
      <c r="F499" s="52" t="s">
        <v>562</v>
      </c>
      <c r="G499" s="25">
        <f t="shared" si="5"/>
        <v>1.5653438870639746E-2</v>
      </c>
    </row>
    <row r="500" spans="1:7">
      <c r="A500" s="52">
        <v>495.18110000000001</v>
      </c>
      <c r="B500" s="52">
        <v>495.34039999999999</v>
      </c>
      <c r="C500" s="52">
        <v>482.51710000000003</v>
      </c>
      <c r="D500" s="52">
        <v>482.96510000000001</v>
      </c>
      <c r="E500" s="52">
        <v>11081026</v>
      </c>
      <c r="F500" s="52" t="s">
        <v>563</v>
      </c>
      <c r="G500" s="25">
        <f t="shared" si="5"/>
        <v>2.5293753109696837E-2</v>
      </c>
    </row>
    <row r="501" spans="1:7">
      <c r="A501" s="52">
        <v>489.18759999999997</v>
      </c>
      <c r="B501" s="52">
        <v>495.24090000000001</v>
      </c>
      <c r="C501" s="52">
        <v>479.65980000000002</v>
      </c>
      <c r="D501" s="52">
        <v>485.05590000000001</v>
      </c>
      <c r="E501" s="52">
        <v>9247007</v>
      </c>
      <c r="F501" s="52" t="s">
        <v>564</v>
      </c>
      <c r="G501" s="25">
        <f t="shared" si="5"/>
        <v>8.5179873082668056E-3</v>
      </c>
    </row>
    <row r="502" spans="1:7">
      <c r="A502" s="52">
        <v>483.44299999999998</v>
      </c>
      <c r="B502" s="52">
        <v>490.72089999999997</v>
      </c>
      <c r="C502" s="52">
        <v>483.01490000000001</v>
      </c>
      <c r="D502" s="52">
        <v>490.67110000000002</v>
      </c>
      <c r="E502" s="52">
        <v>15212764</v>
      </c>
      <c r="F502" s="52" t="s">
        <v>565</v>
      </c>
      <c r="G502" s="25">
        <f t="shared" si="5"/>
        <v>-1.4731048965386462E-2</v>
      </c>
    </row>
    <row r="503" spans="1:7">
      <c r="A503" s="52">
        <v>491.6866</v>
      </c>
      <c r="B503" s="52">
        <v>497.69009999999997</v>
      </c>
      <c r="C503" s="52">
        <v>485.9221</v>
      </c>
      <c r="D503" s="52">
        <v>497.1026</v>
      </c>
      <c r="E503" s="52">
        <v>9989676</v>
      </c>
      <c r="F503" s="52" t="s">
        <v>566</v>
      </c>
      <c r="G503" s="25">
        <f t="shared" si="5"/>
        <v>-1.089513512904583E-2</v>
      </c>
    </row>
    <row r="504" spans="1:7">
      <c r="A504" s="52">
        <v>493.70769999999999</v>
      </c>
      <c r="B504" s="52">
        <v>507.75560000000002</v>
      </c>
      <c r="C504" s="52">
        <v>493.03429999999997</v>
      </c>
      <c r="D504" s="52">
        <v>502.90699999999998</v>
      </c>
      <c r="E504" s="52">
        <v>11205382</v>
      </c>
      <c r="F504" s="52" t="s">
        <v>567</v>
      </c>
      <c r="G504" s="25">
        <f t="shared" si="5"/>
        <v>-1.8292248865098282E-2</v>
      </c>
    </row>
    <row r="505" spans="1:7">
      <c r="A505" s="52">
        <v>500.80630000000002</v>
      </c>
      <c r="B505" s="52">
        <v>504.98779999999999</v>
      </c>
      <c r="C505" s="52">
        <v>498.03960000000001</v>
      </c>
      <c r="D505" s="52">
        <v>503.5641</v>
      </c>
      <c r="E505" s="52">
        <v>8380617</v>
      </c>
      <c r="F505" s="52" t="s">
        <v>568</v>
      </c>
      <c r="G505" s="25">
        <f t="shared" si="5"/>
        <v>-5.4765619709585822E-3</v>
      </c>
    </row>
    <row r="506" spans="1:7">
      <c r="A506" s="52">
        <v>507.3374</v>
      </c>
      <c r="B506" s="52">
        <v>507.72570000000002</v>
      </c>
      <c r="C506" s="52">
        <v>502.12049999999999</v>
      </c>
      <c r="D506" s="52">
        <v>504.7688</v>
      </c>
      <c r="E506" s="52">
        <v>8120593</v>
      </c>
      <c r="F506" s="52" t="s">
        <v>569</v>
      </c>
      <c r="G506" s="25">
        <f t="shared" si="5"/>
        <v>5.0886663359541728E-3</v>
      </c>
    </row>
    <row r="507" spans="1:7">
      <c r="A507" s="52">
        <v>505.52539999999999</v>
      </c>
      <c r="B507" s="52">
        <v>512.77340000000004</v>
      </c>
      <c r="C507" s="52">
        <v>503.78309999999999</v>
      </c>
      <c r="D507" s="52">
        <v>512.44479999999999</v>
      </c>
      <c r="E507" s="52">
        <v>9712549</v>
      </c>
      <c r="F507" s="52" t="s">
        <v>570</v>
      </c>
      <c r="G507" s="25">
        <f t="shared" si="5"/>
        <v>-1.3502722634711084E-2</v>
      </c>
    </row>
    <row r="508" spans="1:7">
      <c r="A508" s="52">
        <v>503.2953</v>
      </c>
      <c r="B508" s="52">
        <v>505.96339999999998</v>
      </c>
      <c r="C508" s="52">
        <v>492.99079999999998</v>
      </c>
      <c r="D508" s="52">
        <v>497.30180000000001</v>
      </c>
      <c r="E508" s="52">
        <v>11711100</v>
      </c>
      <c r="F508" s="52" t="s">
        <v>571</v>
      </c>
      <c r="G508" s="25">
        <f t="shared" si="5"/>
        <v>1.2052037615789768E-2</v>
      </c>
    </row>
    <row r="509" spans="1:7">
      <c r="A509" s="52">
        <v>494.05610000000001</v>
      </c>
      <c r="B509" s="52">
        <v>494.44400000000002</v>
      </c>
      <c r="C509" s="52">
        <v>479.16199999999998</v>
      </c>
      <c r="D509" s="52">
        <v>486.02159999999998</v>
      </c>
      <c r="E509" s="52">
        <v>10903092</v>
      </c>
      <c r="F509" s="52" t="s">
        <v>572</v>
      </c>
      <c r="G509" s="25">
        <f t="shared" si="5"/>
        <v>1.6531158285969294E-2</v>
      </c>
    </row>
    <row r="510" spans="1:7">
      <c r="A510" s="52">
        <v>494.79289999999997</v>
      </c>
      <c r="B510" s="52">
        <v>495.23090000000002</v>
      </c>
      <c r="C510" s="52">
        <v>484.66759999999999</v>
      </c>
      <c r="D510" s="52">
        <v>489.74520000000001</v>
      </c>
      <c r="E510" s="52">
        <v>11755251</v>
      </c>
      <c r="F510" s="52" t="s">
        <v>573</v>
      </c>
      <c r="G510" s="25">
        <f t="shared" si="5"/>
        <v>1.0306788101241082E-2</v>
      </c>
    </row>
    <row r="511" spans="1:7">
      <c r="A511" s="52">
        <v>481.96949999999998</v>
      </c>
      <c r="B511" s="52">
        <v>489.66550000000001</v>
      </c>
      <c r="C511" s="52">
        <v>479.18200000000002</v>
      </c>
      <c r="D511" s="52">
        <v>486.85789999999997</v>
      </c>
      <c r="E511" s="52">
        <v>29153576</v>
      </c>
      <c r="F511" s="52" t="s">
        <v>574</v>
      </c>
      <c r="G511" s="25">
        <f t="shared" si="5"/>
        <v>-1.0040712084573356E-2</v>
      </c>
    </row>
    <row r="512" spans="1:7">
      <c r="A512" s="52">
        <v>489.66550000000001</v>
      </c>
      <c r="B512" s="52">
        <v>499.14359999999999</v>
      </c>
      <c r="C512" s="52">
        <v>486.01170000000002</v>
      </c>
      <c r="D512" s="52">
        <v>498.05340000000001</v>
      </c>
      <c r="E512" s="52">
        <v>12620014</v>
      </c>
      <c r="F512" s="52" t="s">
        <v>575</v>
      </c>
      <c r="G512" s="25">
        <f t="shared" si="5"/>
        <v>-1.6841366809261848E-2</v>
      </c>
    </row>
    <row r="513" spans="1:7">
      <c r="A513" s="52">
        <v>493.38909999999998</v>
      </c>
      <c r="B513" s="52">
        <v>498.77530000000002</v>
      </c>
      <c r="C513" s="52">
        <v>488.87079999999997</v>
      </c>
      <c r="D513" s="52">
        <v>493.2099</v>
      </c>
      <c r="E513" s="52">
        <v>12090656</v>
      </c>
      <c r="F513" s="52" t="s">
        <v>576</v>
      </c>
      <c r="G513" s="25">
        <f t="shared" si="5"/>
        <v>3.6333415042966166E-4</v>
      </c>
    </row>
    <row r="514" spans="1:7">
      <c r="A514" s="52">
        <v>497.55070000000001</v>
      </c>
      <c r="B514" s="52">
        <v>500.0994</v>
      </c>
      <c r="C514" s="52">
        <v>482.59679999999997</v>
      </c>
      <c r="D514" s="52">
        <v>491.08920000000001</v>
      </c>
      <c r="E514" s="52">
        <v>15448232</v>
      </c>
      <c r="F514" s="52" t="s">
        <v>577</v>
      </c>
      <c r="G514" s="25">
        <f t="shared" si="5"/>
        <v>1.3157487478853147E-2</v>
      </c>
    </row>
    <row r="515" spans="1:7">
      <c r="A515" s="52">
        <v>481.46179999999998</v>
      </c>
      <c r="B515" s="52">
        <v>495.12939999999998</v>
      </c>
      <c r="C515" s="52">
        <v>473.90519999999998</v>
      </c>
      <c r="D515" s="52">
        <v>494.8227</v>
      </c>
      <c r="E515" s="52">
        <v>20428274</v>
      </c>
      <c r="F515" s="52" t="s">
        <v>578</v>
      </c>
      <c r="G515" s="25">
        <f t="shared" si="5"/>
        <v>-2.7001388578171581E-2</v>
      </c>
    </row>
    <row r="516" spans="1:7">
      <c r="A516" s="52">
        <v>503.72340000000003</v>
      </c>
      <c r="B516" s="52">
        <v>521.26580000000001</v>
      </c>
      <c r="C516" s="52">
        <v>497.1524</v>
      </c>
      <c r="D516" s="52">
        <v>511.9271</v>
      </c>
      <c r="E516" s="52">
        <v>18597059</v>
      </c>
      <c r="F516" s="52" t="s">
        <v>579</v>
      </c>
      <c r="G516" s="25">
        <f t="shared" ref="G516:G579" si="6">A516/D516-1</f>
        <v>-1.6025133266045044E-2</v>
      </c>
    </row>
    <row r="517" spans="1:7">
      <c r="A517" s="52">
        <v>509.9359</v>
      </c>
      <c r="B517" s="52">
        <v>517.56219999999996</v>
      </c>
      <c r="C517" s="52">
        <v>499.17349999999999</v>
      </c>
      <c r="D517" s="52">
        <v>501.06509999999997</v>
      </c>
      <c r="E517" s="52">
        <v>18586437</v>
      </c>
      <c r="F517" s="52" t="s">
        <v>580</v>
      </c>
      <c r="G517" s="25">
        <f t="shared" si="6"/>
        <v>1.7703887179530309E-2</v>
      </c>
    </row>
    <row r="518" spans="1:7">
      <c r="A518" s="52">
        <v>493.90679999999998</v>
      </c>
      <c r="B518" s="52">
        <v>500.75650000000002</v>
      </c>
      <c r="C518" s="52">
        <v>492.11669999999998</v>
      </c>
      <c r="D518" s="52">
        <v>495.44</v>
      </c>
      <c r="E518" s="52">
        <v>11757925</v>
      </c>
      <c r="F518" s="52" t="s">
        <v>581</v>
      </c>
      <c r="G518" s="25">
        <f t="shared" si="6"/>
        <v>-3.0946229614080556E-3</v>
      </c>
    </row>
    <row r="519" spans="1:7">
      <c r="A519" s="52">
        <v>488.06259999999997</v>
      </c>
      <c r="B519" s="52">
        <v>493.399</v>
      </c>
      <c r="C519" s="52">
        <v>485.74290000000002</v>
      </c>
      <c r="D519" s="52">
        <v>492.82159999999999</v>
      </c>
      <c r="E519" s="52">
        <v>15325299</v>
      </c>
      <c r="F519" s="52" t="s">
        <v>582</v>
      </c>
      <c r="G519" s="25">
        <f t="shared" si="6"/>
        <v>-9.6566384265625027E-3</v>
      </c>
    </row>
    <row r="520" spans="1:7">
      <c r="A520" s="52">
        <v>495.9975</v>
      </c>
      <c r="B520" s="52">
        <v>502.20010000000002</v>
      </c>
      <c r="C520" s="52">
        <v>494.2353</v>
      </c>
      <c r="D520" s="52">
        <v>500.78640000000001</v>
      </c>
      <c r="E520" s="52">
        <v>12324141</v>
      </c>
      <c r="F520" s="52" t="s">
        <v>583</v>
      </c>
      <c r="G520" s="25">
        <f t="shared" si="6"/>
        <v>-9.5627596915571766E-3</v>
      </c>
    </row>
    <row r="521" spans="1:7">
      <c r="A521" s="52">
        <v>500.08940000000001</v>
      </c>
      <c r="B521" s="52">
        <v>502.03089999999997</v>
      </c>
      <c r="C521" s="52">
        <v>489.68540000000002</v>
      </c>
      <c r="D521" s="52">
        <v>489.9443</v>
      </c>
      <c r="E521" s="52">
        <v>15884882</v>
      </c>
      <c r="F521" s="52" t="s">
        <v>584</v>
      </c>
      <c r="G521" s="25">
        <f t="shared" si="6"/>
        <v>2.0706639509838087E-2</v>
      </c>
    </row>
    <row r="522" spans="1:7">
      <c r="A522" s="52">
        <v>487.97300000000001</v>
      </c>
      <c r="B522" s="52">
        <v>489.53609999999998</v>
      </c>
      <c r="C522" s="52">
        <v>480.48610000000002</v>
      </c>
      <c r="D522" s="52">
        <v>486.29039999999998</v>
      </c>
      <c r="E522" s="52">
        <v>17732045</v>
      </c>
      <c r="F522" s="52" t="s">
        <v>585</v>
      </c>
      <c r="G522" s="25">
        <f t="shared" si="6"/>
        <v>3.4600724176336861E-3</v>
      </c>
    </row>
    <row r="523" spans="1:7">
      <c r="A523" s="52">
        <v>481.88990000000001</v>
      </c>
      <c r="B523" s="52">
        <v>488.88900000000001</v>
      </c>
      <c r="C523" s="52">
        <v>480.62549999999999</v>
      </c>
      <c r="D523" s="52">
        <v>482.86559999999997</v>
      </c>
      <c r="E523" s="52">
        <v>12715486</v>
      </c>
      <c r="F523" s="52" t="s">
        <v>586</v>
      </c>
      <c r="G523" s="25">
        <f t="shared" si="6"/>
        <v>-2.0206450821925737E-3</v>
      </c>
    </row>
    <row r="524" spans="1:7">
      <c r="A524" s="52">
        <v>484.90660000000003</v>
      </c>
      <c r="B524" s="52">
        <v>485.12560000000002</v>
      </c>
      <c r="C524" s="52">
        <v>477.80790000000002</v>
      </c>
      <c r="D524" s="52">
        <v>477.86270000000002</v>
      </c>
      <c r="E524" s="52">
        <v>10809595</v>
      </c>
      <c r="F524" s="52" t="s">
        <v>587</v>
      </c>
      <c r="G524" s="25">
        <f t="shared" si="6"/>
        <v>1.4740426486520075E-2</v>
      </c>
    </row>
    <row r="525" spans="1:7">
      <c r="A525" s="52">
        <v>479.61989999999997</v>
      </c>
      <c r="B525" s="52">
        <v>484.00060000000002</v>
      </c>
      <c r="C525" s="52">
        <v>478.48489999999998</v>
      </c>
      <c r="D525" s="52">
        <v>481.34230000000002</v>
      </c>
      <c r="E525" s="52">
        <v>12101415</v>
      </c>
      <c r="F525" s="52" t="s">
        <v>588</v>
      </c>
      <c r="G525" s="25">
        <f t="shared" si="6"/>
        <v>-3.5783266918366641E-3</v>
      </c>
    </row>
    <row r="526" spans="1:7">
      <c r="A526" s="52">
        <v>481.89980000000003</v>
      </c>
      <c r="B526" s="52">
        <v>492.18430000000001</v>
      </c>
      <c r="C526" s="52">
        <v>480.22550000000001</v>
      </c>
      <c r="D526" s="52">
        <v>485.90219999999999</v>
      </c>
      <c r="E526" s="52">
        <v>18374286</v>
      </c>
      <c r="F526" s="52" t="s">
        <v>589</v>
      </c>
      <c r="G526" s="25">
        <f t="shared" si="6"/>
        <v>-8.2370485254027459E-3</v>
      </c>
    </row>
    <row r="527" spans="1:7">
      <c r="A527" s="52">
        <v>483.99059999999997</v>
      </c>
      <c r="B527" s="52">
        <v>487.83359999999999</v>
      </c>
      <c r="C527" s="52">
        <v>473.9667</v>
      </c>
      <c r="D527" s="52">
        <v>478.12650000000002</v>
      </c>
      <c r="E527" s="52">
        <v>21625805</v>
      </c>
      <c r="F527" s="52" t="s">
        <v>590</v>
      </c>
      <c r="G527" s="25">
        <f t="shared" si="6"/>
        <v>1.2264745836091384E-2</v>
      </c>
    </row>
    <row r="528" spans="1:7">
      <c r="A528" s="52">
        <v>465.97030000000001</v>
      </c>
      <c r="B528" s="52">
        <v>466.93599999999998</v>
      </c>
      <c r="C528" s="52">
        <v>459.7577</v>
      </c>
      <c r="D528" s="52">
        <v>464.447</v>
      </c>
      <c r="E528" s="52">
        <v>12977050</v>
      </c>
      <c r="F528" s="52" t="s">
        <v>591</v>
      </c>
      <c r="G528" s="25">
        <f t="shared" si="6"/>
        <v>3.2798144890591185E-3</v>
      </c>
    </row>
    <row r="529" spans="1:7">
      <c r="A529" s="52">
        <v>469.17610000000002</v>
      </c>
      <c r="B529" s="52">
        <v>473.58190000000002</v>
      </c>
      <c r="C529" s="52">
        <v>464.01440000000002</v>
      </c>
      <c r="D529" s="52">
        <v>467.15219999999999</v>
      </c>
      <c r="E529" s="52">
        <v>18015523</v>
      </c>
      <c r="F529" s="52" t="s">
        <v>592</v>
      </c>
      <c r="G529" s="25">
        <f t="shared" si="6"/>
        <v>4.3324209968400584E-3</v>
      </c>
    </row>
    <row r="530" spans="1:7">
      <c r="A530" s="52">
        <v>470.73750000000001</v>
      </c>
      <c r="B530" s="52">
        <v>476.34679999999997</v>
      </c>
      <c r="C530" s="52">
        <v>466.65</v>
      </c>
      <c r="D530" s="52">
        <v>475.50139999999999</v>
      </c>
      <c r="E530" s="52">
        <v>23324620</v>
      </c>
      <c r="F530" s="52" t="s">
        <v>593</v>
      </c>
      <c r="G530" s="25">
        <f t="shared" si="6"/>
        <v>-1.0018687642139423E-2</v>
      </c>
    </row>
    <row r="531" spans="1:7">
      <c r="A531" s="52">
        <v>481.38909999999998</v>
      </c>
      <c r="B531" s="52">
        <v>485.95400000000001</v>
      </c>
      <c r="C531" s="52">
        <v>469.64350000000002</v>
      </c>
      <c r="D531" s="52">
        <v>472.68680000000001</v>
      </c>
      <c r="E531" s="52">
        <v>24212326</v>
      </c>
      <c r="F531" s="52" t="s">
        <v>594</v>
      </c>
      <c r="G531" s="25">
        <f t="shared" si="6"/>
        <v>1.8410287742327336E-2</v>
      </c>
    </row>
    <row r="532" spans="1:7">
      <c r="A532" s="52">
        <v>470.6977</v>
      </c>
      <c r="B532" s="52">
        <v>471.52319999999997</v>
      </c>
      <c r="C532" s="52">
        <v>463.5471</v>
      </c>
      <c r="D532" s="52">
        <v>465.37689999999998</v>
      </c>
      <c r="E532" s="52">
        <v>16858401</v>
      </c>
      <c r="F532" s="52" t="s">
        <v>595</v>
      </c>
      <c r="G532" s="25">
        <f t="shared" si="6"/>
        <v>1.1433313514272125E-2</v>
      </c>
    </row>
    <row r="533" spans="1:7">
      <c r="A533" s="52">
        <v>457.60950000000003</v>
      </c>
      <c r="B533" s="52">
        <v>465.3372</v>
      </c>
      <c r="C533" s="52">
        <v>452.60700000000003</v>
      </c>
      <c r="D533" s="52">
        <v>454.37729999999999</v>
      </c>
      <c r="E533" s="52">
        <v>20916602</v>
      </c>
      <c r="F533" s="52" t="s">
        <v>596</v>
      </c>
      <c r="G533" s="25">
        <f t="shared" si="6"/>
        <v>7.1134715576681717E-3</v>
      </c>
    </row>
    <row r="534" spans="1:7">
      <c r="A534" s="52">
        <v>466.34160000000003</v>
      </c>
      <c r="B534" s="52">
        <v>476.53070000000002</v>
      </c>
      <c r="C534" s="52">
        <v>464.03429999999997</v>
      </c>
      <c r="D534" s="52">
        <v>465.63549999999998</v>
      </c>
      <c r="E534" s="52">
        <v>19381963</v>
      </c>
      <c r="F534" s="52" t="s">
        <v>597</v>
      </c>
      <c r="G534" s="25">
        <f t="shared" si="6"/>
        <v>1.5164221800099131E-3</v>
      </c>
    </row>
    <row r="535" spans="1:7">
      <c r="A535" s="52">
        <v>465.55599999999998</v>
      </c>
      <c r="B535" s="52">
        <v>471.0061</v>
      </c>
      <c r="C535" s="52">
        <v>464.91449999999998</v>
      </c>
      <c r="D535" s="52">
        <v>470.36950000000002</v>
      </c>
      <c r="E535" s="52">
        <v>18413137</v>
      </c>
      <c r="F535" s="52" t="s">
        <v>598</v>
      </c>
      <c r="G535" s="25">
        <f t="shared" si="6"/>
        <v>-1.0233444132751068E-2</v>
      </c>
    </row>
    <row r="536" spans="1:7">
      <c r="A536" s="52">
        <v>467.43560000000002</v>
      </c>
      <c r="B536" s="52">
        <v>468.0224</v>
      </c>
      <c r="C536" s="52">
        <v>462.49279999999999</v>
      </c>
      <c r="D536" s="52">
        <v>465.76479999999998</v>
      </c>
      <c r="E536" s="52">
        <v>18815097</v>
      </c>
      <c r="F536" s="52" t="s">
        <v>599</v>
      </c>
      <c r="G536" s="25">
        <f t="shared" si="6"/>
        <v>3.5872182698222232E-3</v>
      </c>
    </row>
    <row r="537" spans="1:7">
      <c r="A537" s="52">
        <v>467.02789999999999</v>
      </c>
      <c r="B537" s="52">
        <v>468.94729999999998</v>
      </c>
      <c r="C537" s="52">
        <v>453.6884</v>
      </c>
      <c r="D537" s="52">
        <v>455.50110000000001</v>
      </c>
      <c r="E537" s="52">
        <v>23065994</v>
      </c>
      <c r="F537" s="52" t="s">
        <v>600</v>
      </c>
      <c r="G537" s="25">
        <f t="shared" si="6"/>
        <v>2.5305756671059498E-2</v>
      </c>
    </row>
    <row r="538" spans="1:7">
      <c r="A538" s="52">
        <v>452.23899999999998</v>
      </c>
      <c r="B538" s="52">
        <v>464.57139999999998</v>
      </c>
      <c r="C538" s="52">
        <v>450.52839999999998</v>
      </c>
      <c r="D538" s="52">
        <v>461.46839999999997</v>
      </c>
      <c r="E538" s="52">
        <v>21655214</v>
      </c>
      <c r="F538" s="52" t="s">
        <v>601</v>
      </c>
      <c r="G538" s="25">
        <f t="shared" si="6"/>
        <v>-2.0000069343859783E-2</v>
      </c>
    </row>
    <row r="539" spans="1:7">
      <c r="A539" s="52">
        <v>456.90339999999998</v>
      </c>
      <c r="B539" s="52">
        <v>469.32530000000003</v>
      </c>
      <c r="C539" s="52">
        <v>456.71449999999999</v>
      </c>
      <c r="D539" s="52">
        <v>467.31630000000001</v>
      </c>
      <c r="E539" s="52">
        <v>40832376</v>
      </c>
      <c r="F539" s="52" t="s">
        <v>602</v>
      </c>
      <c r="G539" s="25">
        <f t="shared" si="6"/>
        <v>-2.2282338536019464E-2</v>
      </c>
    </row>
    <row r="540" spans="1:7">
      <c r="A540" s="52">
        <v>472.39839999999998</v>
      </c>
      <c r="B540" s="52">
        <v>483.30860000000001</v>
      </c>
      <c r="C540" s="52">
        <v>450.53829999999999</v>
      </c>
      <c r="D540" s="52">
        <v>457.0924</v>
      </c>
      <c r="E540" s="52">
        <v>84707646</v>
      </c>
      <c r="F540" s="52" t="s">
        <v>603</v>
      </c>
      <c r="G540" s="25">
        <f t="shared" si="6"/>
        <v>3.3485570969895795E-2</v>
      </c>
    </row>
    <row r="541" spans="1:7">
      <c r="A541" s="52">
        <v>392.62599999999998</v>
      </c>
      <c r="B541" s="52">
        <v>398.31479999999999</v>
      </c>
      <c r="C541" s="52">
        <v>390.90550000000002</v>
      </c>
      <c r="D541" s="52">
        <v>391.79059999999998</v>
      </c>
      <c r="E541" s="52">
        <v>29727051</v>
      </c>
      <c r="F541" s="52" t="s">
        <v>604</v>
      </c>
      <c r="G541" s="25">
        <f t="shared" si="6"/>
        <v>2.1322614682435237E-3</v>
      </c>
    </row>
    <row r="542" spans="1:7">
      <c r="A542" s="52">
        <v>388.01139999999998</v>
      </c>
      <c r="B542" s="52">
        <v>395.82850000000002</v>
      </c>
      <c r="C542" s="52">
        <v>384.98790000000002</v>
      </c>
      <c r="D542" s="52">
        <v>386.87759999999997</v>
      </c>
      <c r="E542" s="52">
        <v>20180817</v>
      </c>
      <c r="F542" s="52" t="s">
        <v>605</v>
      </c>
      <c r="G542" s="25">
        <f t="shared" si="6"/>
        <v>2.9306426632091931E-3</v>
      </c>
    </row>
    <row r="543" spans="1:7">
      <c r="A543" s="52">
        <v>397.87720000000002</v>
      </c>
      <c r="B543" s="52">
        <v>404.1429</v>
      </c>
      <c r="C543" s="52">
        <v>397.38990000000001</v>
      </c>
      <c r="D543" s="52">
        <v>401.38799999999998</v>
      </c>
      <c r="E543" s="52">
        <v>18614727</v>
      </c>
      <c r="F543" s="52" t="s">
        <v>606</v>
      </c>
      <c r="G543" s="25">
        <f t="shared" si="6"/>
        <v>-8.7466491275274283E-3</v>
      </c>
    </row>
    <row r="544" spans="1:7">
      <c r="A544" s="52">
        <v>398.83199999999999</v>
      </c>
      <c r="B544" s="52">
        <v>400.73160000000001</v>
      </c>
      <c r="C544" s="52">
        <v>390.95519999999999</v>
      </c>
      <c r="D544" s="52">
        <v>392.82990000000001</v>
      </c>
      <c r="E544" s="52">
        <v>18742433</v>
      </c>
      <c r="F544" s="52" t="s">
        <v>607</v>
      </c>
      <c r="G544" s="25">
        <f t="shared" si="6"/>
        <v>1.5279132265644702E-2</v>
      </c>
    </row>
    <row r="545" spans="1:7">
      <c r="A545" s="52">
        <v>391.98950000000002</v>
      </c>
      <c r="B545" s="52">
        <v>394.62509999999997</v>
      </c>
      <c r="C545" s="52">
        <v>389.45420000000001</v>
      </c>
      <c r="D545" s="52">
        <v>392.19839999999999</v>
      </c>
      <c r="E545" s="52">
        <v>13159290</v>
      </c>
      <c r="F545" s="52" t="s">
        <v>608</v>
      </c>
      <c r="G545" s="25">
        <f t="shared" si="6"/>
        <v>-5.3263858292118549E-4</v>
      </c>
    </row>
    <row r="546" spans="1:7">
      <c r="A546" s="52">
        <v>391.03480000000002</v>
      </c>
      <c r="B546" s="52">
        <v>393.3322</v>
      </c>
      <c r="C546" s="52">
        <v>383.55579999999998</v>
      </c>
      <c r="D546" s="52">
        <v>388.0412</v>
      </c>
      <c r="E546" s="52">
        <v>15091080</v>
      </c>
      <c r="F546" s="52" t="s">
        <v>609</v>
      </c>
      <c r="G546" s="25">
        <f t="shared" si="6"/>
        <v>7.7146447336005064E-3</v>
      </c>
    </row>
    <row r="547" spans="1:7">
      <c r="A547" s="52">
        <v>388.56830000000002</v>
      </c>
      <c r="B547" s="52">
        <v>393.98860000000002</v>
      </c>
      <c r="C547" s="52">
        <v>385.69409999999999</v>
      </c>
      <c r="D547" s="52">
        <v>387.87209999999999</v>
      </c>
      <c r="E547" s="52">
        <v>15604285</v>
      </c>
      <c r="F547" s="52" t="s">
        <v>610</v>
      </c>
      <c r="G547" s="25">
        <f t="shared" si="6"/>
        <v>1.7949215733743529E-3</v>
      </c>
    </row>
    <row r="548" spans="1:7">
      <c r="A548" s="52">
        <v>383.09829999999999</v>
      </c>
      <c r="B548" s="52">
        <v>386.26100000000002</v>
      </c>
      <c r="C548" s="52">
        <v>379.99040000000002</v>
      </c>
      <c r="D548" s="52">
        <v>382.51650000000001</v>
      </c>
      <c r="E548" s="52">
        <v>15506096</v>
      </c>
      <c r="F548" s="52" t="s">
        <v>611</v>
      </c>
      <c r="G548" s="25">
        <f t="shared" si="6"/>
        <v>1.5209801407258805E-3</v>
      </c>
    </row>
    <row r="549" spans="1:7">
      <c r="A549" s="52">
        <v>379.697</v>
      </c>
      <c r="B549" s="52">
        <v>388.22269999999997</v>
      </c>
      <c r="C549" s="52">
        <v>379.08049999999997</v>
      </c>
      <c r="D549" s="52">
        <v>385.83330000000001</v>
      </c>
      <c r="E549" s="52">
        <v>17680454</v>
      </c>
      <c r="F549" s="52" t="s">
        <v>612</v>
      </c>
      <c r="G549" s="25">
        <f t="shared" si="6"/>
        <v>-1.5904018652615037E-2</v>
      </c>
    </row>
    <row r="550" spans="1:7">
      <c r="A550" s="52">
        <v>381.35789999999997</v>
      </c>
      <c r="B550" s="52">
        <v>382.2629</v>
      </c>
      <c r="C550" s="52">
        <v>375.90780000000001</v>
      </c>
      <c r="D550" s="52">
        <v>376.93209999999999</v>
      </c>
      <c r="E550" s="52">
        <v>21670806</v>
      </c>
      <c r="F550" s="52" t="s">
        <v>613</v>
      </c>
      <c r="G550" s="25">
        <f t="shared" si="6"/>
        <v>1.1741637286927675E-2</v>
      </c>
    </row>
    <row r="551" spans="1:7">
      <c r="A551" s="52">
        <v>374.07780000000002</v>
      </c>
      <c r="B551" s="52">
        <v>374.79390000000001</v>
      </c>
      <c r="C551" s="52">
        <v>368.92610000000002</v>
      </c>
      <c r="D551" s="52">
        <v>369.4631</v>
      </c>
      <c r="E551" s="52">
        <v>16354332</v>
      </c>
      <c r="F551" s="52" t="s">
        <v>614</v>
      </c>
      <c r="G551" s="25">
        <f t="shared" si="6"/>
        <v>1.2490286580716825E-2</v>
      </c>
    </row>
    <row r="552" spans="1:7">
      <c r="A552" s="52">
        <v>366.36009999999999</v>
      </c>
      <c r="B552" s="52">
        <v>366.5292</v>
      </c>
      <c r="C552" s="52">
        <v>356.65339999999998</v>
      </c>
      <c r="D552" s="52">
        <v>364.3014</v>
      </c>
      <c r="E552" s="52">
        <v>12724779</v>
      </c>
      <c r="F552" s="52" t="s">
        <v>615</v>
      </c>
      <c r="G552" s="25">
        <f t="shared" si="6"/>
        <v>5.6510900040460665E-3</v>
      </c>
    </row>
    <row r="553" spans="1:7">
      <c r="A553" s="52">
        <v>365.45510000000002</v>
      </c>
      <c r="B553" s="52">
        <v>373.56060000000002</v>
      </c>
      <c r="C553" s="52">
        <v>365.22640000000001</v>
      </c>
      <c r="D553" s="52">
        <v>371.61130000000003</v>
      </c>
      <c r="E553" s="52">
        <v>15306885</v>
      </c>
      <c r="F553" s="52" t="s">
        <v>616</v>
      </c>
      <c r="G553" s="25">
        <f t="shared" si="6"/>
        <v>-1.6566234665092328E-2</v>
      </c>
    </row>
    <row r="554" spans="1:7">
      <c r="A554" s="52">
        <v>372.4468</v>
      </c>
      <c r="B554" s="52">
        <v>375.0027</v>
      </c>
      <c r="C554" s="52">
        <v>367.52379999999999</v>
      </c>
      <c r="D554" s="52">
        <v>368.1354</v>
      </c>
      <c r="E554" s="52">
        <v>19310046</v>
      </c>
      <c r="F554" s="52" t="s">
        <v>617</v>
      </c>
      <c r="G554" s="25">
        <f t="shared" si="6"/>
        <v>1.1711451819086172E-2</v>
      </c>
    </row>
    <row r="555" spans="1:7">
      <c r="A555" s="52">
        <v>367.65300000000002</v>
      </c>
      <c r="B555" s="52">
        <v>370.74610000000001</v>
      </c>
      <c r="C555" s="52">
        <v>360.94979999999998</v>
      </c>
      <c r="D555" s="52">
        <v>370.09960000000001</v>
      </c>
      <c r="E555" s="52">
        <v>17205385</v>
      </c>
      <c r="F555" s="52" t="s">
        <v>618</v>
      </c>
      <c r="G555" s="25">
        <f t="shared" si="6"/>
        <v>-6.6106529161339411E-3</v>
      </c>
    </row>
    <row r="556" spans="1:7">
      <c r="A556" s="52">
        <v>368.44869999999997</v>
      </c>
      <c r="B556" s="52">
        <v>370.90519999999998</v>
      </c>
      <c r="C556" s="52">
        <v>357.12079999999997</v>
      </c>
      <c r="D556" s="52">
        <v>358.20490000000001</v>
      </c>
      <c r="E556" s="52">
        <v>22117206</v>
      </c>
      <c r="F556" s="52" t="s">
        <v>619</v>
      </c>
      <c r="G556" s="25">
        <f t="shared" si="6"/>
        <v>2.8597598748649089E-2</v>
      </c>
    </row>
    <row r="557" spans="1:7">
      <c r="A557" s="52">
        <v>355.47980000000001</v>
      </c>
      <c r="B557" s="52">
        <v>358.67230000000001</v>
      </c>
      <c r="C557" s="52">
        <v>353.42110000000002</v>
      </c>
      <c r="D557" s="52">
        <v>354.45549999999997</v>
      </c>
      <c r="E557" s="52">
        <v>13463871</v>
      </c>
      <c r="F557" s="52" t="s">
        <v>620</v>
      </c>
      <c r="G557" s="25">
        <f t="shared" si="6"/>
        <v>2.8897844722399757E-3</v>
      </c>
    </row>
    <row r="558" spans="1:7">
      <c r="A558" s="52">
        <v>356.70310000000001</v>
      </c>
      <c r="B558" s="52">
        <v>357.02140000000003</v>
      </c>
      <c r="C558" s="52">
        <v>350.12920000000003</v>
      </c>
      <c r="D558" s="52">
        <v>352.7647</v>
      </c>
      <c r="E558" s="52">
        <v>13890222</v>
      </c>
      <c r="F558" s="52" t="s">
        <v>621</v>
      </c>
      <c r="G558" s="25">
        <f t="shared" si="6"/>
        <v>1.1164382377261584E-2</v>
      </c>
    </row>
    <row r="559" spans="1:7">
      <c r="A559" s="52">
        <v>350.02969999999999</v>
      </c>
      <c r="B559" s="52">
        <v>351.57130000000001</v>
      </c>
      <c r="C559" s="52">
        <v>344.37090000000001</v>
      </c>
      <c r="D559" s="52">
        <v>345.09679999999997</v>
      </c>
      <c r="E559" s="52">
        <v>13750912</v>
      </c>
      <c r="F559" s="52" t="s">
        <v>622</v>
      </c>
      <c r="G559" s="25">
        <f t="shared" si="6"/>
        <v>1.4294250192989466E-2</v>
      </c>
    </row>
    <row r="560" spans="1:7">
      <c r="A560" s="52">
        <v>345.22609999999997</v>
      </c>
      <c r="B560" s="52">
        <v>346.25040000000001</v>
      </c>
      <c r="C560" s="52">
        <v>341.52510000000001</v>
      </c>
      <c r="D560" s="52">
        <v>342.62040000000002</v>
      </c>
      <c r="E560" s="52">
        <v>12099895</v>
      </c>
      <c r="F560" s="52" t="s">
        <v>623</v>
      </c>
      <c r="G560" s="25">
        <f t="shared" si="6"/>
        <v>7.6052097306522626E-3</v>
      </c>
    </row>
    <row r="561" spans="1:7">
      <c r="A561" s="52">
        <v>342.59050000000002</v>
      </c>
      <c r="B561" s="52">
        <v>346.05160000000001</v>
      </c>
      <c r="C561" s="52">
        <v>341.30259999999998</v>
      </c>
      <c r="D561" s="52">
        <v>343.09780000000001</v>
      </c>
      <c r="E561" s="52">
        <v>15451133</v>
      </c>
      <c r="F561" s="52" t="s">
        <v>624</v>
      </c>
      <c r="G561" s="25">
        <f t="shared" si="6"/>
        <v>-1.4785871550326846E-3</v>
      </c>
    </row>
    <row r="562" spans="1:7">
      <c r="A562" s="52">
        <v>344.4006</v>
      </c>
      <c r="B562" s="52">
        <v>351.23309999999998</v>
      </c>
      <c r="C562" s="52">
        <v>338.1549</v>
      </c>
      <c r="D562" s="52">
        <v>349.40320000000003</v>
      </c>
      <c r="E562" s="52">
        <v>19042152</v>
      </c>
      <c r="F562" s="52" t="s">
        <v>625</v>
      </c>
      <c r="G562" s="25">
        <f t="shared" si="6"/>
        <v>-1.4317556336061132E-2</v>
      </c>
    </row>
    <row r="563" spans="1:7">
      <c r="A563" s="52">
        <v>352.02879999999999</v>
      </c>
      <c r="B563" s="52">
        <v>358.03579999999999</v>
      </c>
      <c r="C563" s="52">
        <v>349.90039999999999</v>
      </c>
      <c r="D563" s="52">
        <v>357.03129999999999</v>
      </c>
      <c r="E563" s="52">
        <v>14987092</v>
      </c>
      <c r="F563" s="52" t="s">
        <v>626</v>
      </c>
      <c r="G563" s="25">
        <f t="shared" si="6"/>
        <v>-1.401137659359275E-2</v>
      </c>
    </row>
    <row r="564" spans="1:7">
      <c r="A564" s="52">
        <v>356.36500000000001</v>
      </c>
      <c r="B564" s="52">
        <v>359.92540000000002</v>
      </c>
      <c r="C564" s="52">
        <v>355.8578</v>
      </c>
      <c r="D564" s="52">
        <v>357.73739999999998</v>
      </c>
      <c r="E564" s="52">
        <v>11798807</v>
      </c>
      <c r="F564" s="52" t="s">
        <v>627</v>
      </c>
      <c r="G564" s="25">
        <f t="shared" si="6"/>
        <v>-3.8363335787646724E-3</v>
      </c>
    </row>
    <row r="565" spans="1:7">
      <c r="A565" s="52">
        <v>355.87759999999997</v>
      </c>
      <c r="B565" s="52">
        <v>357.04129999999998</v>
      </c>
      <c r="C565" s="52">
        <v>353.37139999999999</v>
      </c>
      <c r="D565" s="52">
        <v>354.12729999999999</v>
      </c>
      <c r="E565" s="52">
        <v>13207928</v>
      </c>
      <c r="F565" s="52" t="s">
        <v>628</v>
      </c>
      <c r="G565" s="25">
        <f t="shared" si="6"/>
        <v>4.9425729109278116E-3</v>
      </c>
    </row>
    <row r="566" spans="1:7">
      <c r="A566" s="52">
        <v>352.89400000000001</v>
      </c>
      <c r="B566" s="52">
        <v>355.03230000000002</v>
      </c>
      <c r="C566" s="52">
        <v>351.5215</v>
      </c>
      <c r="D566" s="52">
        <v>353.05309999999997</v>
      </c>
      <c r="E566" s="52">
        <v>9898614</v>
      </c>
      <c r="F566" s="52" t="s">
        <v>629</v>
      </c>
      <c r="G566" s="25">
        <f t="shared" si="6"/>
        <v>-4.5064042774289881E-4</v>
      </c>
    </row>
    <row r="567" spans="1:7">
      <c r="A567" s="52">
        <v>351.46190000000001</v>
      </c>
      <c r="B567" s="52">
        <v>355.25099999999998</v>
      </c>
      <c r="C567" s="52">
        <v>349.30369999999999</v>
      </c>
      <c r="D567" s="52">
        <v>353.63990000000001</v>
      </c>
      <c r="E567" s="52">
        <v>11772779</v>
      </c>
      <c r="F567" s="52" t="s">
        <v>630</v>
      </c>
      <c r="G567" s="25">
        <f t="shared" si="6"/>
        <v>-6.1588073065285132E-3</v>
      </c>
    </row>
    <row r="568" spans="1:7">
      <c r="A568" s="52">
        <v>352.15809999999999</v>
      </c>
      <c r="B568" s="52">
        <v>354.46039999999999</v>
      </c>
      <c r="C568" s="52">
        <v>347.30470000000003</v>
      </c>
      <c r="D568" s="52">
        <v>351.05410000000001</v>
      </c>
      <c r="E568" s="52">
        <v>15289556</v>
      </c>
      <c r="F568" s="52" t="s">
        <v>631</v>
      </c>
      <c r="G568" s="25">
        <f t="shared" si="6"/>
        <v>3.144814431735643E-3</v>
      </c>
    </row>
    <row r="569" spans="1:7">
      <c r="A569" s="52">
        <v>347.37430000000001</v>
      </c>
      <c r="B569" s="52">
        <v>353.02330000000001</v>
      </c>
      <c r="C569" s="52">
        <v>345.89240000000001</v>
      </c>
      <c r="D569" s="52">
        <v>346.74770000000001</v>
      </c>
      <c r="E569" s="52">
        <v>16369850</v>
      </c>
      <c r="F569" s="52" t="s">
        <v>632</v>
      </c>
      <c r="G569" s="25">
        <f t="shared" si="6"/>
        <v>1.8070775956120499E-3</v>
      </c>
    </row>
    <row r="570" spans="1:7">
      <c r="A570" s="52">
        <v>348.44839999999999</v>
      </c>
      <c r="B570" s="52">
        <v>351.67070000000001</v>
      </c>
      <c r="C570" s="52">
        <v>343.23700000000002</v>
      </c>
      <c r="D570" s="52">
        <v>343.69450000000001</v>
      </c>
      <c r="E570" s="52">
        <v>17729362</v>
      </c>
      <c r="F570" s="52" t="s">
        <v>633</v>
      </c>
      <c r="G570" s="25">
        <f t="shared" si="6"/>
        <v>1.3831760473327348E-2</v>
      </c>
    </row>
    <row r="571" spans="1:7">
      <c r="A571" s="52">
        <v>342.73970000000003</v>
      </c>
      <c r="B571" s="52">
        <v>345.66370000000001</v>
      </c>
      <c r="C571" s="52">
        <v>335.18119999999999</v>
      </c>
      <c r="D571" s="52">
        <v>335.63869999999997</v>
      </c>
      <c r="E571" s="52">
        <v>18993852</v>
      </c>
      <c r="F571" s="52" t="s">
        <v>634</v>
      </c>
      <c r="G571" s="25">
        <f t="shared" si="6"/>
        <v>2.1156678297228781E-2</v>
      </c>
    </row>
    <row r="572" spans="1:7">
      <c r="A572" s="52">
        <v>333.0926</v>
      </c>
      <c r="B572" s="52">
        <v>336.81220000000002</v>
      </c>
      <c r="C572" s="52">
        <v>329.4128</v>
      </c>
      <c r="D572" s="52">
        <v>330.17860000000002</v>
      </c>
      <c r="E572" s="52">
        <v>31776852</v>
      </c>
      <c r="F572" s="52" t="s">
        <v>635</v>
      </c>
      <c r="G572" s="25">
        <f t="shared" si="6"/>
        <v>8.8255265483589973E-3</v>
      </c>
    </row>
    <row r="573" spans="1:7">
      <c r="A573" s="52">
        <v>331.35219999999998</v>
      </c>
      <c r="B573" s="52">
        <v>332.87380000000002</v>
      </c>
      <c r="C573" s="52">
        <v>326.84399999999999</v>
      </c>
      <c r="D573" s="52">
        <v>332.02850000000001</v>
      </c>
      <c r="E573" s="52">
        <v>19607335</v>
      </c>
      <c r="F573" s="52" t="s">
        <v>636</v>
      </c>
      <c r="G573" s="25">
        <f t="shared" si="6"/>
        <v>-2.0368733406922468E-3</v>
      </c>
    </row>
    <row r="574" spans="1:7">
      <c r="A574" s="52">
        <v>332.91359999999997</v>
      </c>
      <c r="B574" s="52">
        <v>336.52379999999999</v>
      </c>
      <c r="C574" s="52">
        <v>330.82510000000002</v>
      </c>
      <c r="D574" s="52">
        <v>332.108</v>
      </c>
      <c r="E574" s="52">
        <v>16353321</v>
      </c>
      <c r="F574" s="52" t="s">
        <v>637</v>
      </c>
      <c r="G574" s="25">
        <f t="shared" si="6"/>
        <v>2.4257169354546804E-3</v>
      </c>
    </row>
    <row r="575" spans="1:7">
      <c r="A575" s="52">
        <v>332.3965</v>
      </c>
      <c r="B575" s="52">
        <v>332.64510000000001</v>
      </c>
      <c r="C575" s="52">
        <v>322.78919999999999</v>
      </c>
      <c r="D575" s="52">
        <v>322.82900000000001</v>
      </c>
      <c r="E575" s="52">
        <v>18485461</v>
      </c>
      <c r="F575" s="52" t="s">
        <v>638</v>
      </c>
      <c r="G575" s="25">
        <f t="shared" si="6"/>
        <v>2.9636432910302268E-2</v>
      </c>
    </row>
    <row r="576" spans="1:7">
      <c r="A576" s="52">
        <v>323.5052</v>
      </c>
      <c r="B576" s="52">
        <v>328.09010000000001</v>
      </c>
      <c r="C576" s="52">
        <v>318.2491</v>
      </c>
      <c r="D576" s="52">
        <v>327.6028</v>
      </c>
      <c r="E576" s="52">
        <v>25802462</v>
      </c>
      <c r="F576" s="52" t="s">
        <v>639</v>
      </c>
      <c r="G576" s="25">
        <f t="shared" si="6"/>
        <v>-1.2507829603410014E-2</v>
      </c>
    </row>
    <row r="577" spans="1:7">
      <c r="A577" s="52">
        <v>330.93450000000001</v>
      </c>
      <c r="B577" s="52">
        <v>331.35219999999998</v>
      </c>
      <c r="C577" s="52">
        <v>321.23770000000002</v>
      </c>
      <c r="D577" s="52">
        <v>321.3272</v>
      </c>
      <c r="E577" s="52">
        <v>14087351</v>
      </c>
      <c r="F577" s="52" t="s">
        <v>640</v>
      </c>
      <c r="G577" s="25">
        <f t="shared" si="6"/>
        <v>2.9898807197149768E-2</v>
      </c>
    </row>
    <row r="578" spans="1:7">
      <c r="A578" s="52">
        <v>324.80810000000002</v>
      </c>
      <c r="B578" s="52">
        <v>326.44909999999999</v>
      </c>
      <c r="C578" s="52">
        <v>316.03620000000001</v>
      </c>
      <c r="D578" s="52">
        <v>316.03620000000001</v>
      </c>
      <c r="E578" s="52">
        <v>15905079</v>
      </c>
      <c r="F578" s="52" t="s">
        <v>641</v>
      </c>
      <c r="G578" s="25">
        <f t="shared" si="6"/>
        <v>2.7755997572429969E-2</v>
      </c>
    </row>
    <row r="579" spans="1:7">
      <c r="A579" s="52">
        <v>315.71800000000002</v>
      </c>
      <c r="B579" s="52">
        <v>320.49180000000001</v>
      </c>
      <c r="C579" s="52">
        <v>315.31020000000001</v>
      </c>
      <c r="D579" s="52">
        <v>320.17349999999999</v>
      </c>
      <c r="E579" s="52">
        <v>11294337</v>
      </c>
      <c r="F579" s="52" t="s">
        <v>642</v>
      </c>
      <c r="G579" s="25">
        <f t="shared" si="6"/>
        <v>-1.3915892477047498E-2</v>
      </c>
    </row>
    <row r="580" spans="1:7">
      <c r="A580" s="52">
        <v>316.55340000000001</v>
      </c>
      <c r="B580" s="52">
        <v>320.12380000000002</v>
      </c>
      <c r="C580" s="52">
        <v>313.66919999999999</v>
      </c>
      <c r="D580" s="52">
        <v>317.2396</v>
      </c>
      <c r="E580" s="52">
        <v>16952128</v>
      </c>
      <c r="F580" s="52" t="s">
        <v>643</v>
      </c>
      <c r="G580" s="25">
        <f t="shared" ref="G580:G643" si="7">A580/D580-1</f>
        <v>-2.1630338709290875E-3</v>
      </c>
    </row>
    <row r="581" spans="1:7">
      <c r="A581" s="52">
        <v>318.27390000000003</v>
      </c>
      <c r="B581" s="52">
        <v>319.10939999999999</v>
      </c>
      <c r="C581" s="52">
        <v>311.9486</v>
      </c>
      <c r="D581" s="52">
        <v>315.55880000000002</v>
      </c>
      <c r="E581" s="52">
        <v>19037080</v>
      </c>
      <c r="F581" s="52" t="s">
        <v>644</v>
      </c>
      <c r="G581" s="25">
        <f t="shared" si="7"/>
        <v>8.6041016761377875E-3</v>
      </c>
    </row>
    <row r="582" spans="1:7">
      <c r="A582" s="52">
        <v>323.0478</v>
      </c>
      <c r="B582" s="52">
        <v>325.07659999999998</v>
      </c>
      <c r="C582" s="52">
        <v>319.00990000000002</v>
      </c>
      <c r="D582" s="52">
        <v>323.70420000000001</v>
      </c>
      <c r="E582" s="52">
        <v>15276375</v>
      </c>
      <c r="F582" s="52" t="s">
        <v>645</v>
      </c>
      <c r="G582" s="25">
        <f t="shared" si="7"/>
        <v>-2.0277772114171144E-3</v>
      </c>
    </row>
    <row r="583" spans="1:7">
      <c r="A583" s="52">
        <v>325.36500000000001</v>
      </c>
      <c r="B583" s="52">
        <v>331.68040000000002</v>
      </c>
      <c r="C583" s="52">
        <v>320.64460000000003</v>
      </c>
      <c r="D583" s="52">
        <v>330.07920000000001</v>
      </c>
      <c r="E583" s="52">
        <v>23146387</v>
      </c>
      <c r="F583" s="52" t="s">
        <v>646</v>
      </c>
      <c r="G583" s="25">
        <f t="shared" si="7"/>
        <v>-1.4282026859008368E-2</v>
      </c>
    </row>
    <row r="584" spans="1:7">
      <c r="A584" s="52">
        <v>330.38749999999999</v>
      </c>
      <c r="B584" s="52">
        <v>338.0455</v>
      </c>
      <c r="C584" s="52">
        <v>328.97519999999997</v>
      </c>
      <c r="D584" s="52">
        <v>337.83659999999998</v>
      </c>
      <c r="E584" s="52">
        <v>16024497</v>
      </c>
      <c r="F584" s="52" t="s">
        <v>647</v>
      </c>
      <c r="G584" s="25">
        <f t="shared" si="7"/>
        <v>-2.2049416789063025E-2</v>
      </c>
    </row>
    <row r="585" spans="1:7">
      <c r="A585" s="52">
        <v>337.1404</v>
      </c>
      <c r="B585" s="52">
        <v>337.52330000000001</v>
      </c>
      <c r="C585" s="52">
        <v>331.58089999999999</v>
      </c>
      <c r="D585" s="52">
        <v>331.58089999999999</v>
      </c>
      <c r="E585" s="52">
        <v>12637245</v>
      </c>
      <c r="F585" s="52" t="s">
        <v>648</v>
      </c>
      <c r="G585" s="25">
        <f t="shared" si="7"/>
        <v>1.6766647294823134E-2</v>
      </c>
    </row>
    <row r="586" spans="1:7">
      <c r="A586" s="52">
        <v>332.87380000000002</v>
      </c>
      <c r="B586" s="52">
        <v>338.0455</v>
      </c>
      <c r="C586" s="52">
        <v>332.3766</v>
      </c>
      <c r="D586" s="52">
        <v>334.3458</v>
      </c>
      <c r="E586" s="52">
        <v>15684454</v>
      </c>
      <c r="F586" s="52" t="s">
        <v>649</v>
      </c>
      <c r="G586" s="25">
        <f t="shared" si="7"/>
        <v>-4.4026274593549353E-3</v>
      </c>
    </row>
    <row r="587" spans="1:7">
      <c r="A587" s="52">
        <v>336.38459999999998</v>
      </c>
      <c r="B587" s="52">
        <v>339.99040000000002</v>
      </c>
      <c r="C587" s="52">
        <v>334.93259999999998</v>
      </c>
      <c r="D587" s="52">
        <v>338.27420000000001</v>
      </c>
      <c r="E587" s="52">
        <v>5467488</v>
      </c>
      <c r="F587" s="52" t="s">
        <v>650</v>
      </c>
      <c r="G587" s="25">
        <f t="shared" si="7"/>
        <v>-5.5860009424307799E-3</v>
      </c>
    </row>
    <row r="588" spans="1:7">
      <c r="A588" s="52">
        <v>339.6268</v>
      </c>
      <c r="B588" s="52">
        <v>341.04899999999998</v>
      </c>
      <c r="C588" s="52">
        <v>336.73270000000002</v>
      </c>
      <c r="D588" s="52">
        <v>337.35919999999999</v>
      </c>
      <c r="E588" s="52">
        <v>10715177</v>
      </c>
      <c r="F588" s="52" t="s">
        <v>651</v>
      </c>
      <c r="G588" s="25">
        <f t="shared" si="7"/>
        <v>6.7216189746714949E-3</v>
      </c>
    </row>
    <row r="589" spans="1:7">
      <c r="A589" s="52">
        <v>335.14139999999998</v>
      </c>
      <c r="B589" s="52">
        <v>338.04700000000003</v>
      </c>
      <c r="C589" s="52">
        <v>334.06729999999999</v>
      </c>
      <c r="D589" s="52">
        <v>336.48399999999998</v>
      </c>
      <c r="E589" s="52">
        <v>12027863</v>
      </c>
      <c r="F589" s="52" t="s">
        <v>652</v>
      </c>
      <c r="G589" s="25">
        <f t="shared" si="7"/>
        <v>-3.9900857098703613E-3</v>
      </c>
    </row>
    <row r="590" spans="1:7">
      <c r="A590" s="52">
        <v>338.11509999999998</v>
      </c>
      <c r="B590" s="52">
        <v>340.00470000000001</v>
      </c>
      <c r="C590" s="52">
        <v>332.36660000000001</v>
      </c>
      <c r="D590" s="52">
        <v>333.06279999999998</v>
      </c>
      <c r="E590" s="52">
        <v>16976129</v>
      </c>
      <c r="F590" s="52" t="s">
        <v>653</v>
      </c>
      <c r="G590" s="25">
        <f t="shared" si="7"/>
        <v>1.5169211331917065E-2</v>
      </c>
    </row>
    <row r="591" spans="1:7">
      <c r="A591" s="52">
        <v>333.21199999999999</v>
      </c>
      <c r="B591" s="52">
        <v>333.66950000000003</v>
      </c>
      <c r="C591" s="52">
        <v>327.553</v>
      </c>
      <c r="D591" s="52">
        <v>328.4581</v>
      </c>
      <c r="E591" s="52">
        <v>14519213</v>
      </c>
      <c r="F591" s="52" t="s">
        <v>654</v>
      </c>
      <c r="G591" s="25">
        <f t="shared" si="7"/>
        <v>1.4473383363053038E-2</v>
      </c>
    </row>
    <row r="592" spans="1:7">
      <c r="A592" s="52">
        <v>332.36660000000001</v>
      </c>
      <c r="B592" s="52">
        <v>332.75450000000001</v>
      </c>
      <c r="C592" s="52">
        <v>324.5992</v>
      </c>
      <c r="D592" s="52">
        <v>327.5729</v>
      </c>
      <c r="E592" s="52">
        <v>18932572</v>
      </c>
      <c r="F592" s="52" t="s">
        <v>655</v>
      </c>
      <c r="G592" s="25">
        <f t="shared" si="7"/>
        <v>1.4633994448258747E-2</v>
      </c>
    </row>
    <row r="593" spans="1:7">
      <c r="A593" s="52">
        <v>330.8947</v>
      </c>
      <c r="B593" s="52">
        <v>336.55369999999999</v>
      </c>
      <c r="C593" s="52">
        <v>328.21940000000001</v>
      </c>
      <c r="D593" s="52">
        <v>336.08620000000002</v>
      </c>
      <c r="E593" s="52">
        <v>14531180</v>
      </c>
      <c r="F593" s="52" t="s">
        <v>656</v>
      </c>
      <c r="G593" s="25">
        <f t="shared" si="7"/>
        <v>-1.5446929984033964E-2</v>
      </c>
    </row>
    <row r="594" spans="1:7">
      <c r="A594" s="52">
        <v>334.4751</v>
      </c>
      <c r="B594" s="52">
        <v>336.25529999999998</v>
      </c>
      <c r="C594" s="52">
        <v>331.51130000000001</v>
      </c>
      <c r="D594" s="52">
        <v>332.71469999999999</v>
      </c>
      <c r="E594" s="52">
        <v>17179403</v>
      </c>
      <c r="F594" s="52" t="s">
        <v>657</v>
      </c>
      <c r="G594" s="25">
        <f t="shared" si="7"/>
        <v>5.2910196032818213E-3</v>
      </c>
    </row>
    <row r="595" spans="1:7">
      <c r="A595" s="52">
        <v>327.39389999999997</v>
      </c>
      <c r="B595" s="52">
        <v>330.51679999999999</v>
      </c>
      <c r="C595" s="52">
        <v>323.923</v>
      </c>
      <c r="D595" s="52">
        <v>324.42020000000002</v>
      </c>
      <c r="E595" s="52">
        <v>16908948</v>
      </c>
      <c r="F595" s="52" t="s">
        <v>658</v>
      </c>
      <c r="G595" s="25">
        <f t="shared" si="7"/>
        <v>9.1661986522415528E-3</v>
      </c>
    </row>
    <row r="596" spans="1:7">
      <c r="A596" s="52">
        <v>326.97620000000001</v>
      </c>
      <c r="B596" s="52">
        <v>327.30439999999999</v>
      </c>
      <c r="C596" s="52">
        <v>317.71699999999998</v>
      </c>
      <c r="D596" s="52">
        <v>318.19439999999997</v>
      </c>
      <c r="E596" s="52">
        <v>19116921</v>
      </c>
      <c r="F596" s="52" t="s">
        <v>659</v>
      </c>
      <c r="G596" s="25">
        <f t="shared" si="7"/>
        <v>2.7598851519700096E-2</v>
      </c>
    </row>
    <row r="597" spans="1:7">
      <c r="A597" s="52">
        <v>318.80110000000002</v>
      </c>
      <c r="B597" s="52">
        <v>322.41109999999998</v>
      </c>
      <c r="C597" s="52">
        <v>317.06060000000002</v>
      </c>
      <c r="D597" s="52">
        <v>317.67520000000002</v>
      </c>
      <c r="E597" s="52">
        <v>16103071</v>
      </c>
      <c r="F597" s="52" t="s">
        <v>660</v>
      </c>
      <c r="G597" s="25">
        <f t="shared" si="7"/>
        <v>3.5441860113725188E-3</v>
      </c>
    </row>
    <row r="598" spans="1:7">
      <c r="A598" s="52">
        <v>318.03530000000001</v>
      </c>
      <c r="B598" s="52">
        <v>319.57679999999999</v>
      </c>
      <c r="C598" s="52">
        <v>313.16199999999998</v>
      </c>
      <c r="D598" s="52">
        <v>316.4042</v>
      </c>
      <c r="E598" s="52">
        <v>13609704</v>
      </c>
      <c r="F598" s="52" t="s">
        <v>661</v>
      </c>
      <c r="G598" s="25">
        <f t="shared" si="7"/>
        <v>5.1551148815345282E-3</v>
      </c>
    </row>
    <row r="599" spans="1:7">
      <c r="A599" s="52">
        <v>317.08049999999997</v>
      </c>
      <c r="B599" s="52">
        <v>319.24860000000001</v>
      </c>
      <c r="C599" s="52">
        <v>313.40069999999997</v>
      </c>
      <c r="D599" s="52">
        <v>315.33010000000002</v>
      </c>
      <c r="E599" s="52">
        <v>14055614</v>
      </c>
      <c r="F599" s="52" t="s">
        <v>662</v>
      </c>
      <c r="G599" s="25">
        <f t="shared" si="7"/>
        <v>5.5510082925795956E-3</v>
      </c>
    </row>
    <row r="600" spans="1:7">
      <c r="A600" s="52">
        <v>314.077</v>
      </c>
      <c r="B600" s="52">
        <v>316.59320000000002</v>
      </c>
      <c r="C600" s="52">
        <v>312.73430000000002</v>
      </c>
      <c r="D600" s="52">
        <v>314.25599999999997</v>
      </c>
      <c r="E600" s="52">
        <v>12887699</v>
      </c>
      <c r="F600" s="52" t="s">
        <v>663</v>
      </c>
      <c r="G600" s="25">
        <f t="shared" si="7"/>
        <v>-5.6959930757083388E-4</v>
      </c>
    </row>
    <row r="601" spans="1:7">
      <c r="A601" s="52">
        <v>312.88350000000003</v>
      </c>
      <c r="B601" s="52">
        <v>313.82830000000001</v>
      </c>
      <c r="C601" s="52">
        <v>309.31979999999999</v>
      </c>
      <c r="D601" s="52">
        <v>310.84469999999999</v>
      </c>
      <c r="E601" s="52">
        <v>16764315</v>
      </c>
      <c r="F601" s="52" t="s">
        <v>664</v>
      </c>
      <c r="G601" s="25">
        <f t="shared" si="7"/>
        <v>6.5589022428242938E-3</v>
      </c>
    </row>
    <row r="602" spans="1:7">
      <c r="A602" s="52">
        <v>309.1739</v>
      </c>
      <c r="B602" s="52">
        <v>317.08049999999997</v>
      </c>
      <c r="C602" s="52">
        <v>306.64769999999999</v>
      </c>
      <c r="D602" s="52">
        <v>315.56880000000001</v>
      </c>
      <c r="E602" s="52">
        <v>21631820</v>
      </c>
      <c r="F602" s="52" t="s">
        <v>665</v>
      </c>
      <c r="G602" s="25">
        <f t="shared" si="7"/>
        <v>-2.0264677623389904E-2</v>
      </c>
    </row>
    <row r="603" spans="1:7">
      <c r="A603" s="52">
        <v>310.14850000000001</v>
      </c>
      <c r="B603" s="52">
        <v>311.03370000000001</v>
      </c>
      <c r="C603" s="52">
        <v>300.20310000000001</v>
      </c>
      <c r="D603" s="52">
        <v>300.20310000000001</v>
      </c>
      <c r="E603" s="52">
        <v>20434580</v>
      </c>
      <c r="F603" s="52" t="s">
        <v>666</v>
      </c>
      <c r="G603" s="25">
        <f t="shared" si="7"/>
        <v>3.3128905064604641E-2</v>
      </c>
    </row>
    <row r="604" spans="1:7">
      <c r="A604" s="52">
        <v>299.62619999999998</v>
      </c>
      <c r="B604" s="52">
        <v>302.0231</v>
      </c>
      <c r="C604" s="52">
        <v>295.24029999999999</v>
      </c>
      <c r="D604" s="52">
        <v>301.6551</v>
      </c>
      <c r="E604" s="52">
        <v>19434168</v>
      </c>
      <c r="F604" s="52" t="s">
        <v>667</v>
      </c>
      <c r="G604" s="25">
        <f t="shared" si="7"/>
        <v>-6.7258932469566046E-3</v>
      </c>
    </row>
    <row r="605" spans="1:7">
      <c r="A605" s="52">
        <v>301.00869999999998</v>
      </c>
      <c r="B605" s="52">
        <v>307.70859999999999</v>
      </c>
      <c r="C605" s="52">
        <v>297.41840000000002</v>
      </c>
      <c r="D605" s="52">
        <v>297.4581</v>
      </c>
      <c r="E605" s="52">
        <v>28435053</v>
      </c>
      <c r="F605" s="52" t="s">
        <v>668</v>
      </c>
      <c r="G605" s="25">
        <f t="shared" si="7"/>
        <v>1.193647105256157E-2</v>
      </c>
    </row>
    <row r="606" spans="1:7">
      <c r="A606" s="52">
        <v>295.11099999999999</v>
      </c>
      <c r="B606" s="52">
        <v>297.67689999999999</v>
      </c>
      <c r="C606" s="52">
        <v>291.37150000000003</v>
      </c>
      <c r="D606" s="52">
        <v>292.87329999999997</v>
      </c>
      <c r="E606" s="52">
        <v>29596256</v>
      </c>
      <c r="F606" s="52" t="s">
        <v>669</v>
      </c>
      <c r="G606" s="25">
        <f t="shared" si="7"/>
        <v>7.6405052970005549E-3</v>
      </c>
    </row>
    <row r="607" spans="1:7">
      <c r="A607" s="52">
        <v>286.77670000000001</v>
      </c>
      <c r="B607" s="52">
        <v>293.39049999999997</v>
      </c>
      <c r="C607" s="52">
        <v>277.87860000000001</v>
      </c>
      <c r="D607" s="52">
        <v>293.39049999999997</v>
      </c>
      <c r="E607" s="52">
        <v>66684141</v>
      </c>
      <c r="F607" s="52" t="s">
        <v>670</v>
      </c>
      <c r="G607" s="25">
        <f t="shared" si="7"/>
        <v>-2.254265219903151E-2</v>
      </c>
    </row>
    <row r="608" spans="1:7">
      <c r="A608" s="52">
        <v>297.89569999999998</v>
      </c>
      <c r="B608" s="52">
        <v>309.18380000000002</v>
      </c>
      <c r="C608" s="52">
        <v>297.20949999999999</v>
      </c>
      <c r="D608" s="52">
        <v>308.30860000000001</v>
      </c>
      <c r="E608" s="52">
        <v>42192474</v>
      </c>
      <c r="F608" s="52" t="s">
        <v>671</v>
      </c>
      <c r="G608" s="25">
        <f t="shared" si="7"/>
        <v>-3.3774276812258974E-2</v>
      </c>
    </row>
    <row r="609" spans="1:7">
      <c r="A609" s="52">
        <v>310.84469999999999</v>
      </c>
      <c r="B609" s="52">
        <v>316.61309999999997</v>
      </c>
      <c r="C609" s="52">
        <v>308.93520000000001</v>
      </c>
      <c r="D609" s="52">
        <v>315.05160000000001</v>
      </c>
      <c r="E609" s="52">
        <v>19525488</v>
      </c>
      <c r="F609" s="52" t="s">
        <v>672</v>
      </c>
      <c r="G609" s="25">
        <f t="shared" si="7"/>
        <v>-1.3353050738355354E-2</v>
      </c>
    </row>
    <row r="610" spans="1:7">
      <c r="A610" s="52">
        <v>312.29669999999999</v>
      </c>
      <c r="B610" s="52">
        <v>315.62849999999997</v>
      </c>
      <c r="C610" s="52">
        <v>305.58359999999999</v>
      </c>
      <c r="D610" s="52">
        <v>307.81130000000002</v>
      </c>
      <c r="E610" s="52">
        <v>17796785</v>
      </c>
      <c r="F610" s="52" t="s">
        <v>673</v>
      </c>
      <c r="G610" s="25">
        <f t="shared" si="7"/>
        <v>1.4571914676296815E-2</v>
      </c>
    </row>
    <row r="611" spans="1:7">
      <c r="A611" s="52">
        <v>306.96600000000001</v>
      </c>
      <c r="B611" s="52">
        <v>313.5797</v>
      </c>
      <c r="C611" s="52">
        <v>304.79790000000003</v>
      </c>
      <c r="D611" s="52">
        <v>312.42599999999999</v>
      </c>
      <c r="E611" s="52">
        <v>22312275</v>
      </c>
      <c r="F611" s="52" t="s">
        <v>674</v>
      </c>
      <c r="G611" s="25">
        <f t="shared" si="7"/>
        <v>-1.7476138349561077E-2</v>
      </c>
    </row>
    <row r="612" spans="1:7">
      <c r="A612" s="52">
        <v>311.10329999999999</v>
      </c>
      <c r="B612" s="52">
        <v>320.13369999999998</v>
      </c>
      <c r="C612" s="52">
        <v>310.04950000000002</v>
      </c>
      <c r="D612" s="52">
        <v>318.12970000000001</v>
      </c>
      <c r="E612" s="52">
        <v>18709160</v>
      </c>
      <c r="F612" s="52" t="s">
        <v>675</v>
      </c>
      <c r="G612" s="25">
        <f t="shared" si="7"/>
        <v>-2.2086589211884444E-2</v>
      </c>
    </row>
    <row r="613" spans="1:7">
      <c r="A613" s="52">
        <v>315.24059999999997</v>
      </c>
      <c r="B613" s="52">
        <v>324.16160000000002</v>
      </c>
      <c r="C613" s="52">
        <v>313.8383</v>
      </c>
      <c r="D613" s="52">
        <v>319.63650000000001</v>
      </c>
      <c r="E613" s="52">
        <v>16851003</v>
      </c>
      <c r="F613" s="52" t="s">
        <v>676</v>
      </c>
      <c r="G613" s="25">
        <f t="shared" si="7"/>
        <v>-1.3752809832419111E-2</v>
      </c>
    </row>
    <row r="614" spans="1:7">
      <c r="A614" s="52">
        <v>322.23219999999998</v>
      </c>
      <c r="B614" s="52">
        <v>322.63</v>
      </c>
      <c r="C614" s="52">
        <v>315.56880000000001</v>
      </c>
      <c r="D614" s="52">
        <v>316.44400000000002</v>
      </c>
      <c r="E614" s="52">
        <v>16387799</v>
      </c>
      <c r="F614" s="52" t="s">
        <v>677</v>
      </c>
      <c r="G614" s="25">
        <f t="shared" si="7"/>
        <v>1.8291388049702206E-2</v>
      </c>
    </row>
    <row r="615" spans="1:7">
      <c r="A615" s="52">
        <v>319.39780000000002</v>
      </c>
      <c r="B615" s="52">
        <v>320.0641</v>
      </c>
      <c r="C615" s="52">
        <v>313.79849999999999</v>
      </c>
      <c r="D615" s="52">
        <v>316.9015</v>
      </c>
      <c r="E615" s="52">
        <v>16536114</v>
      </c>
      <c r="F615" s="52" t="s">
        <v>678</v>
      </c>
      <c r="G615" s="25">
        <f t="shared" si="7"/>
        <v>7.8772110576945664E-3</v>
      </c>
    </row>
    <row r="616" spans="1:7">
      <c r="A616" s="52">
        <v>312.97300000000001</v>
      </c>
      <c r="B616" s="52">
        <v>323.27670000000001</v>
      </c>
      <c r="C616" s="52">
        <v>310.66570000000002</v>
      </c>
      <c r="D616" s="52">
        <v>321.76479999999998</v>
      </c>
      <c r="E616" s="52">
        <v>21360790</v>
      </c>
      <c r="F616" s="52" t="s">
        <v>679</v>
      </c>
      <c r="G616" s="25">
        <f t="shared" si="7"/>
        <v>-2.7323684877898269E-2</v>
      </c>
    </row>
    <row r="617" spans="1:7">
      <c r="A617" s="52">
        <v>322.39139999999998</v>
      </c>
      <c r="B617" s="52">
        <v>328.73649999999998</v>
      </c>
      <c r="C617" s="52">
        <v>320.92939999999999</v>
      </c>
      <c r="D617" s="52">
        <v>326.21039999999999</v>
      </c>
      <c r="E617" s="52">
        <v>20530518</v>
      </c>
      <c r="F617" s="52" t="s">
        <v>680</v>
      </c>
      <c r="G617" s="25">
        <f t="shared" si="7"/>
        <v>-1.1707168134431067E-2</v>
      </c>
    </row>
    <row r="618" spans="1:7">
      <c r="A618" s="52">
        <v>326.03140000000002</v>
      </c>
      <c r="B618" s="52">
        <v>327.04079999999999</v>
      </c>
      <c r="C618" s="52">
        <v>321.18799999999999</v>
      </c>
      <c r="D618" s="52">
        <v>321.24270000000001</v>
      </c>
      <c r="E618" s="52">
        <v>22036297</v>
      </c>
      <c r="F618" s="52" t="s">
        <v>681</v>
      </c>
      <c r="G618" s="25">
        <f t="shared" si="7"/>
        <v>1.4906797882099809E-2</v>
      </c>
    </row>
    <row r="619" spans="1:7">
      <c r="A619" s="52">
        <v>320.084</v>
      </c>
      <c r="B619" s="52">
        <v>322.8886</v>
      </c>
      <c r="C619" s="52">
        <v>316.42410000000001</v>
      </c>
      <c r="D619" s="52">
        <v>317.37889999999999</v>
      </c>
      <c r="E619" s="52">
        <v>19037973</v>
      </c>
      <c r="F619" s="52" t="s">
        <v>682</v>
      </c>
      <c r="G619" s="25">
        <f t="shared" si="7"/>
        <v>8.5232509155461766E-3</v>
      </c>
    </row>
    <row r="620" spans="1:7">
      <c r="A620" s="52">
        <v>316.62299999999999</v>
      </c>
      <c r="B620" s="52">
        <v>318.58229999999998</v>
      </c>
      <c r="C620" s="52">
        <v>310.11869999999999</v>
      </c>
      <c r="D620" s="52">
        <v>310.79500000000002</v>
      </c>
      <c r="E620" s="52">
        <v>22503662</v>
      </c>
      <c r="F620" s="52" t="s">
        <v>683</v>
      </c>
      <c r="G620" s="25">
        <f t="shared" si="7"/>
        <v>1.875191042326918E-2</v>
      </c>
    </row>
    <row r="621" spans="1:7">
      <c r="A621" s="52">
        <v>313.709</v>
      </c>
      <c r="B621" s="52">
        <v>314.58420000000001</v>
      </c>
      <c r="C621" s="52">
        <v>299.27300000000002</v>
      </c>
      <c r="D621" s="52">
        <v>299.7953</v>
      </c>
      <c r="E621" s="52">
        <v>21803856</v>
      </c>
      <c r="F621" s="52" t="s">
        <v>684</v>
      </c>
      <c r="G621" s="25">
        <f t="shared" si="7"/>
        <v>4.6410667545488504E-2</v>
      </c>
    </row>
    <row r="622" spans="1:7">
      <c r="A622" s="52">
        <v>303.12700000000001</v>
      </c>
      <c r="B622" s="52">
        <v>304.53730000000002</v>
      </c>
      <c r="C622" s="52">
        <v>297.86590000000001</v>
      </c>
      <c r="D622" s="52">
        <v>302.96289999999999</v>
      </c>
      <c r="E622" s="52">
        <v>19129957</v>
      </c>
      <c r="F622" s="52" t="s">
        <v>685</v>
      </c>
      <c r="G622" s="25">
        <f t="shared" si="7"/>
        <v>5.4165047931609145E-4</v>
      </c>
    </row>
    <row r="623" spans="1:7">
      <c r="A623" s="52">
        <v>303.91269999999997</v>
      </c>
      <c r="B623" s="52">
        <v>305.22550000000001</v>
      </c>
      <c r="C623" s="52">
        <v>296.87139999999999</v>
      </c>
      <c r="D623" s="52">
        <v>297.0951</v>
      </c>
      <c r="E623" s="52">
        <v>16880484</v>
      </c>
      <c r="F623" s="52" t="s">
        <v>686</v>
      </c>
      <c r="G623" s="25">
        <f t="shared" si="7"/>
        <v>2.2947534308037865E-2</v>
      </c>
    </row>
    <row r="624" spans="1:7">
      <c r="A624" s="52">
        <v>299.298</v>
      </c>
      <c r="B624" s="52">
        <v>305.09620000000001</v>
      </c>
      <c r="C624" s="52">
        <v>298.00510000000003</v>
      </c>
      <c r="D624" s="52">
        <v>302.59989999999999</v>
      </c>
      <c r="E624" s="52">
        <v>17362250</v>
      </c>
      <c r="F624" s="52" t="s">
        <v>687</v>
      </c>
      <c r="G624" s="25">
        <f t="shared" si="7"/>
        <v>-1.0911768311886338E-2</v>
      </c>
    </row>
    <row r="625" spans="1:7">
      <c r="A625" s="52">
        <v>305.14600000000002</v>
      </c>
      <c r="B625" s="52">
        <v>305.50400000000002</v>
      </c>
      <c r="C625" s="52">
        <v>299.98430000000002</v>
      </c>
      <c r="D625" s="52">
        <v>301.08819999999997</v>
      </c>
      <c r="E625" s="52">
        <v>16265571</v>
      </c>
      <c r="F625" s="52" t="s">
        <v>688</v>
      </c>
      <c r="G625" s="25">
        <f t="shared" si="7"/>
        <v>1.3477114015095992E-2</v>
      </c>
    </row>
    <row r="626" spans="1:7">
      <c r="A626" s="52">
        <v>298.572</v>
      </c>
      <c r="B626" s="52">
        <v>308.94510000000002</v>
      </c>
      <c r="C626" s="52">
        <v>297.72669999999999</v>
      </c>
      <c r="D626" s="52">
        <v>305.7029</v>
      </c>
      <c r="E626" s="52">
        <v>25373695</v>
      </c>
      <c r="F626" s="52" t="s">
        <v>689</v>
      </c>
      <c r="G626" s="25">
        <f t="shared" si="7"/>
        <v>-2.332624257080973E-2</v>
      </c>
    </row>
    <row r="627" spans="1:7">
      <c r="A627" s="52">
        <v>302.30160000000001</v>
      </c>
      <c r="B627" s="52">
        <v>304.6585</v>
      </c>
      <c r="C627" s="52">
        <v>295.08120000000002</v>
      </c>
      <c r="D627" s="52">
        <v>297.30399999999997</v>
      </c>
      <c r="E627" s="52">
        <v>22167075</v>
      </c>
      <c r="F627" s="52" t="s">
        <v>690</v>
      </c>
      <c r="G627" s="25">
        <f t="shared" si="7"/>
        <v>1.6809730107903098E-2</v>
      </c>
    </row>
    <row r="628" spans="1:7">
      <c r="A628" s="52">
        <v>296.1155</v>
      </c>
      <c r="B628" s="52">
        <v>299.6558</v>
      </c>
      <c r="C628" s="52">
        <v>285.22519999999997</v>
      </c>
      <c r="D628" s="52">
        <v>298.8107</v>
      </c>
      <c r="E628" s="52">
        <v>36429835</v>
      </c>
      <c r="F628" s="52" t="s">
        <v>691</v>
      </c>
      <c r="G628" s="25">
        <f t="shared" si="7"/>
        <v>-9.0197573246205698E-3</v>
      </c>
    </row>
    <row r="629" spans="1:7">
      <c r="A629" s="52">
        <v>297.3288</v>
      </c>
      <c r="B629" s="52">
        <v>298.66140000000001</v>
      </c>
      <c r="C629" s="52">
        <v>294.39499999999998</v>
      </c>
      <c r="D629" s="52">
        <v>296.03590000000003</v>
      </c>
      <c r="E629" s="52">
        <v>19417161</v>
      </c>
      <c r="F629" s="52" t="s">
        <v>692</v>
      </c>
      <c r="G629" s="25">
        <f t="shared" si="7"/>
        <v>4.3673757135536118E-3</v>
      </c>
    </row>
    <row r="630" spans="1:7">
      <c r="A630" s="52">
        <v>299.18860000000001</v>
      </c>
      <c r="B630" s="52">
        <v>299.30799999999999</v>
      </c>
      <c r="C630" s="52">
        <v>292.09750000000003</v>
      </c>
      <c r="D630" s="52">
        <v>294.02699999999999</v>
      </c>
      <c r="E630" s="52">
        <v>18987014</v>
      </c>
      <c r="F630" s="52" t="s">
        <v>693</v>
      </c>
      <c r="G630" s="25">
        <f t="shared" si="7"/>
        <v>1.7554850404894795E-2</v>
      </c>
    </row>
    <row r="631" spans="1:7">
      <c r="A631" s="52">
        <v>297.44819999999999</v>
      </c>
      <c r="B631" s="52">
        <v>303.71379999999999</v>
      </c>
      <c r="C631" s="52">
        <v>296.64260000000002</v>
      </c>
      <c r="D631" s="52">
        <v>297.66699999999997</v>
      </c>
      <c r="E631" s="52">
        <v>25369592</v>
      </c>
      <c r="F631" s="52" t="s">
        <v>694</v>
      </c>
      <c r="G631" s="25">
        <f t="shared" si="7"/>
        <v>-7.3504956881342842E-4</v>
      </c>
    </row>
    <row r="632" spans="1:7">
      <c r="A632" s="52">
        <v>294.11649999999997</v>
      </c>
      <c r="B632" s="52">
        <v>298.61840000000001</v>
      </c>
      <c r="C632" s="52">
        <v>291.66989999999998</v>
      </c>
      <c r="D632" s="52">
        <v>294.08659999999998</v>
      </c>
      <c r="E632" s="52">
        <v>21319582</v>
      </c>
      <c r="F632" s="52" t="s">
        <v>695</v>
      </c>
      <c r="G632" s="25">
        <f t="shared" si="7"/>
        <v>1.0167073236244661E-4</v>
      </c>
    </row>
    <row r="633" spans="1:7">
      <c r="A633" s="52">
        <v>298.03500000000003</v>
      </c>
      <c r="B633" s="52">
        <v>306.37920000000003</v>
      </c>
      <c r="C633" s="52">
        <v>297.79629999999997</v>
      </c>
      <c r="D633" s="52">
        <v>303.38560000000001</v>
      </c>
      <c r="E633" s="52">
        <v>19379515</v>
      </c>
      <c r="F633" s="52" t="s">
        <v>696</v>
      </c>
      <c r="G633" s="25">
        <f t="shared" si="7"/>
        <v>-1.7636301788878539E-2</v>
      </c>
    </row>
    <row r="634" spans="1:7">
      <c r="A634" s="52">
        <v>303.40550000000002</v>
      </c>
      <c r="B634" s="52">
        <v>304.49950000000001</v>
      </c>
      <c r="C634" s="52">
        <v>298.17419999999998</v>
      </c>
      <c r="D634" s="52">
        <v>300.82960000000003</v>
      </c>
      <c r="E634" s="52">
        <v>15931618</v>
      </c>
      <c r="F634" s="52" t="s">
        <v>697</v>
      </c>
      <c r="G634" s="25">
        <f t="shared" si="7"/>
        <v>8.5626547387622765E-3</v>
      </c>
    </row>
    <row r="635" spans="1:7">
      <c r="A635" s="52">
        <v>300.89929999999998</v>
      </c>
      <c r="B635" s="52">
        <v>301.94349999999997</v>
      </c>
      <c r="C635" s="52">
        <v>296.17520000000002</v>
      </c>
      <c r="D635" s="52">
        <v>296.56310000000002</v>
      </c>
      <c r="E635" s="52">
        <v>14234158</v>
      </c>
      <c r="F635" s="52" t="s">
        <v>698</v>
      </c>
      <c r="G635" s="25">
        <f t="shared" si="7"/>
        <v>1.4621508879560485E-2</v>
      </c>
    </row>
    <row r="636" spans="1:7">
      <c r="A636" s="52">
        <v>298.67149999999998</v>
      </c>
      <c r="B636" s="52">
        <v>310.29770000000002</v>
      </c>
      <c r="C636" s="52">
        <v>297.12</v>
      </c>
      <c r="D636" s="52">
        <v>309.90980000000002</v>
      </c>
      <c r="E636" s="52">
        <v>28131140</v>
      </c>
      <c r="F636" s="52" t="s">
        <v>699</v>
      </c>
      <c r="G636" s="25">
        <f t="shared" si="7"/>
        <v>-3.6263132046808533E-2</v>
      </c>
    </row>
    <row r="637" spans="1:7">
      <c r="A637" s="52">
        <v>310.01920000000001</v>
      </c>
      <c r="B637" s="52">
        <v>311.16300000000001</v>
      </c>
      <c r="C637" s="52">
        <v>303.3657</v>
      </c>
      <c r="D637" s="52">
        <v>305.06639999999999</v>
      </c>
      <c r="E637" s="52">
        <v>19343102</v>
      </c>
      <c r="F637" s="52" t="s">
        <v>700</v>
      </c>
      <c r="G637" s="25">
        <f t="shared" si="7"/>
        <v>1.6235154051708278E-2</v>
      </c>
    </row>
    <row r="638" spans="1:7">
      <c r="A638" s="52">
        <v>303.3956</v>
      </c>
      <c r="B638" s="52">
        <v>305.50400000000002</v>
      </c>
      <c r="C638" s="52">
        <v>299.67660000000001</v>
      </c>
      <c r="D638" s="52">
        <v>300.71030000000002</v>
      </c>
      <c r="E638" s="52">
        <v>13210915</v>
      </c>
      <c r="F638" s="52" t="s">
        <v>701</v>
      </c>
      <c r="G638" s="25">
        <f t="shared" si="7"/>
        <v>8.9298570750651063E-3</v>
      </c>
    </row>
    <row r="639" spans="1:7">
      <c r="A639" s="52">
        <v>300.01409999999998</v>
      </c>
      <c r="B639" s="52">
        <v>306.97579999999999</v>
      </c>
      <c r="C639" s="52">
        <v>298.59190000000001</v>
      </c>
      <c r="D639" s="52">
        <v>304.65859999999998</v>
      </c>
      <c r="E639" s="52">
        <v>13480400</v>
      </c>
      <c r="F639" s="52" t="s">
        <v>702</v>
      </c>
      <c r="G639" s="25">
        <f t="shared" si="7"/>
        <v>-1.5244933180944109E-2</v>
      </c>
    </row>
    <row r="640" spans="1:7">
      <c r="A640" s="52">
        <v>305.88189999999997</v>
      </c>
      <c r="B640" s="52">
        <v>307.35390000000001</v>
      </c>
      <c r="C640" s="52">
        <v>299.63619999999997</v>
      </c>
      <c r="D640" s="52">
        <v>299.76549999999997</v>
      </c>
      <c r="E640" s="52">
        <v>19489330</v>
      </c>
      <c r="F640" s="52" t="s">
        <v>703</v>
      </c>
      <c r="G640" s="25">
        <f t="shared" si="7"/>
        <v>2.0403949086869488E-2</v>
      </c>
    </row>
    <row r="641" spans="1:7">
      <c r="A641" s="52">
        <v>296.2647</v>
      </c>
      <c r="B641" s="52">
        <v>303.58449999999999</v>
      </c>
      <c r="C641" s="52">
        <v>295.16070000000002</v>
      </c>
      <c r="D641" s="52">
        <v>297.5874</v>
      </c>
      <c r="E641" s="52">
        <v>17572203</v>
      </c>
      <c r="F641" s="52" t="s">
        <v>704</v>
      </c>
      <c r="G641" s="25">
        <f t="shared" si="7"/>
        <v>-4.4447446363656828E-3</v>
      </c>
    </row>
    <row r="642" spans="1:7">
      <c r="A642" s="52">
        <v>297.04039999999998</v>
      </c>
      <c r="B642" s="52">
        <v>305.37459999999999</v>
      </c>
      <c r="C642" s="52">
        <v>290.62560000000002</v>
      </c>
      <c r="D642" s="52">
        <v>296.3741</v>
      </c>
      <c r="E642" s="52">
        <v>33748737</v>
      </c>
      <c r="F642" s="52" t="s">
        <v>705</v>
      </c>
      <c r="G642" s="25">
        <f t="shared" si="7"/>
        <v>2.2481721580933645E-3</v>
      </c>
    </row>
    <row r="643" spans="1:7">
      <c r="A643" s="52">
        <v>297.53769999999997</v>
      </c>
      <c r="B643" s="52">
        <v>301.64519999999999</v>
      </c>
      <c r="C643" s="52">
        <v>294.04689999999999</v>
      </c>
      <c r="D643" s="52">
        <v>300.06380000000001</v>
      </c>
      <c r="E643" s="52">
        <v>15418092</v>
      </c>
      <c r="F643" s="52" t="s">
        <v>706</v>
      </c>
      <c r="G643" s="25">
        <f t="shared" si="7"/>
        <v>-8.4185429898576691E-3</v>
      </c>
    </row>
    <row r="644" spans="1:7">
      <c r="A644" s="52">
        <v>298.51240000000001</v>
      </c>
      <c r="B644" s="52">
        <v>299.74560000000002</v>
      </c>
      <c r="C644" s="52">
        <v>293.89769999999999</v>
      </c>
      <c r="D644" s="52">
        <v>295.39940000000001</v>
      </c>
      <c r="E644" s="52">
        <v>14955989</v>
      </c>
      <c r="F644" s="52" t="s">
        <v>707</v>
      </c>
      <c r="G644" s="25">
        <f t="shared" ref="G644:G707" si="8">A644/D644-1</f>
        <v>1.0538274620733867E-2</v>
      </c>
    </row>
    <row r="645" spans="1:7">
      <c r="A645" s="52">
        <v>294.7629</v>
      </c>
      <c r="B645" s="52">
        <v>300.09370000000001</v>
      </c>
      <c r="C645" s="52">
        <v>292.86329999999998</v>
      </c>
      <c r="D645" s="52">
        <v>297.73660000000001</v>
      </c>
      <c r="E645" s="52">
        <v>12842257</v>
      </c>
      <c r="F645" s="52" t="s">
        <v>708</v>
      </c>
      <c r="G645" s="25">
        <f t="shared" si="8"/>
        <v>-9.9876871032986703E-3</v>
      </c>
    </row>
    <row r="646" spans="1:7">
      <c r="A646" s="52">
        <v>294.2756</v>
      </c>
      <c r="B646" s="52">
        <v>299.4572</v>
      </c>
      <c r="C646" s="52">
        <v>294.04689999999999</v>
      </c>
      <c r="D646" s="52">
        <v>294.18610000000001</v>
      </c>
      <c r="E646" s="52">
        <v>17229865</v>
      </c>
      <c r="F646" s="52" t="s">
        <v>709</v>
      </c>
      <c r="G646" s="25">
        <f t="shared" si="8"/>
        <v>3.0422919369743617E-4</v>
      </c>
    </row>
    <row r="647" spans="1:7">
      <c r="A647" s="52">
        <v>293.48989999999998</v>
      </c>
      <c r="B647" s="52">
        <v>296.66250000000002</v>
      </c>
      <c r="C647" s="52">
        <v>291.82900000000001</v>
      </c>
      <c r="D647" s="52">
        <v>295.54860000000002</v>
      </c>
      <c r="E647" s="52">
        <v>17717024</v>
      </c>
      <c r="F647" s="52" t="s">
        <v>710</v>
      </c>
      <c r="G647" s="25">
        <f t="shared" si="8"/>
        <v>-6.9656902451916691E-3</v>
      </c>
    </row>
    <row r="648" spans="1:7">
      <c r="A648" s="52">
        <v>296.36410000000001</v>
      </c>
      <c r="B648" s="52">
        <v>297.51780000000002</v>
      </c>
      <c r="C648" s="52">
        <v>286.60770000000002</v>
      </c>
      <c r="D648" s="52">
        <v>287.01049999999998</v>
      </c>
      <c r="E648" s="52">
        <v>20844522</v>
      </c>
      <c r="F648" s="52" t="s">
        <v>711</v>
      </c>
      <c r="G648" s="25">
        <f t="shared" si="8"/>
        <v>3.2589748458680123E-2</v>
      </c>
    </row>
    <row r="649" spans="1:7">
      <c r="A649" s="52">
        <v>288.67630000000003</v>
      </c>
      <c r="B649" s="52">
        <v>289.85980000000001</v>
      </c>
      <c r="C649" s="52">
        <v>284.2407</v>
      </c>
      <c r="D649" s="52">
        <v>286.42860000000002</v>
      </c>
      <c r="E649" s="52">
        <v>14239285</v>
      </c>
      <c r="F649" s="52" t="s">
        <v>712</v>
      </c>
      <c r="G649" s="25">
        <f t="shared" si="8"/>
        <v>7.8473308880468995E-3</v>
      </c>
    </row>
    <row r="650" spans="1:7">
      <c r="A650" s="52">
        <v>283.94229999999999</v>
      </c>
      <c r="B650" s="52">
        <v>286.8125</v>
      </c>
      <c r="C650" s="52">
        <v>274.524</v>
      </c>
      <c r="D650" s="52">
        <v>284.56889999999999</v>
      </c>
      <c r="E650" s="52">
        <v>23701443</v>
      </c>
      <c r="F650" s="52" t="s">
        <v>713</v>
      </c>
      <c r="G650" s="25">
        <f t="shared" si="8"/>
        <v>-2.2019271958390041E-3</v>
      </c>
    </row>
    <row r="651" spans="1:7">
      <c r="A651" s="52">
        <v>285.18549999999999</v>
      </c>
      <c r="B651" s="52">
        <v>297.8261</v>
      </c>
      <c r="C651" s="52">
        <v>285.0761</v>
      </c>
      <c r="D651" s="52">
        <v>296.87139999999999</v>
      </c>
      <c r="E651" s="52">
        <v>18360882</v>
      </c>
      <c r="F651" s="52" t="s">
        <v>714</v>
      </c>
      <c r="G651" s="25">
        <f t="shared" si="8"/>
        <v>-3.9363508913286993E-2</v>
      </c>
    </row>
    <row r="652" spans="1:7">
      <c r="A652" s="52">
        <v>292.63459999999998</v>
      </c>
      <c r="B652" s="52">
        <v>295.7774</v>
      </c>
      <c r="C652" s="52">
        <v>286.10039999999998</v>
      </c>
      <c r="D652" s="52">
        <v>286.92590000000001</v>
      </c>
      <c r="E652" s="52">
        <v>18287001</v>
      </c>
      <c r="F652" s="52" t="s">
        <v>715</v>
      </c>
      <c r="G652" s="25">
        <f t="shared" si="8"/>
        <v>1.9896077698109416E-2</v>
      </c>
    </row>
    <row r="653" spans="1:7">
      <c r="A653" s="52">
        <v>286.0308</v>
      </c>
      <c r="B653" s="52">
        <v>291.30189999999999</v>
      </c>
      <c r="C653" s="52">
        <v>285.18549999999999</v>
      </c>
      <c r="D653" s="52">
        <v>290.9538</v>
      </c>
      <c r="E653" s="52">
        <v>12999913</v>
      </c>
      <c r="F653" s="52" t="s">
        <v>716</v>
      </c>
      <c r="G653" s="25">
        <f t="shared" si="8"/>
        <v>-1.6920212074906793E-2</v>
      </c>
    </row>
    <row r="654" spans="1:7">
      <c r="A654" s="52">
        <v>288.31830000000002</v>
      </c>
      <c r="B654" s="52">
        <v>288.91500000000002</v>
      </c>
      <c r="C654" s="52">
        <v>280.31220000000002</v>
      </c>
      <c r="D654" s="52">
        <v>281.90350000000001</v>
      </c>
      <c r="E654" s="52">
        <v>20181475</v>
      </c>
      <c r="F654" s="52" t="s">
        <v>717</v>
      </c>
      <c r="G654" s="25">
        <f t="shared" si="8"/>
        <v>2.2755304563440992E-2</v>
      </c>
    </row>
    <row r="655" spans="1:7">
      <c r="A655" s="52">
        <v>281.70460000000003</v>
      </c>
      <c r="B655" s="52">
        <v>284.13130000000001</v>
      </c>
      <c r="C655" s="52">
        <v>272.88299999999998</v>
      </c>
      <c r="D655" s="52">
        <v>277.50760000000002</v>
      </c>
      <c r="E655" s="52">
        <v>35347925</v>
      </c>
      <c r="F655" s="52" t="s">
        <v>718</v>
      </c>
      <c r="G655" s="25">
        <f t="shared" si="8"/>
        <v>1.5123910119938966E-2</v>
      </c>
    </row>
    <row r="656" spans="1:7">
      <c r="A656" s="52">
        <v>283.53449999999998</v>
      </c>
      <c r="B656" s="52">
        <v>294.43470000000002</v>
      </c>
      <c r="C656" s="52">
        <v>283.39530000000002</v>
      </c>
      <c r="D656" s="52">
        <v>291.4511</v>
      </c>
      <c r="E656" s="52">
        <v>23950089</v>
      </c>
      <c r="F656" s="52" t="s">
        <v>719</v>
      </c>
      <c r="G656" s="25">
        <f t="shared" si="8"/>
        <v>-2.7162704138018356E-2</v>
      </c>
    </row>
    <row r="657" spans="1:7">
      <c r="A657" s="52">
        <v>292.68430000000001</v>
      </c>
      <c r="B657" s="52">
        <v>299.43729999999999</v>
      </c>
      <c r="C657" s="52">
        <v>292.67439999999999</v>
      </c>
      <c r="D657" s="52">
        <v>298.55709999999999</v>
      </c>
      <c r="E657" s="52">
        <v>18547741</v>
      </c>
      <c r="F657" s="52" t="s">
        <v>720</v>
      </c>
      <c r="G657" s="25">
        <f t="shared" si="8"/>
        <v>-1.9670609072770295E-2</v>
      </c>
    </row>
    <row r="658" spans="1:7">
      <c r="A658" s="52">
        <v>300.30250000000001</v>
      </c>
      <c r="B658" s="52">
        <v>305.55369999999999</v>
      </c>
      <c r="C658" s="52">
        <v>298.39299999999997</v>
      </c>
      <c r="D658" s="52">
        <v>304.46969999999999</v>
      </c>
      <c r="E658" s="52">
        <v>11623613</v>
      </c>
      <c r="F658" s="52" t="s">
        <v>721</v>
      </c>
      <c r="G658" s="25">
        <f t="shared" si="8"/>
        <v>-1.3686747811030076E-2</v>
      </c>
    </row>
    <row r="659" spans="1:7">
      <c r="A659" s="52">
        <v>304.51940000000002</v>
      </c>
      <c r="B659" s="52">
        <v>304.53930000000003</v>
      </c>
      <c r="C659" s="52">
        <v>296.62270000000001</v>
      </c>
      <c r="D659" s="52">
        <v>299.33780000000002</v>
      </c>
      <c r="E659" s="52">
        <v>15641921</v>
      </c>
      <c r="F659" s="52" t="s">
        <v>722</v>
      </c>
      <c r="G659" s="25">
        <f t="shared" si="8"/>
        <v>1.7310209402220611E-2</v>
      </c>
    </row>
    <row r="660" spans="1:7">
      <c r="A660" s="52">
        <v>299.99419999999998</v>
      </c>
      <c r="B660" s="52">
        <v>303.05739999999997</v>
      </c>
      <c r="C660" s="52">
        <v>298.72120000000001</v>
      </c>
      <c r="D660" s="52">
        <v>300.91919999999999</v>
      </c>
      <c r="E660" s="52">
        <v>14046250</v>
      </c>
      <c r="F660" s="52" t="s">
        <v>723</v>
      </c>
      <c r="G660" s="25">
        <f t="shared" si="8"/>
        <v>-3.073914858207849E-3</v>
      </c>
    </row>
    <row r="661" spans="1:7">
      <c r="A661" s="52">
        <v>304.07190000000003</v>
      </c>
      <c r="B661" s="52">
        <v>310.63490000000002</v>
      </c>
      <c r="C661" s="52">
        <v>302.21210000000002</v>
      </c>
      <c r="D661" s="52">
        <v>306.25990000000002</v>
      </c>
      <c r="E661" s="52">
        <v>14358897</v>
      </c>
      <c r="F661" s="52" t="s">
        <v>724</v>
      </c>
      <c r="G661" s="25">
        <f t="shared" si="8"/>
        <v>-7.1442588468160206E-3</v>
      </c>
    </row>
    <row r="662" spans="1:7">
      <c r="A662" s="52">
        <v>303.54469999999998</v>
      </c>
      <c r="B662" s="52">
        <v>311.91879999999998</v>
      </c>
      <c r="C662" s="52">
        <v>301.19760000000002</v>
      </c>
      <c r="D662" s="52">
        <v>311.17290000000003</v>
      </c>
      <c r="E662" s="52">
        <v>19955783</v>
      </c>
      <c r="F662" s="52" t="s">
        <v>725</v>
      </c>
      <c r="G662" s="25">
        <f t="shared" si="8"/>
        <v>-2.4514345561583495E-2</v>
      </c>
    </row>
    <row r="663" spans="1:7">
      <c r="A663" s="52">
        <v>310.93419999999998</v>
      </c>
      <c r="B663" s="52">
        <v>316.15559999999999</v>
      </c>
      <c r="C663" s="52">
        <v>308.41800000000001</v>
      </c>
      <c r="D663" s="52">
        <v>312.68459999999999</v>
      </c>
      <c r="E663" s="52">
        <v>15183532</v>
      </c>
      <c r="F663" s="52" t="s">
        <v>726</v>
      </c>
      <c r="G663" s="25">
        <f t="shared" si="8"/>
        <v>-5.5979731652918696E-3</v>
      </c>
    </row>
    <row r="664" spans="1:7">
      <c r="A664" s="52">
        <v>314.83280000000002</v>
      </c>
      <c r="B664" s="52">
        <v>315.33999999999997</v>
      </c>
      <c r="C664" s="52">
        <v>308.76609999999999</v>
      </c>
      <c r="D664" s="52">
        <v>311.52100000000002</v>
      </c>
      <c r="E664" s="52">
        <v>16236504</v>
      </c>
      <c r="F664" s="52" t="s">
        <v>727</v>
      </c>
      <c r="G664" s="25">
        <f t="shared" si="8"/>
        <v>1.0631065000433315E-2</v>
      </c>
    </row>
    <row r="665" spans="1:7">
      <c r="A665" s="52">
        <v>309.03460000000001</v>
      </c>
      <c r="B665" s="52">
        <v>316.67270000000002</v>
      </c>
      <c r="C665" s="52">
        <v>308.50749999999999</v>
      </c>
      <c r="D665" s="52">
        <v>313.24160000000001</v>
      </c>
      <c r="E665" s="52">
        <v>17612762</v>
      </c>
      <c r="F665" s="52" t="s">
        <v>728</v>
      </c>
      <c r="G665" s="25">
        <f t="shared" si="8"/>
        <v>-1.3430527745995402E-2</v>
      </c>
    </row>
    <row r="666" spans="1:7">
      <c r="A666" s="52">
        <v>311.4812</v>
      </c>
      <c r="B666" s="52">
        <v>314.22609999999997</v>
      </c>
      <c r="C666" s="52">
        <v>308.23899999999998</v>
      </c>
      <c r="D666" s="52">
        <v>308.23899999999998</v>
      </c>
      <c r="E666" s="52">
        <v>15215422</v>
      </c>
      <c r="F666" s="52" t="s">
        <v>729</v>
      </c>
      <c r="G666" s="25">
        <f t="shared" si="8"/>
        <v>1.0518461323842931E-2</v>
      </c>
    </row>
    <row r="667" spans="1:7">
      <c r="A667" s="52">
        <v>312.5951</v>
      </c>
      <c r="B667" s="52">
        <v>316.65280000000001</v>
      </c>
      <c r="C667" s="52">
        <v>308.95510000000002</v>
      </c>
      <c r="D667" s="52">
        <v>316.26499999999999</v>
      </c>
      <c r="E667" s="52">
        <v>20461094</v>
      </c>
      <c r="F667" s="52" t="s">
        <v>730</v>
      </c>
      <c r="G667" s="25">
        <f t="shared" si="8"/>
        <v>-1.1603876495976384E-2</v>
      </c>
    </row>
    <row r="668" spans="1:7">
      <c r="A668" s="52">
        <v>320.94929999999999</v>
      </c>
      <c r="B668" s="52">
        <v>322.37150000000003</v>
      </c>
      <c r="C668" s="52">
        <v>312.94319999999999</v>
      </c>
      <c r="D668" s="52">
        <v>315.80250000000001</v>
      </c>
      <c r="E668" s="52">
        <v>22889870</v>
      </c>
      <c r="F668" s="52" t="s">
        <v>731</v>
      </c>
      <c r="G668" s="25">
        <f t="shared" si="8"/>
        <v>1.6297527726981231E-2</v>
      </c>
    </row>
    <row r="669" spans="1:7">
      <c r="A669" s="52">
        <v>316.86169999999998</v>
      </c>
      <c r="B669" s="52">
        <v>323.88310000000001</v>
      </c>
      <c r="C669" s="52">
        <v>315.85719999999998</v>
      </c>
      <c r="D669" s="52">
        <v>321.9239</v>
      </c>
      <c r="E669" s="52">
        <v>25799603</v>
      </c>
      <c r="F669" s="52" t="s">
        <v>732</v>
      </c>
      <c r="G669" s="25">
        <f t="shared" si="8"/>
        <v>-1.5724834347496497E-2</v>
      </c>
    </row>
    <row r="670" spans="1:7">
      <c r="A670" s="52">
        <v>323.70420000000001</v>
      </c>
      <c r="B670" s="52">
        <v>324.42020000000002</v>
      </c>
      <c r="C670" s="52">
        <v>312.5335</v>
      </c>
      <c r="D670" s="52">
        <v>315.14609999999999</v>
      </c>
      <c r="E670" s="52">
        <v>39220270</v>
      </c>
      <c r="F670" s="52" t="s">
        <v>733</v>
      </c>
      <c r="G670" s="25">
        <f t="shared" si="8"/>
        <v>2.7155976228168566E-2</v>
      </c>
    </row>
    <row r="671" spans="1:7">
      <c r="A671" s="52">
        <v>310.0093</v>
      </c>
      <c r="B671" s="52">
        <v>323.57490000000001</v>
      </c>
      <c r="C671" s="52">
        <v>308.14949999999999</v>
      </c>
      <c r="D671" s="52">
        <v>323.34609999999998</v>
      </c>
      <c r="E671" s="52">
        <v>64229173</v>
      </c>
      <c r="F671" s="52" t="s">
        <v>734</v>
      </c>
      <c r="G671" s="25">
        <f t="shared" si="8"/>
        <v>-4.1246206464218949E-2</v>
      </c>
    </row>
    <row r="672" spans="1:7">
      <c r="A672" s="52">
        <v>296.94099999999997</v>
      </c>
      <c r="B672" s="52">
        <v>300.12349999999998</v>
      </c>
      <c r="C672" s="52">
        <v>290.30739999999997</v>
      </c>
      <c r="D672" s="52">
        <v>299.54669999999999</v>
      </c>
      <c r="E672" s="52">
        <v>47256930</v>
      </c>
      <c r="F672" s="52" t="s">
        <v>735</v>
      </c>
      <c r="G672" s="25">
        <f t="shared" si="8"/>
        <v>-8.6988105694371098E-3</v>
      </c>
    </row>
    <row r="673" spans="1:7">
      <c r="A673" s="52">
        <v>292.86329999999998</v>
      </c>
      <c r="B673" s="52">
        <v>296.67250000000001</v>
      </c>
      <c r="C673" s="52">
        <v>290.26760000000002</v>
      </c>
      <c r="D673" s="52">
        <v>293.57940000000002</v>
      </c>
      <c r="E673" s="52">
        <v>19585584</v>
      </c>
      <c r="F673" s="52" t="s">
        <v>736</v>
      </c>
      <c r="G673" s="25">
        <f t="shared" si="8"/>
        <v>-2.4392038405965932E-3</v>
      </c>
    </row>
    <row r="674" spans="1:7">
      <c r="A674" s="52">
        <v>290.01900000000001</v>
      </c>
      <c r="B674" s="52">
        <v>295.89670000000001</v>
      </c>
      <c r="C674" s="52">
        <v>286.72710000000001</v>
      </c>
      <c r="D674" s="52">
        <v>294.1662</v>
      </c>
      <c r="E674" s="52">
        <v>24949405</v>
      </c>
      <c r="F674" s="52" t="s">
        <v>737</v>
      </c>
      <c r="G674" s="25">
        <f t="shared" si="8"/>
        <v>-1.4098152676956133E-2</v>
      </c>
    </row>
    <row r="675" spans="1:7">
      <c r="A675" s="52">
        <v>292.65449999999998</v>
      </c>
      <c r="B675" s="52">
        <v>303.79340000000002</v>
      </c>
      <c r="C675" s="52">
        <v>289.6112</v>
      </c>
      <c r="D675" s="52">
        <v>302.90820000000002</v>
      </c>
      <c r="E675" s="52">
        <v>42139259</v>
      </c>
      <c r="F675" s="52" t="s">
        <v>738</v>
      </c>
      <c r="G675" s="25">
        <f t="shared" si="8"/>
        <v>-3.3850849861443266E-2</v>
      </c>
    </row>
    <row r="676" spans="1:7">
      <c r="A676" s="52">
        <v>300.86939999999998</v>
      </c>
      <c r="B676" s="52">
        <v>313.8184</v>
      </c>
      <c r="C676" s="52">
        <v>300.5711</v>
      </c>
      <c r="D676" s="52">
        <v>311.78949999999998</v>
      </c>
      <c r="E676" s="52">
        <v>23836876</v>
      </c>
      <c r="F676" s="52" t="s">
        <v>739</v>
      </c>
      <c r="G676" s="25">
        <f t="shared" si="8"/>
        <v>-3.5023950453751618E-2</v>
      </c>
    </row>
    <row r="677" spans="1:7">
      <c r="A677" s="52">
        <v>314.28579999999999</v>
      </c>
      <c r="B677" s="52">
        <v>316.94130000000001</v>
      </c>
      <c r="C677" s="52">
        <v>308.82580000000002</v>
      </c>
      <c r="D677" s="52">
        <v>311.32209999999998</v>
      </c>
      <c r="E677" s="52">
        <v>21763688</v>
      </c>
      <c r="F677" s="52" t="s">
        <v>740</v>
      </c>
      <c r="G677" s="25">
        <f t="shared" si="8"/>
        <v>9.5197224996235175E-3</v>
      </c>
    </row>
    <row r="678" spans="1:7">
      <c r="A678" s="52">
        <v>310.34739999999999</v>
      </c>
      <c r="B678" s="52">
        <v>312.48570000000001</v>
      </c>
      <c r="C678" s="52">
        <v>305.94040000000001</v>
      </c>
      <c r="D678" s="52">
        <v>309.17880000000002</v>
      </c>
      <c r="E678" s="52">
        <v>20764580</v>
      </c>
      <c r="F678" s="52" t="s">
        <v>741</v>
      </c>
      <c r="G678" s="25">
        <f t="shared" si="8"/>
        <v>3.7796899399311634E-3</v>
      </c>
    </row>
    <row r="679" spans="1:7">
      <c r="A679" s="52">
        <v>308.92520000000002</v>
      </c>
      <c r="B679" s="52">
        <v>310.0093</v>
      </c>
      <c r="C679" s="52">
        <v>303.04750000000001</v>
      </c>
      <c r="D679" s="52">
        <v>305.86200000000002</v>
      </c>
      <c r="E679" s="52">
        <v>25323126</v>
      </c>
      <c r="F679" s="52" t="s">
        <v>742</v>
      </c>
      <c r="G679" s="25">
        <f t="shared" si="8"/>
        <v>1.0014974073274896E-2</v>
      </c>
    </row>
    <row r="680" spans="1:7">
      <c r="A680" s="52">
        <v>307.1848</v>
      </c>
      <c r="B680" s="52">
        <v>313.16199999999998</v>
      </c>
      <c r="C680" s="52">
        <v>305.68419999999998</v>
      </c>
      <c r="D680" s="52">
        <v>310.08879999999999</v>
      </c>
      <c r="E680" s="52">
        <v>23054108</v>
      </c>
      <c r="F680" s="52" t="s">
        <v>743</v>
      </c>
      <c r="G680" s="25">
        <f t="shared" si="8"/>
        <v>-9.365059299142664E-3</v>
      </c>
    </row>
    <row r="681" spans="1:7">
      <c r="A681" s="52">
        <v>311.7</v>
      </c>
      <c r="B681" s="52">
        <v>314.51459999999997</v>
      </c>
      <c r="C681" s="52">
        <v>308.59710000000001</v>
      </c>
      <c r="D681" s="52">
        <v>311.90890000000002</v>
      </c>
      <c r="E681" s="52">
        <v>30280972</v>
      </c>
      <c r="F681" s="52" t="s">
        <v>744</v>
      </c>
      <c r="G681" s="25">
        <f t="shared" si="8"/>
        <v>-6.6974683954201808E-4</v>
      </c>
    </row>
    <row r="682" spans="1:7">
      <c r="A682" s="52">
        <v>307.65219999999999</v>
      </c>
      <c r="B682" s="52">
        <v>307.76159999999999</v>
      </c>
      <c r="C682" s="52">
        <v>298.46300000000002</v>
      </c>
      <c r="D682" s="52">
        <v>300.09870000000001</v>
      </c>
      <c r="E682" s="52">
        <v>36677127</v>
      </c>
      <c r="F682" s="52" t="s">
        <v>745</v>
      </c>
      <c r="G682" s="25">
        <f t="shared" si="8"/>
        <v>2.5170052386098263E-2</v>
      </c>
    </row>
    <row r="683" spans="1:7">
      <c r="A683" s="52">
        <v>296.66250000000002</v>
      </c>
      <c r="B683" s="52">
        <v>298.54219999999998</v>
      </c>
      <c r="C683" s="52">
        <v>290.30739999999997</v>
      </c>
      <c r="D683" s="52">
        <v>292.29649999999998</v>
      </c>
      <c r="E683" s="52">
        <v>27585918</v>
      </c>
      <c r="F683" s="52" t="s">
        <v>746</v>
      </c>
      <c r="G683" s="25">
        <f t="shared" si="8"/>
        <v>1.4936887715042868E-2</v>
      </c>
    </row>
    <row r="684" spans="1:7">
      <c r="A684" s="52">
        <v>292.49540000000002</v>
      </c>
      <c r="B684" s="52">
        <v>296.5034</v>
      </c>
      <c r="C684" s="52">
        <v>285.48379999999997</v>
      </c>
      <c r="D684" s="52">
        <v>293.9375</v>
      </c>
      <c r="E684" s="52">
        <v>37058306</v>
      </c>
      <c r="F684" s="52" t="s">
        <v>747</v>
      </c>
      <c r="G684" s="25">
        <f t="shared" si="8"/>
        <v>-4.9061450138209173E-3</v>
      </c>
    </row>
    <row r="685" spans="1:7">
      <c r="A685" s="52">
        <v>288.94479999999999</v>
      </c>
      <c r="B685" s="52">
        <v>294.58390000000003</v>
      </c>
      <c r="C685" s="52">
        <v>287.08499999999998</v>
      </c>
      <c r="D685" s="52">
        <v>290.58580000000001</v>
      </c>
      <c r="E685" s="52">
        <v>25585975</v>
      </c>
      <c r="F685" s="52" t="s">
        <v>748</v>
      </c>
      <c r="G685" s="25">
        <f t="shared" si="8"/>
        <v>-5.6472133187513984E-3</v>
      </c>
    </row>
    <row r="686" spans="1:7">
      <c r="A686" s="52">
        <v>290.39690000000002</v>
      </c>
      <c r="B686" s="52">
        <v>296.49340000000001</v>
      </c>
      <c r="C686" s="52">
        <v>289.72059999999999</v>
      </c>
      <c r="D686" s="52">
        <v>294.2706</v>
      </c>
      <c r="E686" s="52">
        <v>47733829</v>
      </c>
      <c r="F686" s="52" t="s">
        <v>749</v>
      </c>
      <c r="G686" s="25">
        <f t="shared" si="8"/>
        <v>-1.316373433159812E-2</v>
      </c>
    </row>
    <row r="687" spans="1:7">
      <c r="A687" s="52">
        <v>292.76389999999998</v>
      </c>
      <c r="B687" s="52">
        <v>296.49340000000001</v>
      </c>
      <c r="C687" s="52">
        <v>284.79759999999999</v>
      </c>
      <c r="D687" s="52">
        <v>286.0806</v>
      </c>
      <c r="E687" s="52">
        <v>33865457</v>
      </c>
      <c r="F687" s="52" t="s">
        <v>750</v>
      </c>
      <c r="G687" s="25">
        <f t="shared" si="8"/>
        <v>2.3361598095082314E-2</v>
      </c>
    </row>
    <row r="688" spans="1:7">
      <c r="A688" s="52">
        <v>284.45949999999999</v>
      </c>
      <c r="B688" s="52">
        <v>287.82100000000003</v>
      </c>
      <c r="C688" s="52">
        <v>283.29570000000001</v>
      </c>
      <c r="D688" s="52">
        <v>285.13569999999999</v>
      </c>
      <c r="E688" s="52">
        <v>8629269</v>
      </c>
      <c r="F688" s="52" t="s">
        <v>751</v>
      </c>
      <c r="G688" s="25">
        <f t="shared" si="8"/>
        <v>-2.3715024109572935E-3</v>
      </c>
    </row>
    <row r="689" spans="1:7">
      <c r="A689" s="52">
        <v>285.41419999999999</v>
      </c>
      <c r="B689" s="52">
        <v>287.47289999999998</v>
      </c>
      <c r="C689" s="52">
        <v>282.86320000000001</v>
      </c>
      <c r="D689" s="52">
        <v>283.2063</v>
      </c>
      <c r="E689" s="52">
        <v>19694872</v>
      </c>
      <c r="F689" s="52" t="s">
        <v>752</v>
      </c>
      <c r="G689" s="25">
        <f t="shared" si="8"/>
        <v>7.7960836323203164E-3</v>
      </c>
    </row>
    <row r="690" spans="1:7">
      <c r="A690" s="52">
        <v>279.9939</v>
      </c>
      <c r="B690" s="52">
        <v>285.00650000000002</v>
      </c>
      <c r="C690" s="52">
        <v>279.1585</v>
      </c>
      <c r="D690" s="52">
        <v>282.9477</v>
      </c>
      <c r="E690" s="52">
        <v>15395690</v>
      </c>
      <c r="F690" s="52" t="s">
        <v>753</v>
      </c>
      <c r="G690" s="25">
        <f t="shared" si="8"/>
        <v>-1.04393850877742E-2</v>
      </c>
    </row>
    <row r="691" spans="1:7">
      <c r="A691" s="52">
        <v>283.73340000000002</v>
      </c>
      <c r="B691" s="52">
        <v>287.97019999999998</v>
      </c>
      <c r="C691" s="52">
        <v>282.51010000000002</v>
      </c>
      <c r="D691" s="52">
        <v>283.26600000000002</v>
      </c>
      <c r="E691" s="52">
        <v>16722117</v>
      </c>
      <c r="F691" s="52" t="s">
        <v>754</v>
      </c>
      <c r="G691" s="25">
        <f t="shared" si="8"/>
        <v>1.6500391857829921E-3</v>
      </c>
    </row>
    <row r="692" spans="1:7">
      <c r="A692" s="52">
        <v>285.48379999999997</v>
      </c>
      <c r="B692" s="52">
        <v>287.7663</v>
      </c>
      <c r="C692" s="52">
        <v>279.12369999999999</v>
      </c>
      <c r="D692" s="52">
        <v>280.47129999999999</v>
      </c>
      <c r="E692" s="52">
        <v>26108260</v>
      </c>
      <c r="F692" s="52" t="s">
        <v>755</v>
      </c>
      <c r="G692" s="25">
        <f t="shared" si="8"/>
        <v>1.7871703807127437E-2</v>
      </c>
    </row>
    <row r="693" spans="1:7">
      <c r="A693" s="52">
        <v>276.95060000000001</v>
      </c>
      <c r="B693" s="52">
        <v>288.20890000000003</v>
      </c>
      <c r="C693" s="52">
        <v>276.08539999999999</v>
      </c>
      <c r="D693" s="52">
        <v>287.12479999999999</v>
      </c>
      <c r="E693" s="52">
        <v>24232651</v>
      </c>
      <c r="F693" s="52" t="s">
        <v>756</v>
      </c>
      <c r="G693" s="25">
        <f t="shared" si="8"/>
        <v>-3.5434765648944211E-2</v>
      </c>
    </row>
    <row r="694" spans="1:7">
      <c r="A694" s="52">
        <v>287.15469999999999</v>
      </c>
      <c r="B694" s="52">
        <v>288.08949999999999</v>
      </c>
      <c r="C694" s="52">
        <v>277.428</v>
      </c>
      <c r="D694" s="52">
        <v>279.97410000000002</v>
      </c>
      <c r="E694" s="52">
        <v>51092038</v>
      </c>
      <c r="F694" s="52" t="s">
        <v>757</v>
      </c>
      <c r="G694" s="25">
        <f t="shared" si="8"/>
        <v>2.5647372381945255E-2</v>
      </c>
    </row>
    <row r="695" spans="1:7">
      <c r="A695" s="52">
        <v>283.32569999999998</v>
      </c>
      <c r="B695" s="52">
        <v>283.70359999999999</v>
      </c>
      <c r="C695" s="52">
        <v>276.27440000000001</v>
      </c>
      <c r="D695" s="52">
        <v>277.5573</v>
      </c>
      <c r="E695" s="52">
        <v>17563061</v>
      </c>
      <c r="F695" s="52" t="s">
        <v>758</v>
      </c>
      <c r="G695" s="25">
        <f t="shared" si="8"/>
        <v>2.0782735672958186E-2</v>
      </c>
    </row>
    <row r="696" spans="1:7">
      <c r="A696" s="52">
        <v>280.10329999999999</v>
      </c>
      <c r="B696" s="52">
        <v>282.45049999999998</v>
      </c>
      <c r="C696" s="52">
        <v>276.84120000000001</v>
      </c>
      <c r="D696" s="52">
        <v>281.983</v>
      </c>
      <c r="E696" s="52">
        <v>20556170</v>
      </c>
      <c r="F696" s="52" t="s">
        <v>759</v>
      </c>
      <c r="G696" s="25">
        <f t="shared" si="8"/>
        <v>-6.6660046882259794E-3</v>
      </c>
    </row>
    <row r="697" spans="1:7">
      <c r="A697" s="52">
        <v>282.77870000000001</v>
      </c>
      <c r="B697" s="52">
        <v>283.24610000000001</v>
      </c>
      <c r="C697" s="52">
        <v>274.71289999999999</v>
      </c>
      <c r="D697" s="52">
        <v>277.20920000000001</v>
      </c>
      <c r="E697" s="52">
        <v>20701589</v>
      </c>
      <c r="F697" s="52" t="s">
        <v>760</v>
      </c>
      <c r="G697" s="25">
        <f t="shared" si="8"/>
        <v>2.0091324530354671E-2</v>
      </c>
    </row>
    <row r="698" spans="1:7">
      <c r="A698" s="52">
        <v>279.46679999999998</v>
      </c>
      <c r="B698" s="52">
        <v>286.27949999999998</v>
      </c>
      <c r="C698" s="52">
        <v>278.60160000000002</v>
      </c>
      <c r="D698" s="52">
        <v>283.19639999999998</v>
      </c>
      <c r="E698" s="52">
        <v>43127731</v>
      </c>
      <c r="F698" s="52" t="s">
        <v>761</v>
      </c>
      <c r="G698" s="25">
        <f t="shared" si="8"/>
        <v>-1.3169658936342477E-2</v>
      </c>
    </row>
    <row r="699" spans="1:7">
      <c r="A699" s="52">
        <v>280.29230000000001</v>
      </c>
      <c r="B699" s="52">
        <v>282.44049999999999</v>
      </c>
      <c r="C699" s="52">
        <v>269.9391</v>
      </c>
      <c r="D699" s="52">
        <v>270.8143</v>
      </c>
      <c r="E699" s="52">
        <v>25973455</v>
      </c>
      <c r="F699" s="52" t="s">
        <v>762</v>
      </c>
      <c r="G699" s="25">
        <f t="shared" si="8"/>
        <v>3.4998151870119232E-2</v>
      </c>
    </row>
    <row r="700" spans="1:7">
      <c r="A700" s="52">
        <v>271.85860000000002</v>
      </c>
      <c r="B700" s="52">
        <v>273.4896</v>
      </c>
      <c r="C700" s="52">
        <v>266.85109999999997</v>
      </c>
      <c r="D700" s="52">
        <v>270.40649999999999</v>
      </c>
      <c r="E700" s="52">
        <v>19175066</v>
      </c>
      <c r="F700" s="52" t="s">
        <v>763</v>
      </c>
      <c r="G700" s="25">
        <f t="shared" si="8"/>
        <v>5.3700632196342912E-3</v>
      </c>
    </row>
    <row r="701" spans="1:7">
      <c r="A701" s="52">
        <v>269.83969999999999</v>
      </c>
      <c r="B701" s="52">
        <v>274.21559999999999</v>
      </c>
      <c r="C701" s="52">
        <v>267.6241</v>
      </c>
      <c r="D701" s="52">
        <v>273.3802</v>
      </c>
      <c r="E701" s="52">
        <v>16164024</v>
      </c>
      <c r="F701" s="52" t="s">
        <v>764</v>
      </c>
      <c r="G701" s="25">
        <f t="shared" si="8"/>
        <v>-1.2950828187264563E-2</v>
      </c>
    </row>
    <row r="702" spans="1:7">
      <c r="A702" s="52">
        <v>269.5711</v>
      </c>
      <c r="B702" s="52">
        <v>270.26729999999998</v>
      </c>
      <c r="C702" s="52">
        <v>263.88229999999999</v>
      </c>
      <c r="D702" s="52">
        <v>265.71230000000003</v>
      </c>
      <c r="E702" s="52">
        <v>15471702</v>
      </c>
      <c r="F702" s="52" t="s">
        <v>765</v>
      </c>
      <c r="G702" s="25">
        <f t="shared" si="8"/>
        <v>1.4522474119564643E-2</v>
      </c>
    </row>
    <row r="703" spans="1:7">
      <c r="A703" s="52">
        <v>263.50439999999998</v>
      </c>
      <c r="B703" s="52">
        <v>266.48700000000002</v>
      </c>
      <c r="C703" s="52">
        <v>260.27210000000002</v>
      </c>
      <c r="D703" s="52">
        <v>261.04790000000003</v>
      </c>
      <c r="E703" s="52">
        <v>16949794</v>
      </c>
      <c r="F703" s="52" t="s">
        <v>766</v>
      </c>
      <c r="G703" s="25">
        <f t="shared" si="8"/>
        <v>9.4101503976853351E-3</v>
      </c>
    </row>
    <row r="704" spans="1:7">
      <c r="A704" s="52">
        <v>263.13639999999998</v>
      </c>
      <c r="B704" s="52">
        <v>266.18970000000002</v>
      </c>
      <c r="C704" s="52">
        <v>257.46749999999997</v>
      </c>
      <c r="D704" s="52">
        <v>259.19799999999998</v>
      </c>
      <c r="E704" s="52">
        <v>20899359</v>
      </c>
      <c r="F704" s="52" t="s">
        <v>767</v>
      </c>
      <c r="G704" s="25">
        <f t="shared" si="8"/>
        <v>1.519456168643285E-2</v>
      </c>
    </row>
    <row r="705" spans="1:7">
      <c r="A705" s="52">
        <v>262.16180000000003</v>
      </c>
      <c r="B705" s="52">
        <v>272.75369999999998</v>
      </c>
      <c r="C705" s="52">
        <v>261.36610000000002</v>
      </c>
      <c r="D705" s="52">
        <v>270.18770000000001</v>
      </c>
      <c r="E705" s="52">
        <v>26163627</v>
      </c>
      <c r="F705" s="52" t="s">
        <v>768</v>
      </c>
      <c r="G705" s="25">
        <f t="shared" si="8"/>
        <v>-2.9704905145570892E-2</v>
      </c>
    </row>
    <row r="706" spans="1:7">
      <c r="A706" s="52">
        <v>269.64069999999998</v>
      </c>
      <c r="B706" s="52">
        <v>275.06099999999998</v>
      </c>
      <c r="C706" s="52">
        <v>268.21850000000001</v>
      </c>
      <c r="D706" s="52">
        <v>268.66609999999997</v>
      </c>
      <c r="E706" s="52">
        <v>19419010</v>
      </c>
      <c r="F706" s="52" t="s">
        <v>769</v>
      </c>
      <c r="G706" s="25">
        <f t="shared" si="8"/>
        <v>3.6275510754799623E-3</v>
      </c>
    </row>
    <row r="707" spans="1:7">
      <c r="A707" s="52">
        <v>269.90929999999997</v>
      </c>
      <c r="B707" s="52">
        <v>274.06650000000002</v>
      </c>
      <c r="C707" s="52">
        <v>268.08929999999998</v>
      </c>
      <c r="D707" s="52">
        <v>268.8252</v>
      </c>
      <c r="E707" s="52">
        <v>20742946</v>
      </c>
      <c r="F707" s="52" t="s">
        <v>770</v>
      </c>
      <c r="G707" s="25">
        <f t="shared" si="8"/>
        <v>4.0327320504178754E-3</v>
      </c>
    </row>
    <row r="708" spans="1:7">
      <c r="A708" s="52">
        <v>271.12259999999998</v>
      </c>
      <c r="B708" s="52">
        <v>273.84769999999997</v>
      </c>
      <c r="C708" s="52">
        <v>269.64069999999998</v>
      </c>
      <c r="D708" s="52">
        <v>271.17230000000001</v>
      </c>
      <c r="E708" s="52">
        <v>19416930</v>
      </c>
      <c r="F708" s="52" t="s">
        <v>771</v>
      </c>
      <c r="G708" s="25">
        <f t="shared" ref="G708:G771" si="9">A708/D708-1</f>
        <v>-1.8327830681830193E-4</v>
      </c>
    </row>
    <row r="709" spans="1:7">
      <c r="A709" s="52">
        <v>271.12259999999998</v>
      </c>
      <c r="B709" s="52">
        <v>272.505</v>
      </c>
      <c r="C709" s="52">
        <v>264.4393</v>
      </c>
      <c r="D709" s="52">
        <v>264.44920000000002</v>
      </c>
      <c r="E709" s="52">
        <v>25609508</v>
      </c>
      <c r="F709" s="52" t="s">
        <v>772</v>
      </c>
      <c r="G709" s="25">
        <f t="shared" si="9"/>
        <v>2.5235092410943016E-2</v>
      </c>
    </row>
    <row r="710" spans="1:7">
      <c r="A710" s="52">
        <v>263.27569999999997</v>
      </c>
      <c r="B710" s="52">
        <v>263.55410000000001</v>
      </c>
      <c r="C710" s="52">
        <v>257.03989999999999</v>
      </c>
      <c r="D710" s="52">
        <v>258.58139999999997</v>
      </c>
      <c r="E710" s="52">
        <v>25473690</v>
      </c>
      <c r="F710" s="52" t="s">
        <v>773</v>
      </c>
      <c r="G710" s="25">
        <f t="shared" si="9"/>
        <v>1.8154051296806362E-2</v>
      </c>
    </row>
    <row r="711" spans="1:7">
      <c r="A711" s="52">
        <v>261.08769999999998</v>
      </c>
      <c r="B711" s="52">
        <v>267.18419999999998</v>
      </c>
      <c r="C711" s="52">
        <v>259.86439999999999</v>
      </c>
      <c r="D711" s="52">
        <v>263.80279999999999</v>
      </c>
      <c r="E711" s="52">
        <v>23816483</v>
      </c>
      <c r="F711" s="52" t="s">
        <v>774</v>
      </c>
      <c r="G711" s="25">
        <f t="shared" si="9"/>
        <v>-1.0292157626833442E-2</v>
      </c>
    </row>
    <row r="712" spans="1:7">
      <c r="A712" s="52">
        <v>260.6103</v>
      </c>
      <c r="B712" s="52">
        <v>260.87950000000001</v>
      </c>
      <c r="C712" s="52">
        <v>251.3312</v>
      </c>
      <c r="D712" s="52">
        <v>251.55</v>
      </c>
      <c r="E712" s="52">
        <v>25768663</v>
      </c>
      <c r="F712" s="52" t="s">
        <v>775</v>
      </c>
      <c r="G712" s="25">
        <f t="shared" si="9"/>
        <v>3.6017889087656574E-2</v>
      </c>
    </row>
    <row r="713" spans="1:7">
      <c r="A713" s="52">
        <v>251.31129999999999</v>
      </c>
      <c r="B713" s="52">
        <v>254.2253</v>
      </c>
      <c r="C713" s="52">
        <v>247.81049999999999</v>
      </c>
      <c r="D713" s="52">
        <v>252.01740000000001</v>
      </c>
      <c r="E713" s="52">
        <v>22371435</v>
      </c>
      <c r="F713" s="52" t="s">
        <v>776</v>
      </c>
      <c r="G713" s="25">
        <f t="shared" si="9"/>
        <v>-2.8017906700094075E-3</v>
      </c>
    </row>
    <row r="714" spans="1:7">
      <c r="A714" s="52">
        <v>247.8503</v>
      </c>
      <c r="B714" s="52">
        <v>248.22739999999999</v>
      </c>
      <c r="C714" s="52">
        <v>243.6155</v>
      </c>
      <c r="D714" s="52">
        <v>243.9417</v>
      </c>
      <c r="E714" s="52">
        <v>17724338</v>
      </c>
      <c r="F714" s="52" t="s">
        <v>777</v>
      </c>
      <c r="G714" s="25">
        <f t="shared" si="9"/>
        <v>1.6022680829066882E-2</v>
      </c>
    </row>
    <row r="715" spans="1:7">
      <c r="A715" s="52">
        <v>245.3938</v>
      </c>
      <c r="B715" s="52">
        <v>250.2372</v>
      </c>
      <c r="C715" s="52">
        <v>245.30430000000001</v>
      </c>
      <c r="D715" s="52">
        <v>245.46340000000001</v>
      </c>
      <c r="E715" s="52">
        <v>17748115</v>
      </c>
      <c r="F715" s="52" t="s">
        <v>778</v>
      </c>
      <c r="G715" s="25">
        <f t="shared" si="9"/>
        <v>-2.8354532692043133E-4</v>
      </c>
    </row>
    <row r="716" spans="1:7">
      <c r="A716" s="52">
        <v>246.96510000000001</v>
      </c>
      <c r="B716" s="52">
        <v>252.1865</v>
      </c>
      <c r="C716" s="52">
        <v>243.7826</v>
      </c>
      <c r="D716" s="52">
        <v>244.071</v>
      </c>
      <c r="E716" s="52">
        <v>27738479</v>
      </c>
      <c r="F716" s="52" t="s">
        <v>779</v>
      </c>
      <c r="G716" s="25">
        <f t="shared" si="9"/>
        <v>1.1857615202133909E-2</v>
      </c>
    </row>
    <row r="717" spans="1:7">
      <c r="A717" s="52">
        <v>244.2998</v>
      </c>
      <c r="B717" s="52">
        <v>247.3331</v>
      </c>
      <c r="C717" s="52">
        <v>242.08189999999999</v>
      </c>
      <c r="D717" s="52">
        <v>246.1198</v>
      </c>
      <c r="E717" s="52">
        <v>21733581</v>
      </c>
      <c r="F717" s="52" t="s">
        <v>780</v>
      </c>
      <c r="G717" s="25">
        <f t="shared" si="9"/>
        <v>-7.3947727895113946E-3</v>
      </c>
    </row>
    <row r="718" spans="1:7">
      <c r="A718" s="52">
        <v>245.50319999999999</v>
      </c>
      <c r="B718" s="52">
        <v>245.74</v>
      </c>
      <c r="C718" s="52">
        <v>239.874</v>
      </c>
      <c r="D718" s="52">
        <v>239.98339999999999</v>
      </c>
      <c r="E718" s="52">
        <v>22943297</v>
      </c>
      <c r="F718" s="52" t="s">
        <v>781</v>
      </c>
      <c r="G718" s="25">
        <f t="shared" si="9"/>
        <v>2.3000757552397388E-2</v>
      </c>
    </row>
    <row r="719" spans="1:7">
      <c r="A719" s="52">
        <v>241.16200000000001</v>
      </c>
      <c r="B719" s="52">
        <v>242.5119</v>
      </c>
      <c r="C719" s="52">
        <v>236.8407</v>
      </c>
      <c r="D719" s="52">
        <v>237.149</v>
      </c>
      <c r="E719" s="52">
        <v>21193080</v>
      </c>
      <c r="F719" s="52" t="s">
        <v>782</v>
      </c>
      <c r="G719" s="25">
        <f t="shared" si="9"/>
        <v>1.6921850819527018E-2</v>
      </c>
    </row>
    <row r="720" spans="1:7">
      <c r="A720" s="52">
        <v>237.517</v>
      </c>
      <c r="B720" s="52">
        <v>238.32749999999999</v>
      </c>
      <c r="C720" s="52">
        <v>234.23500000000001</v>
      </c>
      <c r="D720" s="52">
        <v>234.5035</v>
      </c>
      <c r="E720" s="52">
        <v>18163772</v>
      </c>
      <c r="F720" s="52" t="s">
        <v>783</v>
      </c>
      <c r="G720" s="25">
        <f t="shared" si="9"/>
        <v>1.2850554469336251E-2</v>
      </c>
    </row>
    <row r="721" spans="1:7">
      <c r="A721" s="52">
        <v>237.55680000000001</v>
      </c>
      <c r="B721" s="52">
        <v>238.94409999999999</v>
      </c>
      <c r="C721" s="52">
        <v>234.04599999999999</v>
      </c>
      <c r="D721" s="52">
        <v>235.62729999999999</v>
      </c>
      <c r="E721" s="52">
        <v>20653229</v>
      </c>
      <c r="F721" s="52" t="s">
        <v>784</v>
      </c>
      <c r="G721" s="25">
        <f t="shared" si="9"/>
        <v>8.1887794835318051E-3</v>
      </c>
    </row>
    <row r="722" spans="1:7">
      <c r="A722" s="52">
        <v>232.5343</v>
      </c>
      <c r="B722" s="52">
        <v>235.667</v>
      </c>
      <c r="C722" s="52">
        <v>230.18719999999999</v>
      </c>
      <c r="D722" s="52">
        <v>235.44829999999999</v>
      </c>
      <c r="E722" s="52">
        <v>16161447</v>
      </c>
      <c r="F722" s="52" t="s">
        <v>785</v>
      </c>
      <c r="G722" s="25">
        <f t="shared" si="9"/>
        <v>-1.2376390061002773E-2</v>
      </c>
    </row>
    <row r="723" spans="1:7">
      <c r="A723" s="52">
        <v>234.5035</v>
      </c>
      <c r="B723" s="52">
        <v>236.91030000000001</v>
      </c>
      <c r="C723" s="52">
        <v>231.0326</v>
      </c>
      <c r="D723" s="52">
        <v>231.77850000000001</v>
      </c>
      <c r="E723" s="52">
        <v>20448991</v>
      </c>
      <c r="F723" s="52" t="s">
        <v>786</v>
      </c>
      <c r="G723" s="25">
        <f t="shared" si="9"/>
        <v>1.1756914467907942E-2</v>
      </c>
    </row>
    <row r="724" spans="1:7">
      <c r="A724" s="52">
        <v>231.8083</v>
      </c>
      <c r="B724" s="52">
        <v>235.45830000000001</v>
      </c>
      <c r="C724" s="52">
        <v>229.46119999999999</v>
      </c>
      <c r="D724" s="52">
        <v>234.88140000000001</v>
      </c>
      <c r="E724" s="52">
        <v>19119007</v>
      </c>
      <c r="F724" s="52" t="s">
        <v>787</v>
      </c>
      <c r="G724" s="25">
        <f t="shared" si="9"/>
        <v>-1.3083624331258314E-2</v>
      </c>
    </row>
    <row r="725" spans="1:7">
      <c r="A725" s="52">
        <v>232.0967</v>
      </c>
      <c r="B725" s="52">
        <v>234.59299999999999</v>
      </c>
      <c r="C725" s="52">
        <v>229.8192</v>
      </c>
      <c r="D725" s="52">
        <v>230.19710000000001</v>
      </c>
      <c r="E725" s="52">
        <v>16865587</v>
      </c>
      <c r="F725" s="52" t="s">
        <v>788</v>
      </c>
      <c r="G725" s="25">
        <f t="shared" si="9"/>
        <v>8.2520587791938826E-3</v>
      </c>
    </row>
    <row r="726" spans="1:7">
      <c r="A726" s="52">
        <v>231.9973</v>
      </c>
      <c r="B726" s="52">
        <v>234.33439999999999</v>
      </c>
      <c r="C726" s="52">
        <v>229.0136</v>
      </c>
      <c r="D726" s="52">
        <v>230.1524</v>
      </c>
      <c r="E726" s="52">
        <v>16400526</v>
      </c>
      <c r="F726" s="52" t="s">
        <v>789</v>
      </c>
      <c r="G726" s="25">
        <f t="shared" si="9"/>
        <v>8.0159928812386649E-3</v>
      </c>
    </row>
    <row r="727" spans="1:7">
      <c r="A727" s="52">
        <v>231.50989999999999</v>
      </c>
      <c r="B727" s="52">
        <v>233.39959999999999</v>
      </c>
      <c r="C727" s="52">
        <v>228.5959</v>
      </c>
      <c r="D727" s="52">
        <v>230.97290000000001</v>
      </c>
      <c r="E727" s="52">
        <v>27000480</v>
      </c>
      <c r="F727" s="52" t="s">
        <v>790</v>
      </c>
      <c r="G727" s="25">
        <f t="shared" si="9"/>
        <v>2.3249480783242849E-3</v>
      </c>
    </row>
    <row r="728" spans="1:7">
      <c r="A728" s="52">
        <v>232.24590000000001</v>
      </c>
      <c r="B728" s="52">
        <v>236.90039999999999</v>
      </c>
      <c r="C728" s="52">
        <v>231.65549999999999</v>
      </c>
      <c r="D728" s="52">
        <v>234.77199999999999</v>
      </c>
      <c r="E728" s="52">
        <v>17889391</v>
      </c>
      <c r="F728" s="52" t="s">
        <v>791</v>
      </c>
      <c r="G728" s="25">
        <f t="shared" si="9"/>
        <v>-1.0759800998415447E-2</v>
      </c>
    </row>
    <row r="729" spans="1:7">
      <c r="A729" s="52">
        <v>235.73670000000001</v>
      </c>
      <c r="B729" s="52">
        <v>240.43100000000001</v>
      </c>
      <c r="C729" s="52">
        <v>231.48009999999999</v>
      </c>
      <c r="D729" s="52">
        <v>238.1634</v>
      </c>
      <c r="E729" s="52">
        <v>34463859</v>
      </c>
      <c r="F729" s="52" t="s">
        <v>792</v>
      </c>
      <c r="G729" s="25">
        <f t="shared" si="9"/>
        <v>-1.0189223029231087E-2</v>
      </c>
    </row>
    <row r="730" spans="1:7">
      <c r="A730" s="52">
        <v>237.93469999999999</v>
      </c>
      <c r="B730" s="52">
        <v>243.58369999999999</v>
      </c>
      <c r="C730" s="52">
        <v>237.68610000000001</v>
      </c>
      <c r="D730" s="52">
        <v>241.85319999999999</v>
      </c>
      <c r="E730" s="52">
        <v>24350149</v>
      </c>
      <c r="F730" s="52" t="s">
        <v>793</v>
      </c>
      <c r="G730" s="25">
        <f t="shared" si="9"/>
        <v>-1.6201977067080375E-2</v>
      </c>
    </row>
    <row r="731" spans="1:7">
      <c r="A731" s="52">
        <v>241.85319999999999</v>
      </c>
      <c r="B731" s="52">
        <v>242.6687</v>
      </c>
      <c r="C731" s="52">
        <v>235.16990000000001</v>
      </c>
      <c r="D731" s="52">
        <v>237.31309999999999</v>
      </c>
      <c r="E731" s="52">
        <v>29143912</v>
      </c>
      <c r="F731" s="52" t="s">
        <v>794</v>
      </c>
      <c r="G731" s="25">
        <f t="shared" si="9"/>
        <v>1.9131265825611754E-2</v>
      </c>
    </row>
    <row r="732" spans="1:7">
      <c r="A732" s="52">
        <v>239.00880000000001</v>
      </c>
      <c r="B732" s="52">
        <v>239.1182</v>
      </c>
      <c r="C732" s="52">
        <v>234.46369999999999</v>
      </c>
      <c r="D732" s="52">
        <v>237.70590000000001</v>
      </c>
      <c r="E732" s="52">
        <v>39554036</v>
      </c>
      <c r="F732" s="52" t="s">
        <v>795</v>
      </c>
      <c r="G732" s="25">
        <f t="shared" si="9"/>
        <v>5.4811428744512281E-3</v>
      </c>
    </row>
    <row r="733" spans="1:7">
      <c r="A733" s="52">
        <v>237.25839999999999</v>
      </c>
      <c r="B733" s="52">
        <v>240.3663</v>
      </c>
      <c r="C733" s="52">
        <v>235.47819999999999</v>
      </c>
      <c r="D733" s="52">
        <v>238.58109999999999</v>
      </c>
      <c r="E733" s="52">
        <v>71196531</v>
      </c>
      <c r="F733" s="52" t="s">
        <v>796</v>
      </c>
      <c r="G733" s="25">
        <f t="shared" si="9"/>
        <v>-5.544026748137254E-3</v>
      </c>
    </row>
    <row r="734" spans="1:7">
      <c r="A734" s="52">
        <v>208.25749999999999</v>
      </c>
      <c r="B734" s="52">
        <v>212.9418</v>
      </c>
      <c r="C734" s="52">
        <v>207.74029999999999</v>
      </c>
      <c r="D734" s="52">
        <v>211.34059999999999</v>
      </c>
      <c r="E734" s="52">
        <v>41992726</v>
      </c>
      <c r="F734" s="52" t="s">
        <v>797</v>
      </c>
      <c r="G734" s="25">
        <f t="shared" si="9"/>
        <v>-1.458829964521724E-2</v>
      </c>
    </row>
    <row r="735" spans="1:7">
      <c r="A735" s="52">
        <v>206.41759999999999</v>
      </c>
      <c r="B735" s="52">
        <v>210.10730000000001</v>
      </c>
      <c r="C735" s="52">
        <v>205.9999</v>
      </c>
      <c r="D735" s="52">
        <v>209.66480000000001</v>
      </c>
      <c r="E735" s="52">
        <v>19198175</v>
      </c>
      <c r="F735" s="52" t="s">
        <v>798</v>
      </c>
      <c r="G735" s="25">
        <f t="shared" si="9"/>
        <v>-1.5487578267787572E-2</v>
      </c>
    </row>
    <row r="736" spans="1:7">
      <c r="A736" s="52">
        <v>211.62899999999999</v>
      </c>
      <c r="B736" s="52">
        <v>212.75280000000001</v>
      </c>
      <c r="C736" s="52">
        <v>209.56030000000001</v>
      </c>
      <c r="D736" s="52">
        <v>212.50919999999999</v>
      </c>
      <c r="E736" s="52">
        <v>15750920</v>
      </c>
      <c r="F736" s="52" t="s">
        <v>799</v>
      </c>
      <c r="G736" s="25">
        <f t="shared" si="9"/>
        <v>-4.1419383254936992E-3</v>
      </c>
    </row>
    <row r="737" spans="1:7">
      <c r="A737" s="52">
        <v>211.7285</v>
      </c>
      <c r="B737" s="52">
        <v>212.2456</v>
      </c>
      <c r="C737" s="52">
        <v>208.4365</v>
      </c>
      <c r="D737" s="52">
        <v>209.06309999999999</v>
      </c>
      <c r="E737" s="52">
        <v>17717166</v>
      </c>
      <c r="F737" s="52" t="s">
        <v>800</v>
      </c>
      <c r="G737" s="25">
        <f t="shared" si="9"/>
        <v>1.2749260869086898E-2</v>
      </c>
    </row>
    <row r="738" spans="1:7">
      <c r="A738" s="52">
        <v>211.9075</v>
      </c>
      <c r="B738" s="52">
        <v>215.56739999999999</v>
      </c>
      <c r="C738" s="52">
        <v>211.60910000000001</v>
      </c>
      <c r="D738" s="52">
        <v>212.3152</v>
      </c>
      <c r="E738" s="52">
        <v>16475443</v>
      </c>
      <c r="F738" s="52" t="s">
        <v>801</v>
      </c>
      <c r="G738" s="25">
        <f t="shared" si="9"/>
        <v>-1.9202581821744502E-3</v>
      </c>
    </row>
    <row r="739" spans="1:7">
      <c r="A739" s="52">
        <v>214.5231</v>
      </c>
      <c r="B739" s="52">
        <v>216.14420000000001</v>
      </c>
      <c r="C739" s="52">
        <v>211.76820000000001</v>
      </c>
      <c r="D739" s="52">
        <v>212.3073</v>
      </c>
      <c r="E739" s="52">
        <v>15898078</v>
      </c>
      <c r="F739" s="52" t="s">
        <v>802</v>
      </c>
      <c r="G739" s="25">
        <f t="shared" si="9"/>
        <v>1.0436758415749203E-2</v>
      </c>
    </row>
    <row r="740" spans="1:7">
      <c r="A740" s="52">
        <v>216.7012</v>
      </c>
      <c r="B740" s="52">
        <v>219.2373</v>
      </c>
      <c r="C740" s="52">
        <v>215.03030000000001</v>
      </c>
      <c r="D740" s="52">
        <v>218.71019999999999</v>
      </c>
      <c r="E740" s="52">
        <v>12280984</v>
      </c>
      <c r="F740" s="52" t="s">
        <v>803</v>
      </c>
      <c r="G740" s="25">
        <f t="shared" si="9"/>
        <v>-9.1856712672750973E-3</v>
      </c>
    </row>
    <row r="741" spans="1:7">
      <c r="A741" s="52">
        <v>217.66589999999999</v>
      </c>
      <c r="B741" s="52">
        <v>219.77330000000001</v>
      </c>
      <c r="C741" s="52">
        <v>215.9453</v>
      </c>
      <c r="D741" s="52">
        <v>218.5908</v>
      </c>
      <c r="E741" s="52">
        <v>15481874</v>
      </c>
      <c r="F741" s="52" t="s">
        <v>804</v>
      </c>
      <c r="G741" s="25">
        <f t="shared" si="9"/>
        <v>-4.2311936275452044E-3</v>
      </c>
    </row>
    <row r="742" spans="1:7">
      <c r="A742" s="52">
        <v>220.28149999999999</v>
      </c>
      <c r="B742" s="52">
        <v>220.8981</v>
      </c>
      <c r="C742" s="52">
        <v>216.363</v>
      </c>
      <c r="D742" s="52">
        <v>216.69120000000001</v>
      </c>
      <c r="E742" s="52">
        <v>21591207</v>
      </c>
      <c r="F742" s="52" t="s">
        <v>805</v>
      </c>
      <c r="G742" s="25">
        <f t="shared" si="9"/>
        <v>1.6568739293519874E-2</v>
      </c>
    </row>
    <row r="743" spans="1:7">
      <c r="A743" s="52">
        <v>219.14779999999999</v>
      </c>
      <c r="B743" s="52">
        <v>219.9434</v>
      </c>
      <c r="C743" s="52">
        <v>214.51320000000001</v>
      </c>
      <c r="D743" s="52">
        <v>214.553</v>
      </c>
      <c r="E743" s="52">
        <v>23310357</v>
      </c>
      <c r="F743" s="52" t="s">
        <v>806</v>
      </c>
      <c r="G743" s="25">
        <f t="shared" si="9"/>
        <v>2.1415687499126035E-2</v>
      </c>
    </row>
    <row r="744" spans="1:7">
      <c r="A744" s="52">
        <v>212.83240000000001</v>
      </c>
      <c r="B744" s="52">
        <v>215.65690000000001</v>
      </c>
      <c r="C744" s="52">
        <v>211.42410000000001</v>
      </c>
      <c r="D744" s="52">
        <v>213.6628</v>
      </c>
      <c r="E744" s="52">
        <v>18972172</v>
      </c>
      <c r="F744" s="52" t="s">
        <v>807</v>
      </c>
      <c r="G744" s="25">
        <f t="shared" si="9"/>
        <v>-3.8864977899756292E-3</v>
      </c>
    </row>
    <row r="745" spans="1:7">
      <c r="A745" s="52">
        <v>212.6832</v>
      </c>
      <c r="B745" s="52">
        <v>214.84139999999999</v>
      </c>
      <c r="C745" s="52">
        <v>212.2456</v>
      </c>
      <c r="D745" s="52">
        <v>214.30430000000001</v>
      </c>
      <c r="E745" s="52">
        <v>16710101</v>
      </c>
      <c r="F745" s="52" t="s">
        <v>808</v>
      </c>
      <c r="G745" s="25">
        <f t="shared" si="9"/>
        <v>-7.5644772410073946E-3</v>
      </c>
    </row>
    <row r="746" spans="1:7">
      <c r="A746" s="52">
        <v>213.57830000000001</v>
      </c>
      <c r="B746" s="52">
        <v>214.48330000000001</v>
      </c>
      <c r="C746" s="52">
        <v>209.51060000000001</v>
      </c>
      <c r="D746" s="52">
        <v>213.5385</v>
      </c>
      <c r="E746" s="52">
        <v>16106074</v>
      </c>
      <c r="F746" s="52" t="s">
        <v>809</v>
      </c>
      <c r="G746" s="25">
        <f t="shared" si="9"/>
        <v>1.8638325173214731E-4</v>
      </c>
    </row>
    <row r="747" spans="1:7">
      <c r="A747" s="52">
        <v>214.92089999999999</v>
      </c>
      <c r="B747" s="52">
        <v>215.75640000000001</v>
      </c>
      <c r="C747" s="52">
        <v>207.51159999999999</v>
      </c>
      <c r="D747" s="52">
        <v>208.10830000000001</v>
      </c>
      <c r="E747" s="52">
        <v>26104411</v>
      </c>
      <c r="F747" s="52" t="s">
        <v>810</v>
      </c>
      <c r="G747" s="25">
        <f t="shared" si="9"/>
        <v>3.2735839944874723E-2</v>
      </c>
    </row>
    <row r="748" spans="1:7">
      <c r="A748" s="52">
        <v>210.3261</v>
      </c>
      <c r="B748" s="52">
        <v>214.01589999999999</v>
      </c>
      <c r="C748" s="52">
        <v>208.7945</v>
      </c>
      <c r="D748" s="52">
        <v>212.98159999999999</v>
      </c>
      <c r="E748" s="52">
        <v>19396630</v>
      </c>
      <c r="F748" s="52" t="s">
        <v>811</v>
      </c>
      <c r="G748" s="25">
        <f t="shared" si="9"/>
        <v>-1.246821321654068E-2</v>
      </c>
    </row>
    <row r="749" spans="1:7">
      <c r="A749" s="52">
        <v>213.54849999999999</v>
      </c>
      <c r="B749" s="52">
        <v>215.06020000000001</v>
      </c>
      <c r="C749" s="52">
        <v>211.38040000000001</v>
      </c>
      <c r="D749" s="52">
        <v>212.22569999999999</v>
      </c>
      <c r="E749" s="52">
        <v>21026367</v>
      </c>
      <c r="F749" s="52" t="s">
        <v>812</v>
      </c>
      <c r="G749" s="25">
        <f t="shared" si="9"/>
        <v>6.2329868625712326E-3</v>
      </c>
    </row>
    <row r="750" spans="1:7">
      <c r="A750" s="52">
        <v>211.9075</v>
      </c>
      <c r="B750" s="52">
        <v>212.32130000000001</v>
      </c>
      <c r="C750" s="52">
        <v>207.06399999999999</v>
      </c>
      <c r="D750" s="52">
        <v>207.70060000000001</v>
      </c>
      <c r="E750" s="52">
        <v>17924613</v>
      </c>
      <c r="F750" s="52" t="s">
        <v>813</v>
      </c>
      <c r="G750" s="25">
        <f t="shared" si="9"/>
        <v>2.0254635759357376E-2</v>
      </c>
    </row>
    <row r="751" spans="1:7">
      <c r="A751" s="52">
        <v>210.78360000000001</v>
      </c>
      <c r="B751" s="52">
        <v>211.01240000000001</v>
      </c>
      <c r="C751" s="52">
        <v>205.64179999999999</v>
      </c>
      <c r="D751" s="52">
        <v>206.10929999999999</v>
      </c>
      <c r="E751" s="52">
        <v>25440273</v>
      </c>
      <c r="F751" s="52" t="s">
        <v>814</v>
      </c>
      <c r="G751" s="25">
        <f t="shared" si="9"/>
        <v>2.2678743753920871E-2</v>
      </c>
    </row>
    <row r="752" spans="1:7">
      <c r="A752" s="52">
        <v>206.70599999999999</v>
      </c>
      <c r="B752" s="52">
        <v>206.9546</v>
      </c>
      <c r="C752" s="52">
        <v>201.71340000000001</v>
      </c>
      <c r="D752" s="52">
        <v>202.27029999999999</v>
      </c>
      <c r="E752" s="52">
        <v>22608303</v>
      </c>
      <c r="F752" s="52" t="s">
        <v>815</v>
      </c>
      <c r="G752" s="25">
        <f t="shared" si="9"/>
        <v>2.1929566525584754E-2</v>
      </c>
    </row>
    <row r="753" spans="1:7">
      <c r="A753" s="52">
        <v>204.2296</v>
      </c>
      <c r="B753" s="52">
        <v>204.5976</v>
      </c>
      <c r="C753" s="52">
        <v>201.43039999999999</v>
      </c>
      <c r="D753" s="52">
        <v>202.4494</v>
      </c>
      <c r="E753" s="52">
        <v>18851137</v>
      </c>
      <c r="F753" s="52" t="s">
        <v>816</v>
      </c>
      <c r="G753" s="25">
        <f t="shared" si="9"/>
        <v>8.7933083526057221E-3</v>
      </c>
    </row>
    <row r="754" spans="1:7">
      <c r="A754" s="52">
        <v>199.58510000000001</v>
      </c>
      <c r="B754" s="52">
        <v>199.9332</v>
      </c>
      <c r="C754" s="52">
        <v>196.8202</v>
      </c>
      <c r="D754" s="52">
        <v>199.05799999999999</v>
      </c>
      <c r="E754" s="52">
        <v>19127295</v>
      </c>
      <c r="F754" s="52" t="s">
        <v>817</v>
      </c>
      <c r="G754" s="25">
        <f t="shared" si="9"/>
        <v>2.6479719478744723E-3</v>
      </c>
    </row>
    <row r="755" spans="1:7">
      <c r="A755" s="52">
        <v>201.73330000000001</v>
      </c>
      <c r="B755" s="52">
        <v>204.73679999999999</v>
      </c>
      <c r="C755" s="52">
        <v>200.26140000000001</v>
      </c>
      <c r="D755" s="52">
        <v>203.6925</v>
      </c>
      <c r="E755" s="52">
        <v>18527184</v>
      </c>
      <c r="F755" s="52" t="s">
        <v>818</v>
      </c>
      <c r="G755" s="25">
        <f t="shared" si="9"/>
        <v>-9.618419922186483E-3</v>
      </c>
    </row>
    <row r="756" spans="1:7">
      <c r="A756" s="52">
        <v>204.886</v>
      </c>
      <c r="B756" s="52">
        <v>206.44739999999999</v>
      </c>
      <c r="C756" s="52">
        <v>202.43940000000001</v>
      </c>
      <c r="D756" s="52">
        <v>204.06049999999999</v>
      </c>
      <c r="E756" s="52">
        <v>27733042</v>
      </c>
      <c r="F756" s="52" t="s">
        <v>819</v>
      </c>
      <c r="G756" s="25">
        <f t="shared" si="9"/>
        <v>4.0453688979493752E-3</v>
      </c>
    </row>
    <row r="757" spans="1:7">
      <c r="A757" s="52">
        <v>203.16540000000001</v>
      </c>
      <c r="B757" s="52">
        <v>206.7458</v>
      </c>
      <c r="C757" s="52">
        <v>201.0471</v>
      </c>
      <c r="D757" s="52">
        <v>201.73330000000001</v>
      </c>
      <c r="E757" s="52">
        <v>27389669</v>
      </c>
      <c r="F757" s="52" t="s">
        <v>820</v>
      </c>
      <c r="G757" s="25">
        <f t="shared" si="9"/>
        <v>7.0989767182709773E-3</v>
      </c>
    </row>
    <row r="758" spans="1:7">
      <c r="A758" s="52">
        <v>198.71979999999999</v>
      </c>
      <c r="B758" s="52">
        <v>206.23859999999999</v>
      </c>
      <c r="C758" s="52">
        <v>198.5806</v>
      </c>
      <c r="D758" s="52">
        <v>201.39510000000001</v>
      </c>
      <c r="E758" s="52">
        <v>28477759</v>
      </c>
      <c r="F758" s="52" t="s">
        <v>821</v>
      </c>
      <c r="G758" s="25">
        <f t="shared" si="9"/>
        <v>-1.3283838583957763E-2</v>
      </c>
    </row>
    <row r="759" spans="1:7">
      <c r="A759" s="52">
        <v>201.05699999999999</v>
      </c>
      <c r="B759" s="52">
        <v>202.43940000000001</v>
      </c>
      <c r="C759" s="52">
        <v>196.87</v>
      </c>
      <c r="D759" s="52">
        <v>202.09129999999999</v>
      </c>
      <c r="E759" s="52">
        <v>31826952</v>
      </c>
      <c r="F759" s="52" t="s">
        <v>822</v>
      </c>
      <c r="G759" s="25">
        <f t="shared" si="9"/>
        <v>-5.117983802370496E-3</v>
      </c>
    </row>
    <row r="760" spans="1:7">
      <c r="A760" s="52">
        <v>196.73070000000001</v>
      </c>
      <c r="B760" s="52">
        <v>198.2723</v>
      </c>
      <c r="C760" s="52">
        <v>192.58349999999999</v>
      </c>
      <c r="D760" s="52">
        <v>197.39709999999999</v>
      </c>
      <c r="E760" s="52">
        <v>25186315</v>
      </c>
      <c r="F760" s="52" t="s">
        <v>823</v>
      </c>
      <c r="G760" s="25">
        <f t="shared" si="9"/>
        <v>-3.3759361206420202E-3</v>
      </c>
    </row>
    <row r="761" spans="1:7">
      <c r="A761" s="52">
        <v>194.5427</v>
      </c>
      <c r="B761" s="52">
        <v>200.79839999999999</v>
      </c>
      <c r="C761" s="52">
        <v>194.36410000000001</v>
      </c>
      <c r="D761" s="52">
        <v>199.4657</v>
      </c>
      <c r="E761" s="52">
        <v>50141098</v>
      </c>
      <c r="F761" s="52" t="s">
        <v>824</v>
      </c>
      <c r="G761" s="25">
        <f t="shared" si="9"/>
        <v>-2.4680935118168157E-2</v>
      </c>
    </row>
    <row r="762" spans="1:7">
      <c r="A762" s="52">
        <v>203.81190000000001</v>
      </c>
      <c r="B762" s="52">
        <v>204.63740000000001</v>
      </c>
      <c r="C762" s="52">
        <v>195.0187</v>
      </c>
      <c r="D762" s="52">
        <v>197.17830000000001</v>
      </c>
      <c r="E762" s="52">
        <v>50819659</v>
      </c>
      <c r="F762" s="52" t="s">
        <v>825</v>
      </c>
      <c r="G762" s="25">
        <f t="shared" si="9"/>
        <v>3.3642647289280792E-2</v>
      </c>
    </row>
    <row r="763" spans="1:7">
      <c r="A763" s="52">
        <v>196.6711</v>
      </c>
      <c r="B763" s="52">
        <v>196.70089999999999</v>
      </c>
      <c r="C763" s="52">
        <v>189.79390000000001</v>
      </c>
      <c r="D763" s="52">
        <v>191.8972</v>
      </c>
      <c r="E763" s="52">
        <v>42123552</v>
      </c>
      <c r="F763" s="52" t="s">
        <v>826</v>
      </c>
      <c r="G763" s="25">
        <f t="shared" si="9"/>
        <v>2.4877382265087844E-2</v>
      </c>
    </row>
    <row r="764" spans="1:7">
      <c r="A764" s="52">
        <v>192.9614</v>
      </c>
      <c r="B764" s="52">
        <v>193.25980000000001</v>
      </c>
      <c r="C764" s="52">
        <v>185.5421</v>
      </c>
      <c r="D764" s="52">
        <v>186.5565</v>
      </c>
      <c r="E764" s="52">
        <v>41642627</v>
      </c>
      <c r="F764" s="52" t="s">
        <v>827</v>
      </c>
      <c r="G764" s="25">
        <f t="shared" si="9"/>
        <v>3.4332226430062729E-2</v>
      </c>
    </row>
    <row r="765" spans="1:7">
      <c r="A765" s="52">
        <v>179.91300000000001</v>
      </c>
      <c r="B765" s="52">
        <v>182.7773</v>
      </c>
      <c r="C765" s="52">
        <v>173.86619999999999</v>
      </c>
      <c r="D765" s="52">
        <v>176.989</v>
      </c>
      <c r="E765" s="52">
        <v>24727969</v>
      </c>
      <c r="F765" s="52" t="s">
        <v>828</v>
      </c>
      <c r="G765" s="25">
        <f t="shared" si="9"/>
        <v>1.6520800727728879E-2</v>
      </c>
    </row>
    <row r="766" spans="1:7">
      <c r="A766" s="52">
        <v>178.53059999999999</v>
      </c>
      <c r="B766" s="52">
        <v>183.7619</v>
      </c>
      <c r="C766" s="52">
        <v>177.8245</v>
      </c>
      <c r="D766" s="52">
        <v>180.0224</v>
      </c>
      <c r="E766" s="52">
        <v>25665032</v>
      </c>
      <c r="F766" s="52" t="s">
        <v>829</v>
      </c>
      <c r="G766" s="25">
        <f t="shared" si="9"/>
        <v>-8.2867465382086003E-3</v>
      </c>
    </row>
    <row r="767" spans="1:7">
      <c r="A767" s="52">
        <v>180.6987</v>
      </c>
      <c r="B767" s="52">
        <v>187.89920000000001</v>
      </c>
      <c r="C767" s="52">
        <v>179.31630000000001</v>
      </c>
      <c r="D767" s="52">
        <v>185.33330000000001</v>
      </c>
      <c r="E767" s="52">
        <v>26582750</v>
      </c>
      <c r="F767" s="52" t="s">
        <v>830</v>
      </c>
      <c r="G767" s="25">
        <f t="shared" si="9"/>
        <v>-2.5006839030007E-2</v>
      </c>
    </row>
    <row r="768" spans="1:7">
      <c r="A768" s="52">
        <v>183.96080000000001</v>
      </c>
      <c r="B768" s="52">
        <v>184.2492</v>
      </c>
      <c r="C768" s="52">
        <v>180.35059999999999</v>
      </c>
      <c r="D768" s="52">
        <v>181.87219999999999</v>
      </c>
      <c r="E768" s="52">
        <v>19432405</v>
      </c>
      <c r="F768" s="52" t="s">
        <v>831</v>
      </c>
      <c r="G768" s="25">
        <f t="shared" si="9"/>
        <v>1.1483888136834652E-2</v>
      </c>
    </row>
    <row r="769" spans="1:7">
      <c r="A769" s="52">
        <v>183.5033</v>
      </c>
      <c r="B769" s="52">
        <v>189.32140000000001</v>
      </c>
      <c r="C769" s="52">
        <v>183.006</v>
      </c>
      <c r="D769" s="52">
        <v>187.96879999999999</v>
      </c>
      <c r="E769" s="52">
        <v>36701495</v>
      </c>
      <c r="F769" s="52" t="s">
        <v>832</v>
      </c>
      <c r="G769" s="25">
        <f t="shared" si="9"/>
        <v>-2.3756602159507256E-2</v>
      </c>
    </row>
    <row r="770" spans="1:7">
      <c r="A770" s="52">
        <v>183.8912</v>
      </c>
      <c r="B770" s="52">
        <v>188.62520000000001</v>
      </c>
      <c r="C770" s="52">
        <v>183.6326</v>
      </c>
      <c r="D770" s="52">
        <v>186.9743</v>
      </c>
      <c r="E770" s="52">
        <v>33209394</v>
      </c>
      <c r="F770" s="52" t="s">
        <v>833</v>
      </c>
      <c r="G770" s="25">
        <f t="shared" si="9"/>
        <v>-1.6489431970062252E-2</v>
      </c>
    </row>
    <row r="771" spans="1:7">
      <c r="A771" s="52">
        <v>184.23929999999999</v>
      </c>
      <c r="B771" s="52">
        <v>185.6018</v>
      </c>
      <c r="C771" s="52">
        <v>176.084</v>
      </c>
      <c r="D771" s="52">
        <v>177.94380000000001</v>
      </c>
      <c r="E771" s="52">
        <v>45877692</v>
      </c>
      <c r="F771" s="52" t="s">
        <v>834</v>
      </c>
      <c r="G771" s="25">
        <f t="shared" si="9"/>
        <v>3.5379147798349608E-2</v>
      </c>
    </row>
    <row r="772" spans="1:7">
      <c r="A772" s="52">
        <v>173.57769999999999</v>
      </c>
      <c r="B772" s="52">
        <v>174.05510000000001</v>
      </c>
      <c r="C772" s="52">
        <v>170.49469999999999</v>
      </c>
      <c r="D772" s="52">
        <v>171.43950000000001</v>
      </c>
      <c r="E772" s="52">
        <v>17360708</v>
      </c>
      <c r="F772" s="52" t="s">
        <v>835</v>
      </c>
      <c r="G772" s="25">
        <f t="shared" ref="G772:G835" si="10">A772/D772-1</f>
        <v>1.2472038240895378E-2</v>
      </c>
    </row>
    <row r="773" spans="1:7">
      <c r="A773" s="52">
        <v>172.47380000000001</v>
      </c>
      <c r="B773" s="52">
        <v>176.87960000000001</v>
      </c>
      <c r="C773" s="52">
        <v>172.10579999999999</v>
      </c>
      <c r="D773" s="52">
        <v>173.63740000000001</v>
      </c>
      <c r="E773" s="52">
        <v>30998380</v>
      </c>
      <c r="F773" s="52" t="s">
        <v>836</v>
      </c>
      <c r="G773" s="25">
        <f t="shared" si="10"/>
        <v>-6.7013212591297E-3</v>
      </c>
    </row>
    <row r="774" spans="1:7">
      <c r="A774" s="52">
        <v>173.9855</v>
      </c>
      <c r="B774" s="52">
        <v>176.5813</v>
      </c>
      <c r="C774" s="52">
        <v>170.9323</v>
      </c>
      <c r="D774" s="52">
        <v>170.96209999999999</v>
      </c>
      <c r="E774" s="52">
        <v>46051117</v>
      </c>
      <c r="F774" s="52" t="s">
        <v>837</v>
      </c>
      <c r="G774" s="25">
        <f t="shared" si="10"/>
        <v>1.7684621328353023E-2</v>
      </c>
    </row>
    <row r="775" spans="1:7">
      <c r="A775" s="52">
        <v>168.61500000000001</v>
      </c>
      <c r="B775" s="52">
        <v>172.1754</v>
      </c>
      <c r="C775" s="52">
        <v>168.13759999999999</v>
      </c>
      <c r="D775" s="52">
        <v>170.93719999999999</v>
      </c>
      <c r="E775" s="52">
        <v>19277002</v>
      </c>
      <c r="F775" s="52" t="s">
        <v>838</v>
      </c>
      <c r="G775" s="25">
        <f t="shared" si="10"/>
        <v>-1.3585106109144096E-2</v>
      </c>
    </row>
    <row r="776" spans="1:7">
      <c r="A776" s="52">
        <v>169.46029999999999</v>
      </c>
      <c r="B776" s="52">
        <v>169.7885</v>
      </c>
      <c r="C776" s="52">
        <v>166.74520000000001</v>
      </c>
      <c r="D776" s="52">
        <v>167.7199</v>
      </c>
      <c r="E776" s="52">
        <v>19791334</v>
      </c>
      <c r="F776" s="52" t="s">
        <v>839</v>
      </c>
      <c r="G776" s="25">
        <f t="shared" si="10"/>
        <v>1.0376824694028564E-2</v>
      </c>
    </row>
    <row r="777" spans="1:7">
      <c r="A777" s="52">
        <v>171.10130000000001</v>
      </c>
      <c r="B777" s="52">
        <v>172.7423</v>
      </c>
      <c r="C777" s="52">
        <v>168.45580000000001</v>
      </c>
      <c r="D777" s="52">
        <v>171.0616</v>
      </c>
      <c r="E777" s="52">
        <v>20017779</v>
      </c>
      <c r="F777" s="52" t="s">
        <v>840</v>
      </c>
      <c r="G777" s="25">
        <f t="shared" si="10"/>
        <v>2.3208013955211548E-4</v>
      </c>
    </row>
    <row r="778" spans="1:7">
      <c r="A778" s="52">
        <v>170.18639999999999</v>
      </c>
      <c r="B778" s="52">
        <v>171.8124</v>
      </c>
      <c r="C778" s="52">
        <v>168.76419999999999</v>
      </c>
      <c r="D778" s="52">
        <v>170.13659999999999</v>
      </c>
      <c r="E778" s="52">
        <v>22433158</v>
      </c>
      <c r="F778" s="52" t="s">
        <v>841</v>
      </c>
      <c r="G778" s="25">
        <f t="shared" si="10"/>
        <v>2.927059786077546E-4</v>
      </c>
    </row>
    <row r="779" spans="1:7">
      <c r="A779" s="52">
        <v>171.14109999999999</v>
      </c>
      <c r="B779" s="52">
        <v>177.1979</v>
      </c>
      <c r="C779" s="52">
        <v>170.94220000000001</v>
      </c>
      <c r="D779" s="52">
        <v>173.35900000000001</v>
      </c>
      <c r="E779" s="52">
        <v>34592582</v>
      </c>
      <c r="F779" s="52" t="s">
        <v>842</v>
      </c>
      <c r="G779" s="25">
        <f t="shared" si="10"/>
        <v>-1.2793682473941415E-2</v>
      </c>
    </row>
    <row r="780" spans="1:7">
      <c r="A780" s="52">
        <v>171.93680000000001</v>
      </c>
      <c r="B780" s="52">
        <v>172.23509999999999</v>
      </c>
      <c r="C780" s="52">
        <v>168.7741</v>
      </c>
      <c r="D780" s="52">
        <v>169.29130000000001</v>
      </c>
      <c r="E780" s="52">
        <v>24171260</v>
      </c>
      <c r="F780" s="52" t="s">
        <v>843</v>
      </c>
      <c r="G780" s="25">
        <f t="shared" si="10"/>
        <v>1.5626910538226069E-2</v>
      </c>
    </row>
    <row r="781" spans="1:7">
      <c r="A781" s="52">
        <v>171.4992</v>
      </c>
      <c r="B781" s="52">
        <v>174.8905</v>
      </c>
      <c r="C781" s="52">
        <v>170.8527</v>
      </c>
      <c r="D781" s="52">
        <v>171.8075</v>
      </c>
      <c r="E781" s="52">
        <v>25827473</v>
      </c>
      <c r="F781" s="52" t="s">
        <v>844</v>
      </c>
      <c r="G781" s="25">
        <f t="shared" si="10"/>
        <v>-1.7944501840723159E-3</v>
      </c>
    </row>
    <row r="782" spans="1:7">
      <c r="A782" s="52">
        <v>176.1934</v>
      </c>
      <c r="B782" s="52">
        <v>177.21780000000001</v>
      </c>
      <c r="C782" s="52">
        <v>174.3734</v>
      </c>
      <c r="D782" s="52">
        <v>175.45249999999999</v>
      </c>
      <c r="E782" s="52">
        <v>25337966</v>
      </c>
      <c r="F782" s="52" t="s">
        <v>845</v>
      </c>
      <c r="G782" s="25">
        <f t="shared" si="10"/>
        <v>4.2227953434690324E-3</v>
      </c>
    </row>
    <row r="783" spans="1:7">
      <c r="A783" s="52">
        <v>178.50069999999999</v>
      </c>
      <c r="B783" s="52">
        <v>180.51609999999999</v>
      </c>
      <c r="C783" s="52">
        <v>174.9204</v>
      </c>
      <c r="D783" s="52">
        <v>176.1934</v>
      </c>
      <c r="E783" s="52">
        <v>24034631</v>
      </c>
      <c r="F783" s="52" t="s">
        <v>846</v>
      </c>
      <c r="G783" s="25">
        <f t="shared" si="10"/>
        <v>1.3095269175803503E-2</v>
      </c>
    </row>
    <row r="784" spans="1:7">
      <c r="A784" s="52">
        <v>178.45099999999999</v>
      </c>
      <c r="B784" s="52">
        <v>180.01240000000001</v>
      </c>
      <c r="C784" s="52">
        <v>174.86070000000001</v>
      </c>
      <c r="D784" s="52">
        <v>177.24260000000001</v>
      </c>
      <c r="E784" s="52">
        <v>31463223</v>
      </c>
      <c r="F784" s="52" t="s">
        <v>847</v>
      </c>
      <c r="G784" s="25">
        <f t="shared" si="10"/>
        <v>6.8177740565755762E-3</v>
      </c>
    </row>
    <row r="785" spans="1:7">
      <c r="A785" s="52">
        <v>173.19980000000001</v>
      </c>
      <c r="B785" s="52">
        <v>177.91399999999999</v>
      </c>
      <c r="C785" s="52">
        <v>172.4042</v>
      </c>
      <c r="D785" s="52">
        <v>175.3912</v>
      </c>
      <c r="E785" s="52">
        <v>33433567</v>
      </c>
      <c r="F785" s="52" t="s">
        <v>848</v>
      </c>
      <c r="G785" s="25">
        <f t="shared" si="10"/>
        <v>-1.2494355475075047E-2</v>
      </c>
    </row>
    <row r="786" spans="1:7">
      <c r="A786" s="52">
        <v>176.94929999999999</v>
      </c>
      <c r="B786" s="52">
        <v>185.63159999999999</v>
      </c>
      <c r="C786" s="52">
        <v>176.30279999999999</v>
      </c>
      <c r="D786" s="52">
        <v>185.11449999999999</v>
      </c>
      <c r="E786" s="52">
        <v>37118811</v>
      </c>
      <c r="F786" s="52" t="s">
        <v>849</v>
      </c>
      <c r="G786" s="25">
        <f t="shared" si="10"/>
        <v>-4.4108916373379659E-2</v>
      </c>
    </row>
    <row r="787" spans="1:7">
      <c r="A787" s="52">
        <v>182.42920000000001</v>
      </c>
      <c r="B787" s="52">
        <v>189.78880000000001</v>
      </c>
      <c r="C787" s="52">
        <v>181.922</v>
      </c>
      <c r="D787" s="52">
        <v>188.9633</v>
      </c>
      <c r="E787" s="52">
        <v>36139074</v>
      </c>
      <c r="F787" s="52" t="s">
        <v>850</v>
      </c>
      <c r="G787" s="25">
        <f t="shared" si="10"/>
        <v>-3.4578672154857548E-2</v>
      </c>
    </row>
    <row r="788" spans="1:7">
      <c r="A788" s="52">
        <v>190.5745</v>
      </c>
      <c r="B788" s="52">
        <v>192.7226</v>
      </c>
      <c r="C788" s="52">
        <v>183.3939</v>
      </c>
      <c r="D788" s="52">
        <v>184.5625</v>
      </c>
      <c r="E788" s="52">
        <v>47080662</v>
      </c>
      <c r="F788" s="52" t="s">
        <v>851</v>
      </c>
      <c r="G788" s="25">
        <f t="shared" si="10"/>
        <v>3.2574331188621741E-2</v>
      </c>
    </row>
    <row r="789" spans="1:7">
      <c r="A789" s="52">
        <v>185.04480000000001</v>
      </c>
      <c r="B789" s="52">
        <v>189.65950000000001</v>
      </c>
      <c r="C789" s="52">
        <v>184.5034</v>
      </c>
      <c r="D789" s="52">
        <v>185.51230000000001</v>
      </c>
      <c r="E789" s="52">
        <v>42483811</v>
      </c>
      <c r="F789" s="52" t="s">
        <v>852</v>
      </c>
      <c r="G789" s="25">
        <f t="shared" si="10"/>
        <v>-2.5200485358652935E-3</v>
      </c>
    </row>
    <row r="790" spans="1:7">
      <c r="A790" s="52">
        <v>185.51230000000001</v>
      </c>
      <c r="B790" s="52">
        <v>195.69640000000001</v>
      </c>
      <c r="C790" s="52">
        <v>181.8921</v>
      </c>
      <c r="D790" s="52">
        <v>182.464</v>
      </c>
      <c r="E790" s="52">
        <v>76809701</v>
      </c>
      <c r="F790" s="52" t="s">
        <v>853</v>
      </c>
      <c r="G790" s="25">
        <f t="shared" si="10"/>
        <v>1.6706309189758128E-2</v>
      </c>
    </row>
    <row r="791" spans="1:7">
      <c r="A791" s="52">
        <v>187.74010000000001</v>
      </c>
      <c r="B791" s="52">
        <v>196.08430000000001</v>
      </c>
      <c r="C791" s="52">
        <v>179.17699999999999</v>
      </c>
      <c r="D791" s="52">
        <v>182.37950000000001</v>
      </c>
      <c r="E791" s="52">
        <v>150475687</v>
      </c>
      <c r="F791" s="52" t="s">
        <v>854</v>
      </c>
      <c r="G791" s="25">
        <f t="shared" si="10"/>
        <v>2.9392557825852261E-2</v>
      </c>
    </row>
    <row r="792" spans="1:7">
      <c r="A792" s="52">
        <v>152.28460000000001</v>
      </c>
      <c r="B792" s="52">
        <v>152.74209999999999</v>
      </c>
      <c r="C792" s="52">
        <v>146.2576</v>
      </c>
      <c r="D792" s="52">
        <v>147.22229999999999</v>
      </c>
      <c r="E792" s="52">
        <v>55661017</v>
      </c>
      <c r="F792" s="52" t="s">
        <v>855</v>
      </c>
      <c r="G792" s="25">
        <f t="shared" si="10"/>
        <v>3.4385415796384322E-2</v>
      </c>
    </row>
    <row r="793" spans="1:7">
      <c r="A793" s="52">
        <v>148.15719999999999</v>
      </c>
      <c r="B793" s="52">
        <v>149.06219999999999</v>
      </c>
      <c r="C793" s="52">
        <v>146.71510000000001</v>
      </c>
      <c r="D793" s="52">
        <v>147.14279999999999</v>
      </c>
      <c r="E793" s="52">
        <v>29842109</v>
      </c>
      <c r="F793" s="52" t="s">
        <v>856</v>
      </c>
      <c r="G793" s="25">
        <f t="shared" si="10"/>
        <v>6.8939832597993966E-3</v>
      </c>
    </row>
    <row r="794" spans="1:7">
      <c r="A794" s="52">
        <v>146.2576</v>
      </c>
      <c r="B794" s="52">
        <v>150.2988</v>
      </c>
      <c r="C794" s="52">
        <v>146.1482</v>
      </c>
      <c r="D794" s="52">
        <v>148.5898</v>
      </c>
      <c r="E794" s="52">
        <v>28040100</v>
      </c>
      <c r="F794" s="52" t="s">
        <v>857</v>
      </c>
      <c r="G794" s="25">
        <f t="shared" si="10"/>
        <v>-1.5695559183739438E-2</v>
      </c>
    </row>
    <row r="795" spans="1:7">
      <c r="A795" s="52">
        <v>150.91210000000001</v>
      </c>
      <c r="B795" s="52">
        <v>152.35419999999999</v>
      </c>
      <c r="C795" s="52">
        <v>146.58580000000001</v>
      </c>
      <c r="D795" s="52">
        <v>147.4282</v>
      </c>
      <c r="E795" s="52">
        <v>35771865</v>
      </c>
      <c r="F795" s="52" t="s">
        <v>858</v>
      </c>
      <c r="G795" s="25">
        <f t="shared" si="10"/>
        <v>2.3631164187041698E-2</v>
      </c>
    </row>
    <row r="796" spans="1:7">
      <c r="A796" s="52">
        <v>146.49629999999999</v>
      </c>
      <c r="B796" s="52">
        <v>146.70519999999999</v>
      </c>
      <c r="C796" s="52">
        <v>142.5181</v>
      </c>
      <c r="D796" s="52">
        <v>143.6121</v>
      </c>
      <c r="E796" s="52">
        <v>25482084</v>
      </c>
      <c r="F796" s="52" t="s">
        <v>859</v>
      </c>
      <c r="G796" s="25">
        <f t="shared" si="10"/>
        <v>2.0083265964358166E-2</v>
      </c>
    </row>
    <row r="797" spans="1:7">
      <c r="A797" s="52">
        <v>140.72800000000001</v>
      </c>
      <c r="B797" s="52">
        <v>142.38890000000001</v>
      </c>
      <c r="C797" s="52">
        <v>139.5445</v>
      </c>
      <c r="D797" s="52">
        <v>140.4495</v>
      </c>
      <c r="E797" s="52">
        <v>26622021</v>
      </c>
      <c r="F797" s="52" t="s">
        <v>860</v>
      </c>
      <c r="G797" s="25">
        <f t="shared" si="10"/>
        <v>1.9829191275155811E-3</v>
      </c>
    </row>
    <row r="798" spans="1:7">
      <c r="A798" s="52">
        <v>142.35900000000001</v>
      </c>
      <c r="B798" s="52">
        <v>144.2089</v>
      </c>
      <c r="C798" s="52">
        <v>140.58869999999999</v>
      </c>
      <c r="D798" s="52">
        <v>140.9169</v>
      </c>
      <c r="E798" s="52">
        <v>21970190</v>
      </c>
      <c r="F798" s="52" t="s">
        <v>861</v>
      </c>
      <c r="G798" s="25">
        <f t="shared" si="10"/>
        <v>1.0233690919967842E-2</v>
      </c>
    </row>
    <row r="799" spans="1:7">
      <c r="A799" s="52">
        <v>142.48830000000001</v>
      </c>
      <c r="B799" s="52">
        <v>142.97559999999999</v>
      </c>
      <c r="C799" s="52">
        <v>137.90350000000001</v>
      </c>
      <c r="D799" s="52">
        <v>138.53</v>
      </c>
      <c r="E799" s="52">
        <v>27470093</v>
      </c>
      <c r="F799" s="52" t="s">
        <v>862</v>
      </c>
      <c r="G799" s="25">
        <f t="shared" si="10"/>
        <v>2.8573594167328409E-2</v>
      </c>
    </row>
    <row r="800" spans="1:7">
      <c r="A800" s="52">
        <v>138.6096</v>
      </c>
      <c r="B800" s="52">
        <v>139.1765</v>
      </c>
      <c r="C800" s="52">
        <v>133.87559999999999</v>
      </c>
      <c r="D800" s="52">
        <v>135.14859999999999</v>
      </c>
      <c r="E800" s="52">
        <v>28688630</v>
      </c>
      <c r="F800" s="52" t="s">
        <v>863</v>
      </c>
      <c r="G800" s="25">
        <f t="shared" si="10"/>
        <v>2.5608848334351952E-2</v>
      </c>
    </row>
    <row r="801" spans="1:7">
      <c r="A801" s="52">
        <v>135.40719999999999</v>
      </c>
      <c r="B801" s="52">
        <v>136.70009999999999</v>
      </c>
      <c r="C801" s="52">
        <v>131.41900000000001</v>
      </c>
      <c r="D801" s="52">
        <v>131.7671</v>
      </c>
      <c r="E801" s="52">
        <v>28625232</v>
      </c>
      <c r="F801" s="52" t="s">
        <v>864</v>
      </c>
      <c r="G801" s="25">
        <f t="shared" si="10"/>
        <v>2.7625256987517943E-2</v>
      </c>
    </row>
    <row r="802" spans="1:7">
      <c r="A802" s="52">
        <v>132.29419999999999</v>
      </c>
      <c r="B802" s="52">
        <v>136.50120000000001</v>
      </c>
      <c r="C802" s="52">
        <v>132.0754</v>
      </c>
      <c r="D802" s="52">
        <v>135.06899999999999</v>
      </c>
      <c r="E802" s="52">
        <v>20215486</v>
      </c>
      <c r="F802" s="52" t="s">
        <v>865</v>
      </c>
      <c r="G802" s="25">
        <f t="shared" si="10"/>
        <v>-2.0543574025127853E-2</v>
      </c>
    </row>
    <row r="803" spans="1:7">
      <c r="A803" s="52">
        <v>134.6215</v>
      </c>
      <c r="B803" s="52">
        <v>136.00389999999999</v>
      </c>
      <c r="C803" s="52">
        <v>133.51750000000001</v>
      </c>
      <c r="D803" s="52">
        <v>135.43299999999999</v>
      </c>
      <c r="E803" s="52">
        <v>21147587</v>
      </c>
      <c r="F803" s="52" t="s">
        <v>866</v>
      </c>
      <c r="G803" s="25">
        <f t="shared" si="10"/>
        <v>-5.991892670176413E-3</v>
      </c>
    </row>
    <row r="804" spans="1:7">
      <c r="A804" s="52">
        <v>136.23259999999999</v>
      </c>
      <c r="B804" s="52">
        <v>136.6404</v>
      </c>
      <c r="C804" s="52">
        <v>134.0993</v>
      </c>
      <c r="D804" s="52">
        <v>134.2336</v>
      </c>
      <c r="E804" s="52">
        <v>22423839</v>
      </c>
      <c r="F804" s="52" t="s">
        <v>867</v>
      </c>
      <c r="G804" s="25">
        <f t="shared" si="10"/>
        <v>1.4891949556593786E-2</v>
      </c>
    </row>
    <row r="805" spans="1:7">
      <c r="A805" s="52">
        <v>135.9641</v>
      </c>
      <c r="B805" s="52">
        <v>136.92689999999999</v>
      </c>
      <c r="C805" s="52">
        <v>131.0411</v>
      </c>
      <c r="D805" s="52">
        <v>132.71190000000001</v>
      </c>
      <c r="E805" s="52">
        <v>30757732</v>
      </c>
      <c r="F805" s="52" t="s">
        <v>868</v>
      </c>
      <c r="G805" s="25">
        <f t="shared" si="10"/>
        <v>2.4505715011238438E-2</v>
      </c>
    </row>
    <row r="806" spans="1:7">
      <c r="A806" s="52">
        <v>132.16489999999999</v>
      </c>
      <c r="B806" s="52">
        <v>133.1191</v>
      </c>
      <c r="C806" s="52">
        <v>129.62889999999999</v>
      </c>
      <c r="D806" s="52">
        <v>130.24549999999999</v>
      </c>
      <c r="E806" s="52">
        <v>25423046</v>
      </c>
      <c r="F806" s="52" t="s">
        <v>869</v>
      </c>
      <c r="G806" s="25">
        <f t="shared" si="10"/>
        <v>1.4736785531937802E-2</v>
      </c>
    </row>
    <row r="807" spans="1:7">
      <c r="A807" s="52">
        <v>132.26439999999999</v>
      </c>
      <c r="B807" s="52">
        <v>132.71190000000001</v>
      </c>
      <c r="C807" s="52">
        <v>126.4563</v>
      </c>
      <c r="D807" s="52">
        <v>126.57559999999999</v>
      </c>
      <c r="E807" s="52">
        <v>28684431</v>
      </c>
      <c r="F807" s="52" t="s">
        <v>870</v>
      </c>
      <c r="G807" s="25">
        <f t="shared" si="10"/>
        <v>4.4943891239701772E-2</v>
      </c>
    </row>
    <row r="808" spans="1:7">
      <c r="A808" s="52">
        <v>128.7636</v>
      </c>
      <c r="B808" s="52">
        <v>132.22460000000001</v>
      </c>
      <c r="C808" s="52">
        <v>128.5746</v>
      </c>
      <c r="D808" s="52">
        <v>130.4444</v>
      </c>
      <c r="E808" s="52">
        <v>26649145</v>
      </c>
      <c r="F808" s="52" t="s">
        <v>871</v>
      </c>
      <c r="G808" s="25">
        <f t="shared" si="10"/>
        <v>-1.2885183265820555E-2</v>
      </c>
    </row>
    <row r="809" spans="1:7">
      <c r="A809" s="52">
        <v>129.31059999999999</v>
      </c>
      <c r="B809" s="52">
        <v>129.6189</v>
      </c>
      <c r="C809" s="52">
        <v>125.3523</v>
      </c>
      <c r="D809" s="52">
        <v>128.2663</v>
      </c>
      <c r="E809" s="52">
        <v>27584498</v>
      </c>
      <c r="F809" s="52" t="s">
        <v>872</v>
      </c>
      <c r="G809" s="25">
        <f t="shared" si="10"/>
        <v>8.1416552905946293E-3</v>
      </c>
    </row>
    <row r="810" spans="1:7">
      <c r="A810" s="52">
        <v>126.2474</v>
      </c>
      <c r="B810" s="52">
        <v>127.8188</v>
      </c>
      <c r="C810" s="52">
        <v>123.8605</v>
      </c>
      <c r="D810" s="52">
        <v>125.43689999999999</v>
      </c>
      <c r="E810" s="52">
        <v>25447099</v>
      </c>
      <c r="F810" s="52" t="s">
        <v>873</v>
      </c>
      <c r="G810" s="25">
        <f t="shared" si="10"/>
        <v>6.4614160585920732E-3</v>
      </c>
    </row>
    <row r="811" spans="1:7">
      <c r="A811" s="52">
        <v>126.6751</v>
      </c>
      <c r="B811" s="52">
        <v>128.34569999999999</v>
      </c>
      <c r="C811" s="52">
        <v>125.1634</v>
      </c>
      <c r="D811" s="52">
        <v>126.685</v>
      </c>
      <c r="E811" s="52">
        <v>32397094</v>
      </c>
      <c r="F811" s="52" t="s">
        <v>874</v>
      </c>
      <c r="G811" s="25">
        <f t="shared" si="10"/>
        <v>-7.8146584047034118E-5</v>
      </c>
    </row>
    <row r="812" spans="1:7">
      <c r="A812" s="52">
        <v>124.0594</v>
      </c>
      <c r="B812" s="52">
        <v>125.68049999999999</v>
      </c>
      <c r="C812" s="52">
        <v>121.61279999999999</v>
      </c>
      <c r="D812" s="52">
        <v>122.1499</v>
      </c>
      <c r="E812" s="52">
        <v>35528531</v>
      </c>
      <c r="F812" s="52" t="s">
        <v>875</v>
      </c>
      <c r="G812" s="25">
        <f t="shared" si="10"/>
        <v>1.5632431954508252E-2</v>
      </c>
    </row>
    <row r="813" spans="1:7">
      <c r="A813" s="52">
        <v>119.68340000000001</v>
      </c>
      <c r="B813" s="52">
        <v>119.76300000000001</v>
      </c>
      <c r="C813" s="52">
        <v>117.0976</v>
      </c>
      <c r="D813" s="52">
        <v>117.5153</v>
      </c>
      <c r="E813" s="52">
        <v>19583825</v>
      </c>
      <c r="F813" s="52" t="s">
        <v>876</v>
      </c>
      <c r="G813" s="25">
        <f t="shared" si="10"/>
        <v>1.8449512531559797E-2</v>
      </c>
    </row>
    <row r="814" spans="1:7">
      <c r="A814" s="52">
        <v>119.6039</v>
      </c>
      <c r="B814" s="52">
        <v>120.36969999999999</v>
      </c>
      <c r="C814" s="52">
        <v>115.1383</v>
      </c>
      <c r="D814" s="52">
        <v>115.7649</v>
      </c>
      <c r="E814" s="52">
        <v>22366192</v>
      </c>
      <c r="F814" s="52" t="s">
        <v>877</v>
      </c>
      <c r="G814" s="25">
        <f t="shared" si="10"/>
        <v>3.3162037888859297E-2</v>
      </c>
    </row>
    <row r="815" spans="1:7">
      <c r="A815" s="52">
        <v>114.9892</v>
      </c>
      <c r="B815" s="52">
        <v>117.50539999999999</v>
      </c>
      <c r="C815" s="52">
        <v>114.8798</v>
      </c>
      <c r="D815" s="52">
        <v>115.6157</v>
      </c>
      <c r="E815" s="52">
        <v>19612473</v>
      </c>
      <c r="F815" s="52" t="s">
        <v>878</v>
      </c>
      <c r="G815" s="25">
        <f t="shared" si="10"/>
        <v>-5.4188142267875827E-3</v>
      </c>
    </row>
    <row r="816" spans="1:7">
      <c r="A816" s="52">
        <v>116.2423</v>
      </c>
      <c r="B816" s="52">
        <v>117.9529</v>
      </c>
      <c r="C816" s="52">
        <v>115.4169</v>
      </c>
      <c r="D816" s="52">
        <v>117.28660000000001</v>
      </c>
      <c r="E816" s="52">
        <v>21392311</v>
      </c>
      <c r="F816" s="52" t="s">
        <v>879</v>
      </c>
      <c r="G816" s="25">
        <f t="shared" si="10"/>
        <v>-8.9038304461038775E-3</v>
      </c>
    </row>
    <row r="817" spans="1:7">
      <c r="A817" s="52">
        <v>117.396</v>
      </c>
      <c r="B817" s="52">
        <v>117.53019999999999</v>
      </c>
      <c r="C817" s="52">
        <v>114.9046</v>
      </c>
      <c r="D817" s="52">
        <v>115.3969</v>
      </c>
      <c r="E817" s="52">
        <v>17796625</v>
      </c>
      <c r="F817" s="52" t="s">
        <v>880</v>
      </c>
      <c r="G817" s="25">
        <f t="shared" si="10"/>
        <v>1.7323688937917803E-2</v>
      </c>
    </row>
    <row r="818" spans="1:7">
      <c r="A818" s="52">
        <v>116.48099999999999</v>
      </c>
      <c r="B818" s="52">
        <v>117.97280000000001</v>
      </c>
      <c r="C818" s="52">
        <v>113.7559</v>
      </c>
      <c r="D818" s="52">
        <v>116.5605</v>
      </c>
      <c r="E818" s="52">
        <v>23618121</v>
      </c>
      <c r="F818" s="52" t="s">
        <v>881</v>
      </c>
      <c r="G818" s="25">
        <f t="shared" si="10"/>
        <v>-6.8204923623360614E-4</v>
      </c>
    </row>
    <row r="819" spans="1:7">
      <c r="A819" s="52">
        <v>119.1066</v>
      </c>
      <c r="B819" s="52">
        <v>119.68340000000001</v>
      </c>
      <c r="C819" s="52">
        <v>114.9892</v>
      </c>
      <c r="D819" s="52">
        <v>116.0633</v>
      </c>
      <c r="E819" s="52">
        <v>20392799</v>
      </c>
      <c r="F819" s="52" t="s">
        <v>882</v>
      </c>
      <c r="G819" s="25">
        <f t="shared" si="10"/>
        <v>2.6221036279340693E-2</v>
      </c>
    </row>
    <row r="820" spans="1:7">
      <c r="A820" s="52">
        <v>116.4511</v>
      </c>
      <c r="B820" s="52">
        <v>116.68980000000001</v>
      </c>
      <c r="C820" s="52">
        <v>111.8464</v>
      </c>
      <c r="D820" s="52">
        <v>112.642</v>
      </c>
      <c r="E820" s="52">
        <v>28742501</v>
      </c>
      <c r="F820" s="52" t="s">
        <v>883</v>
      </c>
      <c r="G820" s="25">
        <f t="shared" si="10"/>
        <v>3.38159833809768E-2</v>
      </c>
    </row>
    <row r="821" spans="1:7">
      <c r="A821" s="52">
        <v>113.8554</v>
      </c>
      <c r="B821" s="52">
        <v>117.15730000000001</v>
      </c>
      <c r="C821" s="52">
        <v>113.7072</v>
      </c>
      <c r="D821" s="52">
        <v>116.1926</v>
      </c>
      <c r="E821" s="52">
        <v>29769875</v>
      </c>
      <c r="F821" s="52" t="s">
        <v>884</v>
      </c>
      <c r="G821" s="25">
        <f t="shared" si="10"/>
        <v>-2.0114878228045474E-2</v>
      </c>
    </row>
    <row r="822" spans="1:7">
      <c r="A822" s="52">
        <v>118.7784</v>
      </c>
      <c r="B822" s="52">
        <v>122.63720000000001</v>
      </c>
      <c r="C822" s="52">
        <v>118.17310000000001</v>
      </c>
      <c r="D822" s="52">
        <v>119.574</v>
      </c>
      <c r="E822" s="52">
        <v>67064001</v>
      </c>
      <c r="F822" s="52" t="s">
        <v>885</v>
      </c>
      <c r="G822" s="25">
        <f t="shared" si="10"/>
        <v>-6.6536203522504778E-3</v>
      </c>
    </row>
    <row r="823" spans="1:7">
      <c r="A823" s="52">
        <v>115.5163</v>
      </c>
      <c r="B823" s="52">
        <v>117.9778</v>
      </c>
      <c r="C823" s="52">
        <v>113.38800000000001</v>
      </c>
      <c r="D823" s="52">
        <v>117.6844</v>
      </c>
      <c r="E823" s="52">
        <v>34530970</v>
      </c>
      <c r="F823" s="52" t="s">
        <v>886</v>
      </c>
      <c r="G823" s="25">
        <f t="shared" si="10"/>
        <v>-1.8423002538994093E-2</v>
      </c>
    </row>
    <row r="824" spans="1:7">
      <c r="A824" s="52">
        <v>120.92659999999999</v>
      </c>
      <c r="B824" s="52">
        <v>123.4627</v>
      </c>
      <c r="C824" s="52">
        <v>118.73860000000001</v>
      </c>
      <c r="D824" s="52">
        <v>118.73860000000001</v>
      </c>
      <c r="E824" s="52">
        <v>36922037</v>
      </c>
      <c r="F824" s="52" t="s">
        <v>887</v>
      </c>
      <c r="G824" s="25">
        <f t="shared" si="10"/>
        <v>1.842703215298136E-2</v>
      </c>
    </row>
    <row r="825" spans="1:7">
      <c r="A825" s="52">
        <v>119.4945</v>
      </c>
      <c r="B825" s="52">
        <v>122.62730000000001</v>
      </c>
      <c r="C825" s="52">
        <v>117.9927</v>
      </c>
      <c r="D825" s="52">
        <v>121.4636</v>
      </c>
      <c r="E825" s="52">
        <v>44701054</v>
      </c>
      <c r="F825" s="52" t="s">
        <v>888</v>
      </c>
      <c r="G825" s="25">
        <f t="shared" si="10"/>
        <v>-1.6211441123101911E-2</v>
      </c>
    </row>
    <row r="826" spans="1:7">
      <c r="A826" s="52">
        <v>114.08410000000001</v>
      </c>
      <c r="B826" s="52">
        <v>115.0886</v>
      </c>
      <c r="C826" s="52">
        <v>112.5227</v>
      </c>
      <c r="D826" s="52">
        <v>114.55159999999999</v>
      </c>
      <c r="E826" s="52">
        <v>24747064</v>
      </c>
      <c r="F826" s="52" t="s">
        <v>889</v>
      </c>
      <c r="G826" s="25">
        <f t="shared" si="10"/>
        <v>-4.0811302504721869E-3</v>
      </c>
    </row>
    <row r="827" spans="1:7">
      <c r="A827" s="52">
        <v>115.2676</v>
      </c>
      <c r="B827" s="52">
        <v>116.89870000000001</v>
      </c>
      <c r="C827" s="52">
        <v>113.2487</v>
      </c>
      <c r="D827" s="52">
        <v>114.6709</v>
      </c>
      <c r="E827" s="52">
        <v>26033353</v>
      </c>
      <c r="F827" s="52" t="s">
        <v>890</v>
      </c>
      <c r="G827" s="25">
        <f t="shared" si="10"/>
        <v>5.2035869605977503E-3</v>
      </c>
    </row>
    <row r="828" spans="1:7">
      <c r="A828" s="52">
        <v>114.7007</v>
      </c>
      <c r="B828" s="52">
        <v>116.6998</v>
      </c>
      <c r="C828" s="52">
        <v>113.9648</v>
      </c>
      <c r="D828" s="52">
        <v>115.755</v>
      </c>
      <c r="E828" s="52">
        <v>30619418</v>
      </c>
      <c r="F828" s="52" t="s">
        <v>891</v>
      </c>
      <c r="G828" s="25">
        <f t="shared" si="10"/>
        <v>-9.1080298907174617E-3</v>
      </c>
    </row>
    <row r="829" spans="1:7">
      <c r="A829" s="52">
        <v>113.30840000000001</v>
      </c>
      <c r="B829" s="52">
        <v>115.24769999999999</v>
      </c>
      <c r="C829" s="52">
        <v>112.2641</v>
      </c>
      <c r="D829" s="52">
        <v>113.13930000000001</v>
      </c>
      <c r="E829" s="52">
        <v>29461137</v>
      </c>
      <c r="F829" s="52" t="s">
        <v>892</v>
      </c>
      <c r="G829" s="25">
        <f t="shared" si="10"/>
        <v>1.4946176969452551E-3</v>
      </c>
    </row>
    <row r="830" spans="1:7">
      <c r="A830" s="52">
        <v>113.4974</v>
      </c>
      <c r="B830" s="52">
        <v>119.89230000000001</v>
      </c>
      <c r="C830" s="52">
        <v>113.1194</v>
      </c>
      <c r="D830" s="52">
        <v>119.25579999999999</v>
      </c>
      <c r="E830" s="52">
        <v>43689183</v>
      </c>
      <c r="F830" s="52" t="s">
        <v>893</v>
      </c>
      <c r="G830" s="25">
        <f t="shared" si="10"/>
        <v>-4.8286121094319845E-2</v>
      </c>
    </row>
    <row r="831" spans="1:7">
      <c r="A831" s="52">
        <v>121.762</v>
      </c>
      <c r="B831" s="52">
        <v>123.9898</v>
      </c>
      <c r="C831" s="52">
        <v>120.6879</v>
      </c>
      <c r="D831" s="52">
        <v>121.0857</v>
      </c>
      <c r="E831" s="52">
        <v>35474884</v>
      </c>
      <c r="F831" s="52" t="s">
        <v>894</v>
      </c>
      <c r="G831" s="25">
        <f t="shared" si="10"/>
        <v>5.5853003286101544E-3</v>
      </c>
    </row>
    <row r="832" spans="1:7">
      <c r="A832" s="52">
        <v>122.81619999999999</v>
      </c>
      <c r="B832" s="52">
        <v>123.36320000000001</v>
      </c>
      <c r="C832" s="52">
        <v>116.9683</v>
      </c>
      <c r="D832" s="52">
        <v>117.1871</v>
      </c>
      <c r="E832" s="52">
        <v>39950464</v>
      </c>
      <c r="F832" s="52" t="s">
        <v>895</v>
      </c>
      <c r="G832" s="25">
        <f t="shared" si="10"/>
        <v>4.8035150626647427E-2</v>
      </c>
    </row>
    <row r="833" spans="1:7">
      <c r="A833" s="52">
        <v>119.7829</v>
      </c>
      <c r="B833" s="52">
        <v>120.53870000000001</v>
      </c>
      <c r="C833" s="52">
        <v>117.754</v>
      </c>
      <c r="D833" s="52">
        <v>118.5476</v>
      </c>
      <c r="E833" s="52">
        <v>36551374</v>
      </c>
      <c r="F833" s="52" t="s">
        <v>896</v>
      </c>
      <c r="G833" s="25">
        <f t="shared" si="10"/>
        <v>1.0420286872108608E-2</v>
      </c>
    </row>
    <row r="834" spans="1:7">
      <c r="A834" s="52">
        <v>117.4556</v>
      </c>
      <c r="B834" s="52">
        <v>117.5153</v>
      </c>
      <c r="C834" s="52">
        <v>108.78319999999999</v>
      </c>
      <c r="D834" s="52">
        <v>108.9075</v>
      </c>
      <c r="E834" s="52">
        <v>43348557</v>
      </c>
      <c r="F834" s="52" t="s">
        <v>897</v>
      </c>
      <c r="G834" s="25">
        <f t="shared" si="10"/>
        <v>7.8489543878979884E-2</v>
      </c>
    </row>
    <row r="835" spans="1:7">
      <c r="A835" s="52">
        <v>108.86279999999999</v>
      </c>
      <c r="B835" s="52">
        <v>110.3347</v>
      </c>
      <c r="C835" s="52">
        <v>107.9515</v>
      </c>
      <c r="D835" s="52">
        <v>108.9423</v>
      </c>
      <c r="E835" s="52">
        <v>23899238</v>
      </c>
      <c r="F835" s="52" t="s">
        <v>898</v>
      </c>
      <c r="G835" s="25">
        <f t="shared" si="10"/>
        <v>-7.2974409389203743E-4</v>
      </c>
    </row>
    <row r="836" spans="1:7">
      <c r="A836" s="52">
        <v>108.1865</v>
      </c>
      <c r="B836" s="52">
        <v>111.42870000000001</v>
      </c>
      <c r="C836" s="52">
        <v>107.78870000000001</v>
      </c>
      <c r="D836" s="52">
        <v>110.1756</v>
      </c>
      <c r="E836" s="52">
        <v>23332816</v>
      </c>
      <c r="F836" s="52" t="s">
        <v>899</v>
      </c>
      <c r="G836" s="25">
        <f t="shared" ref="G836:G899" si="11">A836/D836-1</f>
        <v>-1.8053906672620856E-2</v>
      </c>
    </row>
    <row r="837" spans="1:7">
      <c r="A837" s="52">
        <v>110.8021</v>
      </c>
      <c r="B837" s="52">
        <v>112.11490000000001</v>
      </c>
      <c r="C837" s="52">
        <v>110.4143</v>
      </c>
      <c r="D837" s="52">
        <v>110.6927</v>
      </c>
      <c r="E837" s="52">
        <v>12007566</v>
      </c>
      <c r="F837" s="52" t="s">
        <v>900</v>
      </c>
      <c r="G837" s="25">
        <f t="shared" si="11"/>
        <v>9.8832172311258404E-4</v>
      </c>
    </row>
    <row r="838" spans="1:7">
      <c r="A838" s="52">
        <v>111.6276</v>
      </c>
      <c r="B838" s="52">
        <v>112.0553</v>
      </c>
      <c r="C838" s="52">
        <v>110.1258</v>
      </c>
      <c r="D838" s="52">
        <v>111.1104</v>
      </c>
      <c r="E838" s="52">
        <v>21343083</v>
      </c>
      <c r="F838" s="52" t="s">
        <v>901</v>
      </c>
      <c r="G838" s="25">
        <f t="shared" si="11"/>
        <v>4.6548297909105862E-3</v>
      </c>
    </row>
    <row r="839" spans="1:7">
      <c r="A839" s="52">
        <v>110.83199999999999</v>
      </c>
      <c r="B839" s="52">
        <v>111.011</v>
      </c>
      <c r="C839" s="52">
        <v>107.7306</v>
      </c>
      <c r="D839" s="52">
        <v>109.2606</v>
      </c>
      <c r="E839" s="52">
        <v>29028963</v>
      </c>
      <c r="F839" s="52" t="s">
        <v>902</v>
      </c>
      <c r="G839" s="25">
        <f t="shared" si="11"/>
        <v>1.4382128598964261E-2</v>
      </c>
    </row>
    <row r="840" spans="1:7">
      <c r="A840" s="52">
        <v>109.2606</v>
      </c>
      <c r="B840" s="52">
        <v>111.7568</v>
      </c>
      <c r="C840" s="52">
        <v>108.5943</v>
      </c>
      <c r="D840" s="52">
        <v>110.9115</v>
      </c>
      <c r="E840" s="52">
        <v>24351074</v>
      </c>
      <c r="F840" s="52" t="s">
        <v>903</v>
      </c>
      <c r="G840" s="25">
        <f t="shared" si="11"/>
        <v>-1.4884840616167017E-2</v>
      </c>
    </row>
    <row r="841" spans="1:7">
      <c r="A841" s="52">
        <v>111.43859999999999</v>
      </c>
      <c r="B841" s="52">
        <v>113.69629999999999</v>
      </c>
      <c r="C841" s="52">
        <v>110.0164</v>
      </c>
      <c r="D841" s="52">
        <v>113.17910000000001</v>
      </c>
      <c r="E841" s="52">
        <v>33357707</v>
      </c>
      <c r="F841" s="52" t="s">
        <v>904</v>
      </c>
      <c r="G841" s="25">
        <f t="shared" si="11"/>
        <v>-1.5378280972370484E-2</v>
      </c>
    </row>
    <row r="842" spans="1:7">
      <c r="A842" s="52">
        <v>110.8419</v>
      </c>
      <c r="B842" s="52">
        <v>111.7171</v>
      </c>
      <c r="C842" s="52">
        <v>109.2009</v>
      </c>
      <c r="D842" s="52">
        <v>109.80759999999999</v>
      </c>
      <c r="E842" s="52">
        <v>35093822</v>
      </c>
      <c r="F842" s="52" t="s">
        <v>905</v>
      </c>
      <c r="G842" s="25">
        <f t="shared" si="11"/>
        <v>9.4192023138652825E-3</v>
      </c>
    </row>
    <row r="843" spans="1:7">
      <c r="A843" s="52">
        <v>112.6122</v>
      </c>
      <c r="B843" s="52">
        <v>115.4417</v>
      </c>
      <c r="C843" s="52">
        <v>112.0453</v>
      </c>
      <c r="D843" s="52">
        <v>113.8753</v>
      </c>
      <c r="E843" s="52">
        <v>33287773</v>
      </c>
      <c r="F843" s="52" t="s">
        <v>906</v>
      </c>
      <c r="G843" s="25">
        <f t="shared" si="11"/>
        <v>-1.1091957606258696E-2</v>
      </c>
    </row>
    <row r="844" spans="1:7">
      <c r="A844" s="52">
        <v>116.44119999999999</v>
      </c>
      <c r="B844" s="52">
        <v>118.0921</v>
      </c>
      <c r="C844" s="52">
        <v>113.78740000000001</v>
      </c>
      <c r="D844" s="52">
        <v>115.4367</v>
      </c>
      <c r="E844" s="52">
        <v>50670499</v>
      </c>
      <c r="F844" s="52" t="s">
        <v>907</v>
      </c>
      <c r="G844" s="25">
        <f t="shared" si="11"/>
        <v>8.7017387018166747E-3</v>
      </c>
    </row>
    <row r="845" spans="1:7">
      <c r="A845" s="52">
        <v>113.5968</v>
      </c>
      <c r="B845" s="52">
        <v>115.6356</v>
      </c>
      <c r="C845" s="52">
        <v>110.1955</v>
      </c>
      <c r="D845" s="52">
        <v>110.3844</v>
      </c>
      <c r="E845" s="52">
        <v>53394974</v>
      </c>
      <c r="F845" s="52" t="s">
        <v>908</v>
      </c>
      <c r="G845" s="25">
        <f t="shared" si="11"/>
        <v>2.9101938317370957E-2</v>
      </c>
    </row>
    <row r="846" spans="1:7">
      <c r="A846" s="52">
        <v>112.4034</v>
      </c>
      <c r="B846" s="52">
        <v>114.2731</v>
      </c>
      <c r="C846" s="52">
        <v>108.2163</v>
      </c>
      <c r="D846" s="52">
        <v>108.634</v>
      </c>
      <c r="E846" s="52">
        <v>59961742</v>
      </c>
      <c r="F846" s="52" t="s">
        <v>909</v>
      </c>
      <c r="G846" s="25">
        <f t="shared" si="11"/>
        <v>3.469816079680399E-2</v>
      </c>
    </row>
    <row r="847" spans="1:7">
      <c r="A847" s="52">
        <v>111.25960000000001</v>
      </c>
      <c r="B847" s="52">
        <v>112.1348</v>
      </c>
      <c r="C847" s="52">
        <v>104.03919999999999</v>
      </c>
      <c r="D847" s="52">
        <v>106.5355</v>
      </c>
      <c r="E847" s="52">
        <v>80670961</v>
      </c>
      <c r="F847" s="52" t="s">
        <v>910</v>
      </c>
      <c r="G847" s="25">
        <f t="shared" si="11"/>
        <v>4.4342965490376418E-2</v>
      </c>
    </row>
    <row r="848" spans="1:7">
      <c r="A848" s="52">
        <v>100.9164</v>
      </c>
      <c r="B848" s="52">
        <v>104.32769999999999</v>
      </c>
      <c r="C848" s="52">
        <v>100.1904</v>
      </c>
      <c r="D848" s="52">
        <v>101.16500000000001</v>
      </c>
      <c r="E848" s="52">
        <v>107677284</v>
      </c>
      <c r="F848" s="52" t="s">
        <v>911</v>
      </c>
      <c r="G848" s="25">
        <f t="shared" si="11"/>
        <v>-2.4573716206198748E-3</v>
      </c>
    </row>
    <row r="849" spans="1:7">
      <c r="A849" s="52">
        <v>95.943700000000007</v>
      </c>
      <c r="B849" s="52">
        <v>97.266400000000004</v>
      </c>
      <c r="C849" s="52">
        <v>94.272800000000004</v>
      </c>
      <c r="D849" s="52">
        <v>95.396699999999996</v>
      </c>
      <c r="E849" s="52">
        <v>52088320</v>
      </c>
      <c r="F849" s="52" t="s">
        <v>912</v>
      </c>
      <c r="G849" s="25">
        <f t="shared" si="11"/>
        <v>5.7339509647609255E-3</v>
      </c>
    </row>
    <row r="850" spans="1:7">
      <c r="A850" s="52">
        <v>96.192300000000003</v>
      </c>
      <c r="B850" s="52">
        <v>96.351399999999998</v>
      </c>
      <c r="C850" s="52">
        <v>92.591999999999999</v>
      </c>
      <c r="D850" s="52">
        <v>94.262900000000002</v>
      </c>
      <c r="E850" s="52">
        <v>81987295</v>
      </c>
      <c r="F850" s="52" t="s">
        <v>913</v>
      </c>
      <c r="G850" s="25">
        <f t="shared" si="11"/>
        <v>2.0468286038303418E-2</v>
      </c>
    </row>
    <row r="851" spans="1:7">
      <c r="A851" s="52">
        <v>90.294600000000003</v>
      </c>
      <c r="B851" s="52">
        <v>90.891400000000004</v>
      </c>
      <c r="C851" s="52">
        <v>87.609399999999994</v>
      </c>
      <c r="D851" s="52">
        <v>89.856999999999999</v>
      </c>
      <c r="E851" s="52">
        <v>55638061</v>
      </c>
      <c r="F851" s="52" t="s">
        <v>914</v>
      </c>
      <c r="G851" s="25">
        <f t="shared" si="11"/>
        <v>4.8699600476311833E-3</v>
      </c>
    </row>
    <row r="852" spans="1:7">
      <c r="A852" s="52">
        <v>88.424899999999994</v>
      </c>
      <c r="B852" s="52">
        <v>89.964100000000002</v>
      </c>
      <c r="C852" s="52">
        <v>87.927599999999998</v>
      </c>
      <c r="D852" s="52">
        <v>89.588499999999996</v>
      </c>
      <c r="E852" s="52">
        <v>60664012</v>
      </c>
      <c r="F852" s="52" t="s">
        <v>915</v>
      </c>
      <c r="G852" s="25">
        <f t="shared" si="11"/>
        <v>-1.2988274164652869E-2</v>
      </c>
    </row>
    <row r="853" spans="1:7">
      <c r="A853" s="52">
        <v>90.046000000000006</v>
      </c>
      <c r="B853" s="52">
        <v>94.680599999999998</v>
      </c>
      <c r="C853" s="52">
        <v>89.9863</v>
      </c>
      <c r="D853" s="52">
        <v>93.691000000000003</v>
      </c>
      <c r="E853" s="52">
        <v>71821058</v>
      </c>
      <c r="F853" s="52" t="s">
        <v>916</v>
      </c>
      <c r="G853" s="25">
        <f t="shared" si="11"/>
        <v>-3.8904483888527186E-2</v>
      </c>
    </row>
    <row r="854" spans="1:7">
      <c r="A854" s="52">
        <v>94.680599999999998</v>
      </c>
      <c r="B854" s="52">
        <v>96.958100000000002</v>
      </c>
      <c r="C854" s="52">
        <v>93.039599999999993</v>
      </c>
      <c r="D854" s="52">
        <v>93.815299999999993</v>
      </c>
      <c r="E854" s="52">
        <v>110189617</v>
      </c>
      <c r="F854" s="52" t="s">
        <v>917</v>
      </c>
      <c r="G854" s="25">
        <f t="shared" si="11"/>
        <v>9.2234422317043485E-3</v>
      </c>
    </row>
    <row r="855" spans="1:7">
      <c r="A855" s="52">
        <v>92.651700000000005</v>
      </c>
      <c r="B855" s="52">
        <v>98.778099999999995</v>
      </c>
      <c r="C855" s="52">
        <v>92.094800000000006</v>
      </c>
      <c r="D855" s="52">
        <v>97.684100000000001</v>
      </c>
      <c r="E855" s="52">
        <v>121361444</v>
      </c>
      <c r="F855" s="52" t="s">
        <v>918</v>
      </c>
      <c r="G855" s="25">
        <f t="shared" si="11"/>
        <v>-5.1517084151873171E-2</v>
      </c>
    </row>
    <row r="856" spans="1:7">
      <c r="A856" s="52">
        <v>98.658799999999999</v>
      </c>
      <c r="B856" s="52">
        <v>100.2998</v>
      </c>
      <c r="C856" s="52">
        <v>96.977999999999994</v>
      </c>
      <c r="D856" s="52">
        <v>99.036699999999996</v>
      </c>
      <c r="E856" s="52">
        <v>95928306</v>
      </c>
      <c r="F856" s="52" t="s">
        <v>919</v>
      </c>
      <c r="G856" s="25">
        <f t="shared" si="11"/>
        <v>-3.8157571890016229E-3</v>
      </c>
    </row>
    <row r="857" spans="1:7">
      <c r="A857" s="52">
        <v>97.405600000000007</v>
      </c>
      <c r="B857" s="52">
        <v>101.9408</v>
      </c>
      <c r="C857" s="52">
        <v>95.854100000000003</v>
      </c>
      <c r="D857" s="52">
        <v>97.440399999999997</v>
      </c>
      <c r="E857" s="52">
        <v>232316571</v>
      </c>
      <c r="F857" s="52" t="s">
        <v>920</v>
      </c>
      <c r="G857" s="25">
        <f t="shared" si="11"/>
        <v>-3.5714139104503495E-4</v>
      </c>
    </row>
    <row r="858" spans="1:7">
      <c r="A858" s="52">
        <v>129.11170000000001</v>
      </c>
      <c r="B858" s="52">
        <v>134.81039999999999</v>
      </c>
      <c r="C858" s="52">
        <v>127.8287</v>
      </c>
      <c r="D858" s="52">
        <v>130.9615</v>
      </c>
      <c r="E858" s="52">
        <v>89294679</v>
      </c>
      <c r="F858" s="52" t="s">
        <v>921</v>
      </c>
      <c r="G858" s="25">
        <f t="shared" si="11"/>
        <v>-1.4124761857492341E-2</v>
      </c>
    </row>
    <row r="859" spans="1:7">
      <c r="A859" s="52">
        <v>136.75970000000001</v>
      </c>
      <c r="B859" s="52">
        <v>137.59520000000001</v>
      </c>
      <c r="C859" s="52">
        <v>129.8775</v>
      </c>
      <c r="D859" s="52">
        <v>130.1609</v>
      </c>
      <c r="E859" s="52">
        <v>38433219</v>
      </c>
      <c r="F859" s="52" t="s">
        <v>922</v>
      </c>
      <c r="G859" s="25">
        <f t="shared" si="11"/>
        <v>5.0697252400682569E-2</v>
      </c>
    </row>
    <row r="860" spans="1:7">
      <c r="A860" s="52">
        <v>129.01220000000001</v>
      </c>
      <c r="B860" s="52">
        <v>132.7517</v>
      </c>
      <c r="C860" s="52">
        <v>123.8903</v>
      </c>
      <c r="D860" s="52">
        <v>126.5557</v>
      </c>
      <c r="E860" s="52">
        <v>63563447</v>
      </c>
      <c r="F860" s="52" t="s">
        <v>923</v>
      </c>
      <c r="G860" s="25">
        <f t="shared" si="11"/>
        <v>1.9410425607064852E-2</v>
      </c>
    </row>
    <row r="861" spans="1:7">
      <c r="A861" s="52">
        <v>129.30070000000001</v>
      </c>
      <c r="B861" s="52">
        <v>129.4101</v>
      </c>
      <c r="C861" s="52">
        <v>124.7556</v>
      </c>
      <c r="D861" s="52">
        <v>125.6208</v>
      </c>
      <c r="E861" s="52">
        <v>46348647</v>
      </c>
      <c r="F861" s="52" t="s">
        <v>924</v>
      </c>
      <c r="G861" s="25">
        <f t="shared" si="11"/>
        <v>2.9293715690395183E-2</v>
      </c>
    </row>
    <row r="862" spans="1:7">
      <c r="A862" s="52">
        <v>130.8124</v>
      </c>
      <c r="B862" s="52">
        <v>136.02379999999999</v>
      </c>
      <c r="C862" s="52">
        <v>130.59360000000001</v>
      </c>
      <c r="D862" s="52">
        <v>132.2047</v>
      </c>
      <c r="E862" s="52">
        <v>26356276</v>
      </c>
      <c r="F862" s="52" t="s">
        <v>925</v>
      </c>
      <c r="G862" s="25">
        <f t="shared" si="11"/>
        <v>-1.0531395631169005E-2</v>
      </c>
    </row>
    <row r="863" spans="1:7">
      <c r="A863" s="52">
        <v>132.50309999999999</v>
      </c>
      <c r="B863" s="52">
        <v>136.2525</v>
      </c>
      <c r="C863" s="52">
        <v>131.49860000000001</v>
      </c>
      <c r="D863" s="52">
        <v>132.16489999999999</v>
      </c>
      <c r="E863" s="52">
        <v>30691047</v>
      </c>
      <c r="F863" s="52" t="s">
        <v>926</v>
      </c>
      <c r="G863" s="25">
        <f t="shared" si="11"/>
        <v>2.5589244950814383E-3</v>
      </c>
    </row>
    <row r="864" spans="1:7">
      <c r="A864" s="52">
        <v>132.0754</v>
      </c>
      <c r="B864" s="52">
        <v>137.08779999999999</v>
      </c>
      <c r="C864" s="52">
        <v>130.6831</v>
      </c>
      <c r="D864" s="52">
        <v>136.33709999999999</v>
      </c>
      <c r="E864" s="52">
        <v>25444979</v>
      </c>
      <c r="F864" s="52" t="s">
        <v>927</v>
      </c>
      <c r="G864" s="25">
        <f t="shared" si="11"/>
        <v>-3.1258549580414963E-2</v>
      </c>
    </row>
    <row r="865" spans="1:7">
      <c r="A865" s="52">
        <v>133.30869999999999</v>
      </c>
      <c r="B865" s="52">
        <v>134.05459999999999</v>
      </c>
      <c r="C865" s="52">
        <v>129.46969999999999</v>
      </c>
      <c r="D865" s="52">
        <v>129.5891</v>
      </c>
      <c r="E865" s="52">
        <v>29612245</v>
      </c>
      <c r="F865" s="52" t="s">
        <v>928</v>
      </c>
      <c r="G865" s="25">
        <f t="shared" si="11"/>
        <v>2.8703031350630459E-2</v>
      </c>
    </row>
    <row r="866" spans="1:7">
      <c r="A866" s="52">
        <v>126.0684</v>
      </c>
      <c r="B866" s="52">
        <v>131.07089999999999</v>
      </c>
      <c r="C866" s="52">
        <v>125.8297</v>
      </c>
      <c r="D866" s="52">
        <v>130.28530000000001</v>
      </c>
      <c r="E866" s="52">
        <v>23559407</v>
      </c>
      <c r="F866" s="52" t="s">
        <v>929</v>
      </c>
      <c r="G866" s="25">
        <f t="shared" si="11"/>
        <v>-3.2366659937844156E-2</v>
      </c>
    </row>
    <row r="867" spans="1:7">
      <c r="A867" s="52">
        <v>129.57910000000001</v>
      </c>
      <c r="B867" s="52">
        <v>130.42449999999999</v>
      </c>
      <c r="C867" s="52">
        <v>121.8616</v>
      </c>
      <c r="D867" s="52">
        <v>122.85599999999999</v>
      </c>
      <c r="E867" s="52">
        <v>34325715</v>
      </c>
      <c r="F867" s="52" t="s">
        <v>930</v>
      </c>
      <c r="G867" s="25">
        <f t="shared" si="11"/>
        <v>5.4723416031777106E-2</v>
      </c>
    </row>
    <row r="868" spans="1:7">
      <c r="A868" s="52">
        <v>126.8043</v>
      </c>
      <c r="B868" s="52">
        <v>128.96250000000001</v>
      </c>
      <c r="C868" s="52">
        <v>125.5612</v>
      </c>
      <c r="D868" s="52">
        <v>127.6199</v>
      </c>
      <c r="E868" s="52">
        <v>34605245</v>
      </c>
      <c r="F868" s="52" t="s">
        <v>931</v>
      </c>
      <c r="G868" s="25">
        <f t="shared" si="11"/>
        <v>-6.3908528372143003E-3</v>
      </c>
    </row>
    <row r="869" spans="1:7">
      <c r="A869" s="52">
        <v>127.8387</v>
      </c>
      <c r="B869" s="52">
        <v>131.93620000000001</v>
      </c>
      <c r="C869" s="52">
        <v>126.2971</v>
      </c>
      <c r="D869" s="52">
        <v>130.90190000000001</v>
      </c>
      <c r="E869" s="52">
        <v>38481403</v>
      </c>
      <c r="F869" s="52" t="s">
        <v>932</v>
      </c>
      <c r="G869" s="25">
        <f t="shared" si="11"/>
        <v>-2.3400729859536118E-2</v>
      </c>
    </row>
    <row r="870" spans="1:7">
      <c r="A870" s="52">
        <v>133.06</v>
      </c>
      <c r="B870" s="52">
        <v>135.3674</v>
      </c>
      <c r="C870" s="52">
        <v>131.15049999999999</v>
      </c>
      <c r="D870" s="52">
        <v>132.82130000000001</v>
      </c>
      <c r="E870" s="52">
        <v>24023982</v>
      </c>
      <c r="F870" s="52" t="s">
        <v>933</v>
      </c>
      <c r="G870" s="25">
        <f t="shared" si="11"/>
        <v>1.7971515110903891E-3</v>
      </c>
    </row>
    <row r="871" spans="1:7">
      <c r="A871" s="52">
        <v>132.72190000000001</v>
      </c>
      <c r="B871" s="52">
        <v>137.53550000000001</v>
      </c>
      <c r="C871" s="52">
        <v>131.7174</v>
      </c>
      <c r="D871" s="52">
        <v>136.0138</v>
      </c>
      <c r="E871" s="52">
        <v>33214773</v>
      </c>
      <c r="F871" s="52" t="s">
        <v>934</v>
      </c>
      <c r="G871" s="25">
        <f t="shared" si="11"/>
        <v>-2.4202691197510839E-2</v>
      </c>
    </row>
    <row r="872" spans="1:7">
      <c r="A872" s="52">
        <v>138.31120000000001</v>
      </c>
      <c r="B872" s="52">
        <v>140.6782</v>
      </c>
      <c r="C872" s="52">
        <v>135.85470000000001</v>
      </c>
      <c r="D872" s="52">
        <v>136.96360000000001</v>
      </c>
      <c r="E872" s="52">
        <v>36231056</v>
      </c>
      <c r="F872" s="52" t="s">
        <v>935</v>
      </c>
      <c r="G872" s="25">
        <f t="shared" si="11"/>
        <v>9.8391105373982768E-3</v>
      </c>
    </row>
    <row r="873" spans="1:7">
      <c r="A873" s="52">
        <v>138.2217</v>
      </c>
      <c r="B873" s="52">
        <v>139.44499999999999</v>
      </c>
      <c r="C873" s="52">
        <v>134.0446</v>
      </c>
      <c r="D873" s="52">
        <v>137.48580000000001</v>
      </c>
      <c r="E873" s="52">
        <v>27979348</v>
      </c>
      <c r="F873" s="52" t="s">
        <v>936</v>
      </c>
      <c r="G873" s="25">
        <f t="shared" si="11"/>
        <v>5.3525527727225075E-3</v>
      </c>
    </row>
    <row r="874" spans="1:7">
      <c r="A874" s="52">
        <v>139.5146</v>
      </c>
      <c r="B874" s="52">
        <v>141.61320000000001</v>
      </c>
      <c r="C874" s="52">
        <v>138.5797</v>
      </c>
      <c r="D874" s="52">
        <v>139.7235</v>
      </c>
      <c r="E874" s="52">
        <v>34670729</v>
      </c>
      <c r="F874" s="52" t="s">
        <v>937</v>
      </c>
      <c r="G874" s="25">
        <f t="shared" si="11"/>
        <v>-1.4950956710932939E-3</v>
      </c>
    </row>
    <row r="875" spans="1:7">
      <c r="A875" s="52">
        <v>137.8537</v>
      </c>
      <c r="B875" s="52">
        <v>138.85820000000001</v>
      </c>
      <c r="C875" s="52">
        <v>135.35740000000001</v>
      </c>
      <c r="D875" s="52">
        <v>136.39179999999999</v>
      </c>
      <c r="E875" s="52">
        <v>27723063</v>
      </c>
      <c r="F875" s="52" t="s">
        <v>938</v>
      </c>
      <c r="G875" s="25">
        <f t="shared" si="11"/>
        <v>1.0718386295950344E-2</v>
      </c>
    </row>
    <row r="876" spans="1:7">
      <c r="A876" s="52">
        <v>134.93969999999999</v>
      </c>
      <c r="B876" s="52">
        <v>140.22069999999999</v>
      </c>
      <c r="C876" s="52">
        <v>134.76070000000001</v>
      </c>
      <c r="D876" s="52">
        <v>135.30770000000001</v>
      </c>
      <c r="E876" s="52">
        <v>33166393</v>
      </c>
      <c r="F876" s="52" t="s">
        <v>939</v>
      </c>
      <c r="G876" s="25">
        <f t="shared" si="11"/>
        <v>-2.7197269630628851E-3</v>
      </c>
    </row>
    <row r="877" spans="1:7">
      <c r="A877" s="52">
        <v>135.66569999999999</v>
      </c>
      <c r="B877" s="52">
        <v>139.077</v>
      </c>
      <c r="C877" s="52">
        <v>134.4623</v>
      </c>
      <c r="D877" s="52">
        <v>138.59960000000001</v>
      </c>
      <c r="E877" s="52">
        <v>38985414</v>
      </c>
      <c r="F877" s="52" t="s">
        <v>940</v>
      </c>
      <c r="G877" s="25">
        <f t="shared" si="11"/>
        <v>-2.1168170759511717E-2</v>
      </c>
    </row>
    <row r="878" spans="1:7">
      <c r="A878" s="52">
        <v>140.8374</v>
      </c>
      <c r="B878" s="52">
        <v>141.2551</v>
      </c>
      <c r="C878" s="52">
        <v>133.53739999999999</v>
      </c>
      <c r="D878" s="52">
        <v>133.88550000000001</v>
      </c>
      <c r="E878" s="52">
        <v>32658478</v>
      </c>
      <c r="F878" s="52" t="s">
        <v>941</v>
      </c>
      <c r="G878" s="25">
        <f t="shared" si="11"/>
        <v>5.1924218828775404E-2</v>
      </c>
    </row>
    <row r="879" spans="1:7">
      <c r="A879" s="52">
        <v>133.66669999999999</v>
      </c>
      <c r="B879" s="52">
        <v>138.6593</v>
      </c>
      <c r="C879" s="52">
        <v>133.38829999999999</v>
      </c>
      <c r="D879" s="52">
        <v>137.16749999999999</v>
      </c>
      <c r="E879" s="52">
        <v>30826471</v>
      </c>
      <c r="F879" s="52" t="s">
        <v>942</v>
      </c>
      <c r="G879" s="25">
        <f t="shared" si="11"/>
        <v>-2.5522080667796709E-2</v>
      </c>
    </row>
    <row r="880" spans="1:7">
      <c r="A880" s="52">
        <v>135.626</v>
      </c>
      <c r="B880" s="52">
        <v>141.4639</v>
      </c>
      <c r="C880" s="52">
        <v>135.4469</v>
      </c>
      <c r="D880" s="52">
        <v>139.35550000000001</v>
      </c>
      <c r="E880" s="52">
        <v>30497021</v>
      </c>
      <c r="F880" s="52" t="s">
        <v>943</v>
      </c>
      <c r="G880" s="25">
        <f t="shared" si="11"/>
        <v>-2.6762488742819612E-2</v>
      </c>
    </row>
    <row r="881" spans="1:7">
      <c r="A881" s="52">
        <v>139.6439</v>
      </c>
      <c r="B881" s="52">
        <v>141.84190000000001</v>
      </c>
      <c r="C881" s="52">
        <v>138.13220000000001</v>
      </c>
      <c r="D881" s="52">
        <v>140.64840000000001</v>
      </c>
      <c r="E881" s="52">
        <v>31710685</v>
      </c>
      <c r="F881" s="52" t="s">
        <v>944</v>
      </c>
      <c r="G881" s="25">
        <f t="shared" si="11"/>
        <v>-7.1419226951746628E-3</v>
      </c>
    </row>
    <row r="882" spans="1:7">
      <c r="A882" s="52">
        <v>142.04079999999999</v>
      </c>
      <c r="B882" s="52">
        <v>143.7912</v>
      </c>
      <c r="C882" s="52">
        <v>140.10140000000001</v>
      </c>
      <c r="D882" s="52">
        <v>140.77770000000001</v>
      </c>
      <c r="E882" s="52">
        <v>34418521</v>
      </c>
      <c r="F882" s="52" t="s">
        <v>945</v>
      </c>
      <c r="G882" s="25">
        <f t="shared" si="11"/>
        <v>8.9723017210820988E-3</v>
      </c>
    </row>
    <row r="883" spans="1:7">
      <c r="A883" s="52">
        <v>141.34460000000001</v>
      </c>
      <c r="B883" s="52">
        <v>148.78380000000001</v>
      </c>
      <c r="C883" s="52">
        <v>141.2252</v>
      </c>
      <c r="D883" s="52">
        <v>145.59129999999999</v>
      </c>
      <c r="E883" s="52">
        <v>38338614</v>
      </c>
      <c r="F883" s="52" t="s">
        <v>946</v>
      </c>
      <c r="G883" s="25">
        <f t="shared" si="11"/>
        <v>-2.9168638510680078E-2</v>
      </c>
    </row>
    <row r="884" spans="1:7">
      <c r="A884" s="52">
        <v>145.2929</v>
      </c>
      <c r="B884" s="52">
        <v>148.02789999999999</v>
      </c>
      <c r="C884" s="52">
        <v>144.42769999999999</v>
      </c>
      <c r="D884" s="52">
        <v>144.9796</v>
      </c>
      <c r="E884" s="52">
        <v>23217350</v>
      </c>
      <c r="F884" s="52" t="s">
        <v>947</v>
      </c>
      <c r="G884" s="25">
        <f t="shared" si="11"/>
        <v>2.1609936846287425E-3</v>
      </c>
    </row>
    <row r="885" spans="1:7">
      <c r="A885" s="52">
        <v>147.2124</v>
      </c>
      <c r="B885" s="52">
        <v>147.76929999999999</v>
      </c>
      <c r="C885" s="52">
        <v>144.3083</v>
      </c>
      <c r="D885" s="52">
        <v>144.4426</v>
      </c>
      <c r="E885" s="52">
        <v>22169477</v>
      </c>
      <c r="F885" s="52" t="s">
        <v>948</v>
      </c>
      <c r="G885" s="25">
        <f t="shared" si="11"/>
        <v>1.9175783321540907E-2</v>
      </c>
    </row>
    <row r="886" spans="1:7">
      <c r="A886" s="52">
        <v>145.49180000000001</v>
      </c>
      <c r="B886" s="52">
        <v>147.76929999999999</v>
      </c>
      <c r="C886" s="52">
        <v>143.50620000000001</v>
      </c>
      <c r="D886" s="52">
        <v>147.2422</v>
      </c>
      <c r="E886" s="52">
        <v>40122824</v>
      </c>
      <c r="F886" s="52" t="s">
        <v>949</v>
      </c>
      <c r="G886" s="25">
        <f t="shared" si="11"/>
        <v>-1.1887896268868436E-2</v>
      </c>
    </row>
    <row r="887" spans="1:7">
      <c r="A887" s="52">
        <v>148.73400000000001</v>
      </c>
      <c r="B887" s="52">
        <v>153.3571</v>
      </c>
      <c r="C887" s="52">
        <v>147.8887</v>
      </c>
      <c r="D887" s="52">
        <v>148.98269999999999</v>
      </c>
      <c r="E887" s="52">
        <v>34606348</v>
      </c>
      <c r="F887" s="52" t="s">
        <v>950</v>
      </c>
      <c r="G887" s="25">
        <f t="shared" si="11"/>
        <v>-1.6693213373095706E-3</v>
      </c>
    </row>
    <row r="888" spans="1:7">
      <c r="A888" s="52">
        <v>150.64359999999999</v>
      </c>
      <c r="B888" s="52">
        <v>152.70230000000001</v>
      </c>
      <c r="C888" s="52">
        <v>148.23679999999999</v>
      </c>
      <c r="D888" s="52">
        <v>152.49340000000001</v>
      </c>
      <c r="E888" s="52">
        <v>43064195</v>
      </c>
      <c r="F888" s="52" t="s">
        <v>951</v>
      </c>
      <c r="G888" s="25">
        <f t="shared" si="11"/>
        <v>-1.2130361051691518E-2</v>
      </c>
    </row>
    <row r="889" spans="1:7">
      <c r="A889" s="52">
        <v>152.2945</v>
      </c>
      <c r="B889" s="52">
        <v>160.74809999999999</v>
      </c>
      <c r="C889" s="52">
        <v>151.83699999999999</v>
      </c>
      <c r="D889" s="52">
        <v>160.65860000000001</v>
      </c>
      <c r="E889" s="52">
        <v>44444061</v>
      </c>
      <c r="F889" s="52" t="s">
        <v>952</v>
      </c>
      <c r="G889" s="25">
        <f t="shared" si="11"/>
        <v>-5.2061327560429471E-2</v>
      </c>
    </row>
    <row r="890" spans="1:7">
      <c r="A890" s="52">
        <v>168.03809999999999</v>
      </c>
      <c r="B890" s="52">
        <v>170.45490000000001</v>
      </c>
      <c r="C890" s="52">
        <v>166.3673</v>
      </c>
      <c r="D890" s="52">
        <v>166.47669999999999</v>
      </c>
      <c r="E890" s="52">
        <v>23220405</v>
      </c>
      <c r="F890" s="52" t="s">
        <v>953</v>
      </c>
      <c r="G890" s="25">
        <f t="shared" si="11"/>
        <v>9.3790902871091486E-3</v>
      </c>
    </row>
    <row r="891" spans="1:7">
      <c r="A891" s="52">
        <v>168.22710000000001</v>
      </c>
      <c r="B891" s="52">
        <v>168.61500000000001</v>
      </c>
      <c r="C891" s="52">
        <v>162.13050000000001</v>
      </c>
      <c r="D891" s="52">
        <v>162.35730000000001</v>
      </c>
      <c r="E891" s="52">
        <v>22129802</v>
      </c>
      <c r="F891" s="52" t="s">
        <v>954</v>
      </c>
      <c r="G891" s="25">
        <f t="shared" si="11"/>
        <v>3.6153594571971759E-2</v>
      </c>
    </row>
    <row r="892" spans="1:7">
      <c r="A892" s="52">
        <v>161.17580000000001</v>
      </c>
      <c r="B892" s="52">
        <v>161.3449</v>
      </c>
      <c r="C892" s="52">
        <v>156.8794</v>
      </c>
      <c r="D892" s="52">
        <v>157.8441</v>
      </c>
      <c r="E892" s="52">
        <v>22530785</v>
      </c>
      <c r="F892" s="52" t="s">
        <v>955</v>
      </c>
      <c r="G892" s="25">
        <f t="shared" si="11"/>
        <v>2.110753585341496E-2</v>
      </c>
    </row>
    <row r="893" spans="1:7">
      <c r="A893" s="52">
        <v>159.51490000000001</v>
      </c>
      <c r="B893" s="52">
        <v>160.07679999999999</v>
      </c>
      <c r="C893" s="52">
        <v>155.95439999999999</v>
      </c>
      <c r="D893" s="52">
        <v>156.89920000000001</v>
      </c>
      <c r="E893" s="52">
        <v>16831182</v>
      </c>
      <c r="F893" s="52" t="s">
        <v>956</v>
      </c>
      <c r="G893" s="25">
        <f t="shared" si="11"/>
        <v>1.6671213110073246E-2</v>
      </c>
    </row>
    <row r="894" spans="1:7">
      <c r="A894" s="52">
        <v>157.67500000000001</v>
      </c>
      <c r="B894" s="52">
        <v>160.80779999999999</v>
      </c>
      <c r="C894" s="52">
        <v>156.8296</v>
      </c>
      <c r="D894" s="52">
        <v>159.22649999999999</v>
      </c>
      <c r="E894" s="52">
        <v>19339781</v>
      </c>
      <c r="F894" s="52" t="s">
        <v>957</v>
      </c>
      <c r="G894" s="25">
        <f t="shared" si="11"/>
        <v>-9.7439810584292186E-3</v>
      </c>
    </row>
    <row r="895" spans="1:7">
      <c r="A895" s="52">
        <v>159.4453</v>
      </c>
      <c r="B895" s="52">
        <v>167.0138</v>
      </c>
      <c r="C895" s="52">
        <v>158.35130000000001</v>
      </c>
      <c r="D895" s="52">
        <v>166.53639999999999</v>
      </c>
      <c r="E895" s="52">
        <v>22634191</v>
      </c>
      <c r="F895" s="52" t="s">
        <v>958</v>
      </c>
      <c r="G895" s="25">
        <f t="shared" si="11"/>
        <v>-4.2579880434547523E-2</v>
      </c>
    </row>
    <row r="896" spans="1:7">
      <c r="A896" s="52">
        <v>164.45779999999999</v>
      </c>
      <c r="B896" s="52">
        <v>166.4468</v>
      </c>
      <c r="C896" s="52">
        <v>159.4701</v>
      </c>
      <c r="D896" s="52">
        <v>162.6875</v>
      </c>
      <c r="E896" s="52">
        <v>30145683</v>
      </c>
      <c r="F896" s="52" t="s">
        <v>959</v>
      </c>
      <c r="G896" s="25">
        <f t="shared" si="11"/>
        <v>1.0881598155973782E-2</v>
      </c>
    </row>
    <row r="897" spans="1:7">
      <c r="A897" s="52">
        <v>162.041</v>
      </c>
      <c r="B897" s="52">
        <v>166.92429999999999</v>
      </c>
      <c r="C897" s="52">
        <v>161.25540000000001</v>
      </c>
      <c r="D897" s="52">
        <v>166.1585</v>
      </c>
      <c r="E897" s="52">
        <v>40952975</v>
      </c>
      <c r="F897" s="52" t="s">
        <v>960</v>
      </c>
      <c r="G897" s="25">
        <f t="shared" si="11"/>
        <v>-2.4780555914984848E-2</v>
      </c>
    </row>
    <row r="898" spans="1:7">
      <c r="A898" s="52">
        <v>156.30250000000001</v>
      </c>
      <c r="B898" s="52">
        <v>160.77799999999999</v>
      </c>
      <c r="C898" s="52">
        <v>155.05930000000001</v>
      </c>
      <c r="D898" s="52">
        <v>159.48009999999999</v>
      </c>
      <c r="E898" s="52">
        <v>19567948</v>
      </c>
      <c r="F898" s="52" t="s">
        <v>961</v>
      </c>
      <c r="G898" s="25">
        <f t="shared" si="11"/>
        <v>-1.9924742961660913E-2</v>
      </c>
    </row>
    <row r="899" spans="1:7">
      <c r="A899" s="52">
        <v>158.30160000000001</v>
      </c>
      <c r="B899" s="52">
        <v>162.16040000000001</v>
      </c>
      <c r="C899" s="52">
        <v>158.14240000000001</v>
      </c>
      <c r="D899" s="52">
        <v>159.77850000000001</v>
      </c>
      <c r="E899" s="52">
        <v>20052661</v>
      </c>
      <c r="F899" s="52" t="s">
        <v>962</v>
      </c>
      <c r="G899" s="25">
        <f t="shared" si="11"/>
        <v>-9.2434213614472904E-3</v>
      </c>
    </row>
    <row r="900" spans="1:7">
      <c r="A900" s="52">
        <v>160.8973</v>
      </c>
      <c r="B900" s="52">
        <v>169.98740000000001</v>
      </c>
      <c r="C900" s="52">
        <v>160.79050000000001</v>
      </c>
      <c r="D900" s="52">
        <v>167.5608</v>
      </c>
      <c r="E900" s="52">
        <v>24023633</v>
      </c>
      <c r="F900" s="52" t="s">
        <v>963</v>
      </c>
      <c r="G900" s="25">
        <f t="shared" ref="G900:G963" si="12">A900/D900-1</f>
        <v>-3.9767654487206983E-2</v>
      </c>
    </row>
    <row r="901" spans="1:7">
      <c r="A901" s="52">
        <v>167.85910000000001</v>
      </c>
      <c r="B901" s="52">
        <v>167.95859999999999</v>
      </c>
      <c r="C901" s="52">
        <v>163.1251</v>
      </c>
      <c r="D901" s="52">
        <v>164.27879999999999</v>
      </c>
      <c r="E901" s="52">
        <v>15550514</v>
      </c>
      <c r="F901" s="52" t="s">
        <v>964</v>
      </c>
      <c r="G901" s="25">
        <f t="shared" si="12"/>
        <v>2.1794047679919881E-2</v>
      </c>
    </row>
    <row r="902" spans="1:7">
      <c r="A902" s="52">
        <v>162.36920000000001</v>
      </c>
      <c r="B902" s="52">
        <v>164.55719999999999</v>
      </c>
      <c r="C902" s="52">
        <v>158.89830000000001</v>
      </c>
      <c r="D902" s="52">
        <v>159.72380000000001</v>
      </c>
      <c r="E902" s="52">
        <v>20891481</v>
      </c>
      <c r="F902" s="52" t="s">
        <v>965</v>
      </c>
      <c r="G902" s="25">
        <f t="shared" si="12"/>
        <v>1.6562340740703618E-2</v>
      </c>
    </row>
    <row r="903" spans="1:7">
      <c r="A903" s="52">
        <v>160.23099999999999</v>
      </c>
      <c r="B903" s="52">
        <v>164.14949999999999</v>
      </c>
      <c r="C903" s="52">
        <v>159.82320000000001</v>
      </c>
      <c r="D903" s="52">
        <v>161.59350000000001</v>
      </c>
      <c r="E903" s="52">
        <v>18111777</v>
      </c>
      <c r="F903" s="52" t="s">
        <v>966</v>
      </c>
      <c r="G903" s="25">
        <f t="shared" si="12"/>
        <v>-8.4316510255673105E-3</v>
      </c>
    </row>
    <row r="904" spans="1:7">
      <c r="A904" s="52">
        <v>162.16040000000001</v>
      </c>
      <c r="B904" s="52">
        <v>164.58709999999999</v>
      </c>
      <c r="C904" s="52">
        <v>161.37469999999999</v>
      </c>
      <c r="D904" s="52">
        <v>164.58709999999999</v>
      </c>
      <c r="E904" s="52">
        <v>19499711</v>
      </c>
      <c r="F904" s="52" t="s">
        <v>967</v>
      </c>
      <c r="G904" s="25">
        <f t="shared" si="12"/>
        <v>-1.474416889294472E-2</v>
      </c>
    </row>
    <row r="905" spans="1:7">
      <c r="A905" s="52">
        <v>167.0436</v>
      </c>
      <c r="B905" s="52">
        <v>171.37979999999999</v>
      </c>
      <c r="C905" s="52">
        <v>166.1386</v>
      </c>
      <c r="D905" s="52">
        <v>169.2714</v>
      </c>
      <c r="E905" s="52">
        <v>26240799</v>
      </c>
      <c r="F905" s="52" t="s">
        <v>968</v>
      </c>
      <c r="G905" s="25">
        <f t="shared" si="12"/>
        <v>-1.3161112863720681E-2</v>
      </c>
    </row>
    <row r="906" spans="1:7">
      <c r="A906" s="52">
        <v>173.70699999999999</v>
      </c>
      <c r="B906" s="52">
        <v>174.80099999999999</v>
      </c>
      <c r="C906" s="52">
        <v>170.92230000000001</v>
      </c>
      <c r="D906" s="52">
        <v>173.3888</v>
      </c>
      <c r="E906" s="52">
        <v>18844451</v>
      </c>
      <c r="F906" s="52" t="s">
        <v>969</v>
      </c>
      <c r="G906" s="25">
        <f t="shared" si="12"/>
        <v>1.8351819725379581E-3</v>
      </c>
    </row>
    <row r="907" spans="1:7">
      <c r="A907" s="52">
        <v>173.89599999999999</v>
      </c>
      <c r="B907" s="52">
        <v>177.16810000000001</v>
      </c>
      <c r="C907" s="52">
        <v>173.21969999999999</v>
      </c>
      <c r="D907" s="52">
        <v>175.79560000000001</v>
      </c>
      <c r="E907" s="52">
        <v>20118133</v>
      </c>
      <c r="F907" s="52" t="s">
        <v>970</v>
      </c>
      <c r="G907" s="25">
        <f t="shared" si="12"/>
        <v>-1.0805731201463664E-2</v>
      </c>
    </row>
    <row r="908" spans="1:7">
      <c r="A908" s="52">
        <v>178.49080000000001</v>
      </c>
      <c r="B908" s="52">
        <v>180.0025</v>
      </c>
      <c r="C908" s="52">
        <v>176.06909999999999</v>
      </c>
      <c r="D908" s="52">
        <v>178.46100000000001</v>
      </c>
      <c r="E908" s="52">
        <v>21156710</v>
      </c>
      <c r="F908" s="52" t="s">
        <v>971</v>
      </c>
      <c r="G908" s="25">
        <f t="shared" si="12"/>
        <v>1.6698326244957151E-4</v>
      </c>
    </row>
    <row r="909" spans="1:7">
      <c r="A909" s="52">
        <v>179.90299999999999</v>
      </c>
      <c r="B909" s="52">
        <v>180.45</v>
      </c>
      <c r="C909" s="52">
        <v>177.2277</v>
      </c>
      <c r="D909" s="52">
        <v>177.9836</v>
      </c>
      <c r="E909" s="52">
        <v>15878671</v>
      </c>
      <c r="F909" s="52" t="s">
        <v>972</v>
      </c>
      <c r="G909" s="25">
        <f t="shared" si="12"/>
        <v>1.0784139662305847E-2</v>
      </c>
    </row>
    <row r="910" spans="1:7">
      <c r="A910" s="52">
        <v>179.51519999999999</v>
      </c>
      <c r="B910" s="52">
        <v>180.46719999999999</v>
      </c>
      <c r="C910" s="52">
        <v>177.9348</v>
      </c>
      <c r="D910" s="52">
        <v>179.8235</v>
      </c>
      <c r="E910" s="52">
        <v>21274046</v>
      </c>
      <c r="F910" s="52" t="s">
        <v>973</v>
      </c>
      <c r="G910" s="25">
        <f t="shared" si="12"/>
        <v>-1.7144588999769006E-3</v>
      </c>
    </row>
    <row r="911" spans="1:7">
      <c r="A911" s="52">
        <v>176.52160000000001</v>
      </c>
      <c r="B911" s="52">
        <v>182.101</v>
      </c>
      <c r="C911" s="52">
        <v>175.40770000000001</v>
      </c>
      <c r="D911" s="52">
        <v>178.7295</v>
      </c>
      <c r="E911" s="52">
        <v>24079062</v>
      </c>
      <c r="F911" s="52" t="s">
        <v>974</v>
      </c>
      <c r="G911" s="25">
        <f t="shared" si="12"/>
        <v>-1.2353304854542779E-2</v>
      </c>
    </row>
    <row r="912" spans="1:7">
      <c r="A912" s="52">
        <v>177.36699999999999</v>
      </c>
      <c r="B912" s="52">
        <v>179.49529999999999</v>
      </c>
      <c r="C912" s="52">
        <v>173.0009</v>
      </c>
      <c r="D912" s="52">
        <v>175.02979999999999</v>
      </c>
      <c r="E912" s="52">
        <v>30262132</v>
      </c>
      <c r="F912" s="52" t="s">
        <v>975</v>
      </c>
      <c r="G912" s="25">
        <f t="shared" si="12"/>
        <v>1.3353154719939031E-2</v>
      </c>
    </row>
    <row r="913" spans="1:7">
      <c r="A913" s="52">
        <v>167.6105</v>
      </c>
      <c r="B913" s="52">
        <v>168.60499999999999</v>
      </c>
      <c r="C913" s="52">
        <v>165.691</v>
      </c>
      <c r="D913" s="52">
        <v>168.0282</v>
      </c>
      <c r="E913" s="52">
        <v>18655056</v>
      </c>
      <c r="F913" s="52" t="s">
        <v>976</v>
      </c>
      <c r="G913" s="25">
        <f t="shared" si="12"/>
        <v>-2.4858922490391677E-3</v>
      </c>
    </row>
    <row r="914" spans="1:7">
      <c r="A914" s="52">
        <v>169.3211</v>
      </c>
      <c r="B914" s="52">
        <v>176.54150000000001</v>
      </c>
      <c r="C914" s="52">
        <v>166.21809999999999</v>
      </c>
      <c r="D914" s="52">
        <v>167.08340000000001</v>
      </c>
      <c r="E914" s="52">
        <v>27299113</v>
      </c>
      <c r="F914" s="52" t="s">
        <v>977</v>
      </c>
      <c r="G914" s="25">
        <f t="shared" si="12"/>
        <v>1.3392712860762934E-2</v>
      </c>
    </row>
    <row r="915" spans="1:7">
      <c r="A915" s="52">
        <v>166.19820000000001</v>
      </c>
      <c r="B915" s="52">
        <v>170.67570000000001</v>
      </c>
      <c r="C915" s="52">
        <v>164.8954</v>
      </c>
      <c r="D915" s="52">
        <v>166.0789</v>
      </c>
      <c r="E915" s="52">
        <v>25832701</v>
      </c>
      <c r="F915" s="52" t="s">
        <v>978</v>
      </c>
      <c r="G915" s="25">
        <f t="shared" si="12"/>
        <v>7.1833327412451631E-4</v>
      </c>
    </row>
    <row r="916" spans="1:7">
      <c r="A916" s="52">
        <v>169.63939999999999</v>
      </c>
      <c r="B916" s="52">
        <v>171.2107</v>
      </c>
      <c r="C916" s="52">
        <v>165.88990000000001</v>
      </c>
      <c r="D916" s="52">
        <v>167.3768</v>
      </c>
      <c r="E916" s="52">
        <v>23938212</v>
      </c>
      <c r="F916" s="52" t="s">
        <v>979</v>
      </c>
      <c r="G916" s="25">
        <f t="shared" si="12"/>
        <v>1.3518002494969483E-2</v>
      </c>
    </row>
    <row r="917" spans="1:7">
      <c r="A917" s="52">
        <v>167.87899999999999</v>
      </c>
      <c r="B917" s="52">
        <v>168.61500000000001</v>
      </c>
      <c r="C917" s="52">
        <v>160.6885</v>
      </c>
      <c r="D917" s="52">
        <v>161.8023</v>
      </c>
      <c r="E917" s="52">
        <v>31717527</v>
      </c>
      <c r="F917" s="52" t="s">
        <v>980</v>
      </c>
      <c r="G917" s="25">
        <f t="shared" si="12"/>
        <v>3.7556326455186362E-2</v>
      </c>
    </row>
    <row r="918" spans="1:7">
      <c r="A918" s="52">
        <v>159.316</v>
      </c>
      <c r="B918" s="52">
        <v>161.35480000000001</v>
      </c>
      <c r="C918" s="52">
        <v>157.14789999999999</v>
      </c>
      <c r="D918" s="52">
        <v>157.4462</v>
      </c>
      <c r="E918" s="52">
        <v>27374516</v>
      </c>
      <c r="F918" s="52" t="s">
        <v>981</v>
      </c>
      <c r="G918" s="25">
        <f t="shared" si="12"/>
        <v>1.1875802655129108E-2</v>
      </c>
    </row>
    <row r="919" spans="1:7">
      <c r="A919" s="52">
        <v>159.0574</v>
      </c>
      <c r="B919" s="52">
        <v>164.28870000000001</v>
      </c>
      <c r="C919" s="52">
        <v>154.38319999999999</v>
      </c>
      <c r="D919" s="52">
        <v>156.392</v>
      </c>
      <c r="E919" s="52">
        <v>40596702</v>
      </c>
      <c r="F919" s="52" t="s">
        <v>982</v>
      </c>
      <c r="G919" s="25">
        <f t="shared" si="12"/>
        <v>1.7043071256841902E-2</v>
      </c>
    </row>
    <row r="920" spans="1:7">
      <c r="A920" s="52">
        <v>158.2319</v>
      </c>
      <c r="B920" s="52">
        <v>159.2663</v>
      </c>
      <c r="C920" s="52">
        <v>154.32339999999999</v>
      </c>
      <c r="D920" s="52">
        <v>156.8296</v>
      </c>
      <c r="E920" s="52">
        <v>42065395</v>
      </c>
      <c r="F920" s="52" t="s">
        <v>983</v>
      </c>
      <c r="G920" s="25">
        <f t="shared" si="12"/>
        <v>8.9415518499058599E-3</v>
      </c>
    </row>
    <row r="921" spans="1:7">
      <c r="A921" s="52">
        <v>159.84309999999999</v>
      </c>
      <c r="B921" s="52">
        <v>160.62880000000001</v>
      </c>
      <c r="C921" s="52">
        <v>154.0051</v>
      </c>
      <c r="D921" s="52">
        <v>160.18119999999999</v>
      </c>
      <c r="E921" s="52">
        <v>73214326</v>
      </c>
      <c r="F921" s="52" t="s">
        <v>984</v>
      </c>
      <c r="G921" s="25">
        <f t="shared" si="12"/>
        <v>-2.1107345930733157E-3</v>
      </c>
    </row>
    <row r="922" spans="1:7">
      <c r="A922" s="52">
        <v>168.65479999999999</v>
      </c>
      <c r="B922" s="52">
        <v>169.93770000000001</v>
      </c>
      <c r="C922" s="52">
        <v>161.136</v>
      </c>
      <c r="D922" s="52">
        <v>161.7029</v>
      </c>
      <c r="E922" s="52">
        <v>43846557</v>
      </c>
      <c r="F922" s="52" t="s">
        <v>985</v>
      </c>
      <c r="G922" s="25">
        <f t="shared" si="12"/>
        <v>4.2991807815444316E-2</v>
      </c>
    </row>
    <row r="923" spans="1:7">
      <c r="A923" s="52">
        <v>158.2817</v>
      </c>
      <c r="B923" s="52">
        <v>165.0943</v>
      </c>
      <c r="C923" s="52">
        <v>157.0882</v>
      </c>
      <c r="D923" s="52">
        <v>165.03460000000001</v>
      </c>
      <c r="E923" s="52">
        <v>28468424</v>
      </c>
      <c r="F923" s="52" t="s">
        <v>986</v>
      </c>
      <c r="G923" s="25">
        <f t="shared" si="12"/>
        <v>-4.0918086267970555E-2</v>
      </c>
    </row>
    <row r="924" spans="1:7">
      <c r="A924" s="52">
        <v>165.7407</v>
      </c>
      <c r="B924" s="52">
        <v>169.63939999999999</v>
      </c>
      <c r="C924" s="52">
        <v>163.9058</v>
      </c>
      <c r="D924" s="52">
        <v>168.0779</v>
      </c>
      <c r="E924" s="52">
        <v>26166326</v>
      </c>
      <c r="F924" s="52" t="s">
        <v>987</v>
      </c>
      <c r="G924" s="25">
        <f t="shared" si="12"/>
        <v>-1.3905456933957394E-2</v>
      </c>
    </row>
    <row r="925" spans="1:7">
      <c r="A925" s="52">
        <v>168.34639999999999</v>
      </c>
      <c r="B925" s="52">
        <v>174.6414</v>
      </c>
      <c r="C925" s="52">
        <v>167.49109999999999</v>
      </c>
      <c r="D925" s="52">
        <v>172.12569999999999</v>
      </c>
      <c r="E925" s="52">
        <v>42583916</v>
      </c>
      <c r="F925" s="52" t="s">
        <v>988</v>
      </c>
      <c r="G925" s="25">
        <f t="shared" si="12"/>
        <v>-2.1956628208338436E-2</v>
      </c>
    </row>
    <row r="926" spans="1:7">
      <c r="A926" s="52">
        <v>182.17060000000001</v>
      </c>
      <c r="B926" s="52">
        <v>182.84690000000001</v>
      </c>
      <c r="C926" s="52">
        <v>177.89410000000001</v>
      </c>
      <c r="D926" s="52">
        <v>179.64449999999999</v>
      </c>
      <c r="E926" s="52">
        <v>27195815</v>
      </c>
      <c r="F926" s="52" t="s">
        <v>989</v>
      </c>
      <c r="G926" s="25">
        <f t="shared" si="12"/>
        <v>1.4061660668709619E-2</v>
      </c>
    </row>
    <row r="927" spans="1:7">
      <c r="A927" s="52">
        <v>182.09100000000001</v>
      </c>
      <c r="B927" s="52">
        <v>182.59829999999999</v>
      </c>
      <c r="C927" s="52">
        <v>175.73589999999999</v>
      </c>
      <c r="D927" s="52">
        <v>176.51660000000001</v>
      </c>
      <c r="E927" s="52">
        <v>24784274</v>
      </c>
      <c r="F927" s="52" t="s">
        <v>990</v>
      </c>
      <c r="G927" s="25">
        <f t="shared" si="12"/>
        <v>3.1580032699474181E-2</v>
      </c>
    </row>
    <row r="928" spans="1:7">
      <c r="A928" s="52">
        <v>174.82089999999999</v>
      </c>
      <c r="B928" s="52">
        <v>175.52709999999999</v>
      </c>
      <c r="C928" s="52">
        <v>168.58510000000001</v>
      </c>
      <c r="D928" s="52">
        <v>169.44040000000001</v>
      </c>
      <c r="E928" s="52">
        <v>25933679</v>
      </c>
      <c r="F928" s="52" t="s">
        <v>991</v>
      </c>
      <c r="G928" s="25">
        <f t="shared" si="12"/>
        <v>3.1754528435957274E-2</v>
      </c>
    </row>
    <row r="929" spans="1:7">
      <c r="A929" s="52">
        <v>166.3176</v>
      </c>
      <c r="B929" s="52">
        <v>170.7483</v>
      </c>
      <c r="C929" s="52">
        <v>164.7363</v>
      </c>
      <c r="D929" s="52">
        <v>165.84020000000001</v>
      </c>
      <c r="E929" s="52">
        <v>23574337</v>
      </c>
      <c r="F929" s="52" t="s">
        <v>992</v>
      </c>
      <c r="G929" s="25">
        <f t="shared" si="12"/>
        <v>2.8786747724616202E-3</v>
      </c>
    </row>
    <row r="930" spans="1:7">
      <c r="A930" s="52">
        <v>163.8014</v>
      </c>
      <c r="B930" s="52">
        <v>164.07990000000001</v>
      </c>
      <c r="C930" s="52">
        <v>158.94800000000001</v>
      </c>
      <c r="D930" s="52">
        <v>159.66409999999999</v>
      </c>
      <c r="E930" s="52">
        <v>23342807</v>
      </c>
      <c r="F930" s="52" t="s">
        <v>993</v>
      </c>
      <c r="G930" s="25">
        <f t="shared" si="12"/>
        <v>2.5912525107397499E-2</v>
      </c>
    </row>
    <row r="931" spans="1:7">
      <c r="A931" s="52">
        <v>157.18770000000001</v>
      </c>
      <c r="B931" s="52">
        <v>161.7029</v>
      </c>
      <c r="C931" s="52">
        <v>156.422</v>
      </c>
      <c r="D931" s="52">
        <v>160.34039999999999</v>
      </c>
      <c r="E931" s="52">
        <v>23765168</v>
      </c>
      <c r="F931" s="52" t="s">
        <v>994</v>
      </c>
      <c r="G931" s="25">
        <f t="shared" si="12"/>
        <v>-1.9662542939895222E-2</v>
      </c>
    </row>
    <row r="932" spans="1:7">
      <c r="A932" s="52">
        <v>162.59800000000001</v>
      </c>
      <c r="B932" s="52">
        <v>164.07990000000001</v>
      </c>
      <c r="C932" s="52">
        <v>158.74180000000001</v>
      </c>
      <c r="D932" s="52">
        <v>159.28620000000001</v>
      </c>
      <c r="E932" s="52">
        <v>16555138</v>
      </c>
      <c r="F932" s="52" t="s">
        <v>995</v>
      </c>
      <c r="G932" s="25">
        <f t="shared" si="12"/>
        <v>2.0791506106618174E-2</v>
      </c>
    </row>
    <row r="933" spans="1:7">
      <c r="A933" s="52">
        <v>162.3792</v>
      </c>
      <c r="B933" s="52">
        <v>165.00550000000001</v>
      </c>
      <c r="C933" s="52">
        <v>161.21559999999999</v>
      </c>
      <c r="D933" s="52">
        <v>163.9008</v>
      </c>
      <c r="E933" s="52">
        <v>16639659</v>
      </c>
      <c r="F933" s="52" t="s">
        <v>996</v>
      </c>
      <c r="G933" s="25">
        <f t="shared" si="12"/>
        <v>-9.2836642652140977E-3</v>
      </c>
    </row>
    <row r="934" spans="1:7">
      <c r="A934" s="52">
        <v>161.9913</v>
      </c>
      <c r="B934" s="52">
        <v>166.5762</v>
      </c>
      <c r="C934" s="52">
        <v>161.0266</v>
      </c>
      <c r="D934" s="52">
        <v>166.15350000000001</v>
      </c>
      <c r="E934" s="52">
        <v>21905133</v>
      </c>
      <c r="F934" s="52" t="s">
        <v>997</v>
      </c>
      <c r="G934" s="25">
        <f t="shared" si="12"/>
        <v>-2.5050329965965235E-2</v>
      </c>
    </row>
    <row r="935" spans="1:7">
      <c r="A935" s="52">
        <v>169.9477</v>
      </c>
      <c r="B935" s="52">
        <v>171.45939999999999</v>
      </c>
      <c r="C935" s="52">
        <v>167.23269999999999</v>
      </c>
      <c r="D935" s="52">
        <v>169.05260000000001</v>
      </c>
      <c r="E935" s="52">
        <v>19249243</v>
      </c>
      <c r="F935" s="52" t="s">
        <v>998</v>
      </c>
      <c r="G935" s="25">
        <f t="shared" si="12"/>
        <v>5.2948017362641764E-3</v>
      </c>
    </row>
    <row r="936" spans="1:7">
      <c r="A936" s="52">
        <v>171.25049999999999</v>
      </c>
      <c r="B936" s="52">
        <v>171.77760000000001</v>
      </c>
      <c r="C936" s="52">
        <v>166.8646</v>
      </c>
      <c r="D936" s="52">
        <v>168.52549999999999</v>
      </c>
      <c r="E936" s="52">
        <v>24083368</v>
      </c>
      <c r="F936" s="52" t="s">
        <v>999</v>
      </c>
      <c r="G936" s="25">
        <f t="shared" si="12"/>
        <v>1.6169659784424306E-2</v>
      </c>
    </row>
    <row r="937" spans="1:7">
      <c r="A937" s="52">
        <v>168.84370000000001</v>
      </c>
      <c r="B937" s="52">
        <v>170.65379999999999</v>
      </c>
      <c r="C937" s="52">
        <v>164.55719999999999</v>
      </c>
      <c r="D937" s="52">
        <v>167.28229999999999</v>
      </c>
      <c r="E937" s="52">
        <v>23085921</v>
      </c>
      <c r="F937" s="52" t="s">
        <v>1000</v>
      </c>
      <c r="G937" s="25">
        <f t="shared" si="12"/>
        <v>9.3339223575956698E-3</v>
      </c>
    </row>
    <row r="938" spans="1:7">
      <c r="A938" s="52">
        <v>167.2723</v>
      </c>
      <c r="B938" s="52">
        <v>167.33199999999999</v>
      </c>
      <c r="C938" s="52">
        <v>156.16329999999999</v>
      </c>
      <c r="D938" s="52">
        <v>157.27719999999999</v>
      </c>
      <c r="E938" s="52">
        <v>28664799</v>
      </c>
      <c r="F938" s="52" t="s">
        <v>1001</v>
      </c>
      <c r="G938" s="25">
        <f t="shared" si="12"/>
        <v>6.355085161739904E-2</v>
      </c>
    </row>
    <row r="939" spans="1:7">
      <c r="A939" s="52">
        <v>159.15690000000001</v>
      </c>
      <c r="B939" s="52">
        <v>159.74359999999999</v>
      </c>
      <c r="C939" s="52">
        <v>154.15430000000001</v>
      </c>
      <c r="D939" s="52">
        <v>159.43530000000001</v>
      </c>
      <c r="E939" s="52">
        <v>31423933</v>
      </c>
      <c r="F939" s="52" t="s">
        <v>1002</v>
      </c>
      <c r="G939" s="25">
        <f t="shared" si="12"/>
        <v>-1.7461628635565551E-3</v>
      </c>
    </row>
    <row r="940" spans="1:7">
      <c r="A940" s="52">
        <v>160.37020000000001</v>
      </c>
      <c r="B940" s="52">
        <v>164.32849999999999</v>
      </c>
      <c r="C940" s="52">
        <v>157.62530000000001</v>
      </c>
      <c r="D940" s="52">
        <v>161.2653</v>
      </c>
      <c r="E940" s="52">
        <v>35250605</v>
      </c>
      <c r="F940" s="52" t="s">
        <v>1003</v>
      </c>
      <c r="G940" s="25">
        <f t="shared" si="12"/>
        <v>-5.5504811016380273E-3</v>
      </c>
    </row>
    <row r="941" spans="1:7">
      <c r="A941" s="52">
        <v>163.0455</v>
      </c>
      <c r="B941" s="52">
        <v>165.42250000000001</v>
      </c>
      <c r="C941" s="52">
        <v>159.4453</v>
      </c>
      <c r="D941" s="52">
        <v>162.67750000000001</v>
      </c>
      <c r="E941" s="52">
        <v>28595236</v>
      </c>
      <c r="F941" s="52" t="s">
        <v>1004</v>
      </c>
      <c r="G941" s="25">
        <f t="shared" si="12"/>
        <v>2.2621444268566826E-3</v>
      </c>
    </row>
    <row r="942" spans="1:7">
      <c r="A942" s="52">
        <v>159.80330000000001</v>
      </c>
      <c r="B942" s="52">
        <v>170.36539999999999</v>
      </c>
      <c r="C942" s="52">
        <v>159.7337</v>
      </c>
      <c r="D942" s="52">
        <v>168.97300000000001</v>
      </c>
      <c r="E942" s="52">
        <v>27788725</v>
      </c>
      <c r="F942" s="52" t="s">
        <v>1005</v>
      </c>
      <c r="G942" s="25">
        <f t="shared" si="12"/>
        <v>-5.4267249797304906E-2</v>
      </c>
    </row>
    <row r="943" spans="1:7">
      <c r="A943" s="52">
        <v>168.5652</v>
      </c>
      <c r="B943" s="52">
        <v>170.81290000000001</v>
      </c>
      <c r="C943" s="52">
        <v>167.0933</v>
      </c>
      <c r="D943" s="52">
        <v>170.3853</v>
      </c>
      <c r="E943" s="52">
        <v>29174559</v>
      </c>
      <c r="F943" s="52" t="s">
        <v>1006</v>
      </c>
      <c r="G943" s="25">
        <f t="shared" si="12"/>
        <v>-1.0682259561124119E-2</v>
      </c>
    </row>
    <row r="944" spans="1:7">
      <c r="A944" s="52">
        <v>169.23159999999999</v>
      </c>
      <c r="B944" s="52">
        <v>169.3211</v>
      </c>
      <c r="C944" s="52">
        <v>160.41990000000001</v>
      </c>
      <c r="D944" s="52">
        <v>160.8426</v>
      </c>
      <c r="E944" s="52">
        <v>68736009</v>
      </c>
      <c r="F944" s="52" t="s">
        <v>1007</v>
      </c>
      <c r="G944" s="25">
        <f t="shared" si="12"/>
        <v>5.215658040842408E-2</v>
      </c>
    </row>
    <row r="945" spans="1:7">
      <c r="A945" s="52">
        <v>157.88380000000001</v>
      </c>
      <c r="B945" s="52">
        <v>158.8784</v>
      </c>
      <c r="C945" s="52">
        <v>153.4084</v>
      </c>
      <c r="D945" s="52">
        <v>155.41739999999999</v>
      </c>
      <c r="E945" s="52">
        <v>40499198</v>
      </c>
      <c r="F945" s="52" t="s">
        <v>1008</v>
      </c>
      <c r="G945" s="25">
        <f t="shared" si="12"/>
        <v>1.586952297490507E-2</v>
      </c>
    </row>
    <row r="946" spans="1:7">
      <c r="A946" s="52">
        <v>154.99969999999999</v>
      </c>
      <c r="B946" s="52">
        <v>159.9127</v>
      </c>
      <c r="C946" s="52">
        <v>154.59190000000001</v>
      </c>
      <c r="D946" s="52">
        <v>157.51589999999999</v>
      </c>
      <c r="E946" s="52">
        <v>47596820</v>
      </c>
      <c r="F946" s="52" t="s">
        <v>1009</v>
      </c>
      <c r="G946" s="25">
        <f t="shared" si="12"/>
        <v>-1.5974260376254046E-2</v>
      </c>
    </row>
    <row r="947" spans="1:7">
      <c r="A947" s="52">
        <v>156.19309999999999</v>
      </c>
      <c r="B947" s="52">
        <v>166.84469999999999</v>
      </c>
      <c r="C947" s="52">
        <v>155.119</v>
      </c>
      <c r="D947" s="52">
        <v>165.0247</v>
      </c>
      <c r="E947" s="52">
        <v>50724899</v>
      </c>
      <c r="F947" s="52" t="s">
        <v>1010</v>
      </c>
      <c r="G947" s="25">
        <f t="shared" si="12"/>
        <v>-5.3516837176495469E-2</v>
      </c>
    </row>
    <row r="948" spans="1:7">
      <c r="A948" s="52">
        <v>162.8466</v>
      </c>
      <c r="B948" s="52">
        <v>164.9948</v>
      </c>
      <c r="C948" s="52">
        <v>159.02760000000001</v>
      </c>
      <c r="D948" s="52">
        <v>160.7979</v>
      </c>
      <c r="E948" s="52">
        <v>31374215</v>
      </c>
      <c r="F948" s="52" t="s">
        <v>1011</v>
      </c>
      <c r="G948" s="25">
        <f t="shared" si="12"/>
        <v>1.274083803333248E-2</v>
      </c>
    </row>
    <row r="949" spans="1:7">
      <c r="A949" s="52">
        <v>159.9923</v>
      </c>
      <c r="B949" s="52">
        <v>164.17930000000001</v>
      </c>
      <c r="C949" s="52">
        <v>158.73920000000001</v>
      </c>
      <c r="D949" s="52">
        <v>162.82669999999999</v>
      </c>
      <c r="E949" s="52">
        <v>26944143</v>
      </c>
      <c r="F949" s="52" t="s">
        <v>1012</v>
      </c>
      <c r="G949" s="25">
        <f t="shared" si="12"/>
        <v>-1.7407464500600822E-2</v>
      </c>
    </row>
    <row r="950" spans="1:7">
      <c r="A950" s="52">
        <v>168.42599999999999</v>
      </c>
      <c r="B950" s="52">
        <v>171.22069999999999</v>
      </c>
      <c r="C950" s="52">
        <v>163.08029999999999</v>
      </c>
      <c r="D950" s="52">
        <v>166.2877</v>
      </c>
      <c r="E950" s="52">
        <v>30008251</v>
      </c>
      <c r="F950" s="52" t="s">
        <v>1013</v>
      </c>
      <c r="G950" s="25">
        <f t="shared" si="12"/>
        <v>1.2859038882611307E-2</v>
      </c>
    </row>
    <row r="951" spans="1:7">
      <c r="A951" s="52">
        <v>162.83670000000001</v>
      </c>
      <c r="B951" s="52">
        <v>165.84020000000001</v>
      </c>
      <c r="C951" s="52">
        <v>160.47970000000001</v>
      </c>
      <c r="D951" s="52">
        <v>165.1241</v>
      </c>
      <c r="E951" s="52">
        <v>27244274</v>
      </c>
      <c r="F951" s="52" t="s">
        <v>1014</v>
      </c>
      <c r="G951" s="25">
        <f t="shared" si="12"/>
        <v>-1.3852611460107855E-2</v>
      </c>
    </row>
    <row r="952" spans="1:7">
      <c r="A952" s="52">
        <v>163.3638</v>
      </c>
      <c r="B952" s="52">
        <v>171.63339999999999</v>
      </c>
      <c r="C952" s="52">
        <v>163.13499999999999</v>
      </c>
      <c r="D952" s="52">
        <v>169.6592</v>
      </c>
      <c r="E952" s="52">
        <v>31749304</v>
      </c>
      <c r="F952" s="52" t="s">
        <v>1015</v>
      </c>
      <c r="G952" s="25">
        <f t="shared" si="12"/>
        <v>-3.7106151626319139E-2</v>
      </c>
    </row>
    <row r="953" spans="1:7">
      <c r="A953" s="52">
        <v>174.6121</v>
      </c>
      <c r="B953" s="52">
        <v>182.101</v>
      </c>
      <c r="C953" s="52">
        <v>174.0651</v>
      </c>
      <c r="D953" s="52">
        <v>182.04130000000001</v>
      </c>
      <c r="E953" s="52">
        <v>27478354</v>
      </c>
      <c r="F953" s="52" t="s">
        <v>1016</v>
      </c>
      <c r="G953" s="25">
        <f t="shared" si="12"/>
        <v>-4.0810519371153764E-2</v>
      </c>
    </row>
    <row r="954" spans="1:7">
      <c r="A954" s="52">
        <v>182.99610000000001</v>
      </c>
      <c r="B954" s="52">
        <v>198.36179999999999</v>
      </c>
      <c r="C954" s="52">
        <v>182.67779999999999</v>
      </c>
      <c r="D954" s="52">
        <v>193.22</v>
      </c>
      <c r="E954" s="52">
        <v>23501579</v>
      </c>
      <c r="F954" s="52" t="s">
        <v>1017</v>
      </c>
      <c r="G954" s="25">
        <f t="shared" si="12"/>
        <v>-5.2913259496946363E-2</v>
      </c>
    </row>
    <row r="955" spans="1:7">
      <c r="A955" s="52">
        <v>194.58250000000001</v>
      </c>
      <c r="B955" s="52">
        <v>195.45769999999999</v>
      </c>
      <c r="C955" s="52">
        <v>190.4452</v>
      </c>
      <c r="D955" s="52">
        <v>190.8828</v>
      </c>
      <c r="E955" s="52">
        <v>18828687</v>
      </c>
      <c r="F955" s="52" t="s">
        <v>1018</v>
      </c>
      <c r="G955" s="25">
        <f t="shared" si="12"/>
        <v>1.9382050137571438E-2</v>
      </c>
    </row>
    <row r="956" spans="1:7">
      <c r="A956" s="52">
        <v>193.1902</v>
      </c>
      <c r="B956" s="52">
        <v>195.84559999999999</v>
      </c>
      <c r="C956" s="52">
        <v>187.37209999999999</v>
      </c>
      <c r="D956" s="52">
        <v>192.9316</v>
      </c>
      <c r="E956" s="52">
        <v>30574242</v>
      </c>
      <c r="F956" s="52" t="s">
        <v>1019</v>
      </c>
      <c r="G956" s="25">
        <f t="shared" si="12"/>
        <v>1.3403714062392158E-3</v>
      </c>
    </row>
    <row r="957" spans="1:7">
      <c r="A957" s="52">
        <v>189.73910000000001</v>
      </c>
      <c r="B957" s="52">
        <v>195.53729999999999</v>
      </c>
      <c r="C957" s="52">
        <v>188.74449999999999</v>
      </c>
      <c r="D957" s="52">
        <v>194.91069999999999</v>
      </c>
      <c r="E957" s="52">
        <v>19464993</v>
      </c>
      <c r="F957" s="52" t="s">
        <v>1020</v>
      </c>
      <c r="G957" s="25">
        <f t="shared" si="12"/>
        <v>-2.6533176475175502E-2</v>
      </c>
    </row>
    <row r="958" spans="1:7">
      <c r="A958" s="52">
        <v>197.77500000000001</v>
      </c>
      <c r="B958" s="52">
        <v>199.83869999999999</v>
      </c>
      <c r="C958" s="52">
        <v>186.70570000000001</v>
      </c>
      <c r="D958" s="52">
        <v>187.42179999999999</v>
      </c>
      <c r="E958" s="52">
        <v>31951582</v>
      </c>
      <c r="F958" s="52" t="s">
        <v>1021</v>
      </c>
      <c r="G958" s="25">
        <f t="shared" si="12"/>
        <v>5.524010547332292E-2</v>
      </c>
    </row>
    <row r="959" spans="1:7">
      <c r="A959" s="52">
        <v>187.61080000000001</v>
      </c>
      <c r="B959" s="52">
        <v>198.44130000000001</v>
      </c>
      <c r="C959" s="52">
        <v>183.9906</v>
      </c>
      <c r="D959" s="52">
        <v>195.43780000000001</v>
      </c>
      <c r="E959" s="52">
        <v>36623495</v>
      </c>
      <c r="F959" s="52" t="s">
        <v>1022</v>
      </c>
      <c r="G959" s="25">
        <f t="shared" si="12"/>
        <v>-4.0048547415085456E-2</v>
      </c>
    </row>
    <row r="960" spans="1:7">
      <c r="A960" s="52">
        <v>192.58349999999999</v>
      </c>
      <c r="B960" s="52">
        <v>196.52189999999999</v>
      </c>
      <c r="C960" s="52">
        <v>190.9624</v>
      </c>
      <c r="D960" s="52">
        <v>193.82169999999999</v>
      </c>
      <c r="E960" s="52">
        <v>26131103</v>
      </c>
      <c r="F960" s="52" t="s">
        <v>1023</v>
      </c>
      <c r="G960" s="25">
        <f t="shared" si="12"/>
        <v>-6.3883455774044196E-3</v>
      </c>
    </row>
    <row r="961" spans="1:7">
      <c r="A961" s="52">
        <v>194.06540000000001</v>
      </c>
      <c r="B961" s="52">
        <v>194.2671</v>
      </c>
      <c r="C961" s="52">
        <v>188.76439999999999</v>
      </c>
      <c r="D961" s="52">
        <v>190.3159</v>
      </c>
      <c r="E961" s="52">
        <v>22562727</v>
      </c>
      <c r="F961" s="52" t="s">
        <v>1024</v>
      </c>
      <c r="G961" s="25">
        <f t="shared" si="12"/>
        <v>1.9701454266301432E-2</v>
      </c>
    </row>
    <row r="962" spans="1:7">
      <c r="A962" s="52">
        <v>190.58449999999999</v>
      </c>
      <c r="B962" s="52">
        <v>191.77799999999999</v>
      </c>
      <c r="C962" s="52">
        <v>181.26560000000001</v>
      </c>
      <c r="D962" s="52">
        <v>181.8802</v>
      </c>
      <c r="E962" s="52">
        <v>23056455</v>
      </c>
      <c r="F962" s="52" t="s">
        <v>1025</v>
      </c>
      <c r="G962" s="25">
        <f t="shared" si="12"/>
        <v>4.7857325866146994E-2</v>
      </c>
    </row>
    <row r="963" spans="1:7">
      <c r="A963" s="52">
        <v>182.827</v>
      </c>
      <c r="B963" s="52">
        <v>184.43819999999999</v>
      </c>
      <c r="C963" s="52">
        <v>178.3416</v>
      </c>
      <c r="D963" s="52">
        <v>179.41569999999999</v>
      </c>
      <c r="E963" s="52">
        <v>28030194</v>
      </c>
      <c r="F963" s="52" t="s">
        <v>1026</v>
      </c>
      <c r="G963" s="25">
        <f t="shared" si="12"/>
        <v>1.901338623097093E-2</v>
      </c>
    </row>
    <row r="964" spans="1:7">
      <c r="A964" s="52">
        <v>180.29089999999999</v>
      </c>
      <c r="B964" s="52">
        <v>182.6737</v>
      </c>
      <c r="C964" s="52">
        <v>175.1491</v>
      </c>
      <c r="D964" s="52">
        <v>179.56489999999999</v>
      </c>
      <c r="E964" s="52">
        <v>50406273</v>
      </c>
      <c r="F964" s="52" t="s">
        <v>1027</v>
      </c>
      <c r="G964" s="25">
        <f t="shared" ref="G964:G1027" si="13">A964/D964-1</f>
        <v>4.043106420018594E-3</v>
      </c>
    </row>
    <row r="965" spans="1:7">
      <c r="A965" s="52">
        <v>195.15940000000001</v>
      </c>
      <c r="B965" s="52">
        <v>195.91759999999999</v>
      </c>
      <c r="C965" s="52">
        <v>190.19659999999999</v>
      </c>
      <c r="D965" s="52">
        <v>194.125</v>
      </c>
      <c r="E965" s="52">
        <v>25059161</v>
      </c>
      <c r="F965" s="52" t="s">
        <v>1028</v>
      </c>
      <c r="G965" s="25">
        <f t="shared" si="13"/>
        <v>5.3285254346426836E-3</v>
      </c>
    </row>
    <row r="966" spans="1:7">
      <c r="A966" s="52">
        <v>192.48400000000001</v>
      </c>
      <c r="B966" s="52">
        <v>196.83019999999999</v>
      </c>
      <c r="C966" s="52">
        <v>186.845</v>
      </c>
      <c r="D966" s="52">
        <v>193.90620000000001</v>
      </c>
      <c r="E966" s="52">
        <v>31465570</v>
      </c>
      <c r="F966" s="52" t="s">
        <v>1029</v>
      </c>
      <c r="G966" s="25">
        <f t="shared" si="13"/>
        <v>-7.3344740910811224E-3</v>
      </c>
    </row>
    <row r="967" spans="1:7">
      <c r="A967" s="52">
        <v>190.24629999999999</v>
      </c>
      <c r="B967" s="52">
        <v>194.22450000000001</v>
      </c>
      <c r="C967" s="52">
        <v>188.56549999999999</v>
      </c>
      <c r="D967" s="52">
        <v>190.1568</v>
      </c>
      <c r="E967" s="52">
        <v>24446938</v>
      </c>
      <c r="F967" s="52" t="s">
        <v>1030</v>
      </c>
      <c r="G967" s="25">
        <f t="shared" si="13"/>
        <v>4.7066420974672951E-4</v>
      </c>
    </row>
    <row r="968" spans="1:7">
      <c r="A968" s="52">
        <v>191.19110000000001</v>
      </c>
      <c r="B968" s="52">
        <v>199.9033</v>
      </c>
      <c r="C968" s="52">
        <v>190.58449999999999</v>
      </c>
      <c r="D968" s="52">
        <v>198.90880000000001</v>
      </c>
      <c r="E968" s="52">
        <v>23959966</v>
      </c>
      <c r="F968" s="52" t="s">
        <v>1031</v>
      </c>
      <c r="G968" s="25">
        <f t="shared" si="13"/>
        <v>-3.8800193857687626E-2</v>
      </c>
    </row>
    <row r="969" spans="1:7">
      <c r="A969" s="52">
        <v>201.5145</v>
      </c>
      <c r="B969" s="52">
        <v>204.339</v>
      </c>
      <c r="C969" s="52">
        <v>197.27770000000001</v>
      </c>
      <c r="D969" s="52">
        <v>201.01220000000001</v>
      </c>
      <c r="E969" s="52">
        <v>24872729</v>
      </c>
      <c r="F969" s="52" t="s">
        <v>1032</v>
      </c>
      <c r="G969" s="25">
        <f t="shared" si="13"/>
        <v>2.4988533034313587E-3</v>
      </c>
    </row>
    <row r="970" spans="1:7">
      <c r="A970" s="52">
        <v>198.9486</v>
      </c>
      <c r="B970" s="52">
        <v>204.24950000000001</v>
      </c>
      <c r="C970" s="52">
        <v>194.86099999999999</v>
      </c>
      <c r="D970" s="52">
        <v>195.97489999999999</v>
      </c>
      <c r="E970" s="52">
        <v>27112595</v>
      </c>
      <c r="F970" s="52" t="s">
        <v>1033</v>
      </c>
      <c r="G970" s="25">
        <f t="shared" si="13"/>
        <v>1.5173881961414448E-2</v>
      </c>
    </row>
    <row r="971" spans="1:7">
      <c r="A971" s="52">
        <v>197.53630000000001</v>
      </c>
      <c r="B971" s="52">
        <v>198.79939999999999</v>
      </c>
      <c r="C971" s="52">
        <v>190.2364</v>
      </c>
      <c r="D971" s="52">
        <v>191.52930000000001</v>
      </c>
      <c r="E971" s="52">
        <v>24549844</v>
      </c>
      <c r="F971" s="52" t="s">
        <v>1034</v>
      </c>
      <c r="G971" s="25">
        <f t="shared" si="13"/>
        <v>3.1363347540037001E-2</v>
      </c>
    </row>
    <row r="972" spans="1:7">
      <c r="A972" s="52">
        <v>190.19659999999999</v>
      </c>
      <c r="B972" s="52">
        <v>196.96940000000001</v>
      </c>
      <c r="C972" s="52">
        <v>183.77180000000001</v>
      </c>
      <c r="D972" s="52">
        <v>186.03440000000001</v>
      </c>
      <c r="E972" s="52">
        <v>38262226</v>
      </c>
      <c r="F972" s="52" t="s">
        <v>1035</v>
      </c>
      <c r="G972" s="25">
        <f t="shared" si="13"/>
        <v>2.2373281500625675E-2</v>
      </c>
    </row>
    <row r="973" spans="1:7">
      <c r="A973" s="52">
        <v>187.71019999999999</v>
      </c>
      <c r="B973" s="52">
        <v>199.57929999999999</v>
      </c>
      <c r="C973" s="52">
        <v>187.24279999999999</v>
      </c>
      <c r="D973" s="52">
        <v>195.25380000000001</v>
      </c>
      <c r="E973" s="52">
        <v>31153383</v>
      </c>
      <c r="F973" s="52" t="s">
        <v>1036</v>
      </c>
      <c r="G973" s="25">
        <f t="shared" si="13"/>
        <v>-3.8634843470396141E-2</v>
      </c>
    </row>
    <row r="974" spans="1:7">
      <c r="A974" s="52">
        <v>196.57159999999999</v>
      </c>
      <c r="B974" s="52">
        <v>201.8526</v>
      </c>
      <c r="C974" s="52">
        <v>193.13050000000001</v>
      </c>
      <c r="D974" s="52">
        <v>198.42150000000001</v>
      </c>
      <c r="E974" s="52">
        <v>34452491</v>
      </c>
      <c r="F974" s="52" t="s">
        <v>1037</v>
      </c>
      <c r="G974" s="25">
        <f t="shared" si="13"/>
        <v>-9.3230824280635671E-3</v>
      </c>
    </row>
    <row r="975" spans="1:7">
      <c r="A975" s="52">
        <v>195.1395</v>
      </c>
      <c r="B975" s="52">
        <v>201.4648</v>
      </c>
      <c r="C975" s="52">
        <v>194.5129</v>
      </c>
      <c r="D975" s="52">
        <v>198.74969999999999</v>
      </c>
      <c r="E975" s="52">
        <v>36303200</v>
      </c>
      <c r="F975" s="52" t="s">
        <v>1038</v>
      </c>
      <c r="G975" s="25">
        <f t="shared" si="13"/>
        <v>-1.8164555720084019E-2</v>
      </c>
    </row>
    <row r="976" spans="1:7">
      <c r="A976" s="52">
        <v>202.65819999999999</v>
      </c>
      <c r="B976" s="52">
        <v>208.23759999999999</v>
      </c>
      <c r="C976" s="52">
        <v>199.92320000000001</v>
      </c>
      <c r="D976" s="52">
        <v>206.20869999999999</v>
      </c>
      <c r="E976" s="52">
        <v>34747158</v>
      </c>
      <c r="F976" s="52" t="s">
        <v>1039</v>
      </c>
      <c r="G976" s="25">
        <f t="shared" si="13"/>
        <v>-1.7217993227249817E-2</v>
      </c>
    </row>
    <row r="977" spans="1:7">
      <c r="A977" s="52">
        <v>207.14359999999999</v>
      </c>
      <c r="B977" s="52">
        <v>218.96870000000001</v>
      </c>
      <c r="C977" s="52">
        <v>205.0352</v>
      </c>
      <c r="D977" s="52">
        <v>217.54650000000001</v>
      </c>
      <c r="E977" s="52">
        <v>41129192</v>
      </c>
      <c r="F977" s="52" t="s">
        <v>1040</v>
      </c>
      <c r="G977" s="25">
        <f t="shared" si="13"/>
        <v>-4.781920187178379E-2</v>
      </c>
    </row>
    <row r="978" spans="1:7">
      <c r="A978" s="52">
        <v>222.19110000000001</v>
      </c>
      <c r="B978" s="52">
        <v>223.0762</v>
      </c>
      <c r="C978" s="52">
        <v>205.83080000000001</v>
      </c>
      <c r="D978" s="52">
        <v>209.50069999999999</v>
      </c>
      <c r="E978" s="52">
        <v>41375881</v>
      </c>
      <c r="F978" s="52" t="s">
        <v>1041</v>
      </c>
      <c r="G978" s="25">
        <f t="shared" si="13"/>
        <v>6.0574499273749582E-2</v>
      </c>
    </row>
    <row r="979" spans="1:7">
      <c r="A979" s="52">
        <v>210.87309999999999</v>
      </c>
      <c r="B979" s="52">
        <v>213.72739999999999</v>
      </c>
      <c r="C979" s="52">
        <v>206.9546</v>
      </c>
      <c r="D979" s="52">
        <v>209.30179999999999</v>
      </c>
      <c r="E979" s="52">
        <v>41556267</v>
      </c>
      <c r="F979" s="52" t="s">
        <v>1042</v>
      </c>
      <c r="G979" s="25">
        <f t="shared" si="13"/>
        <v>7.5073410739898705E-3</v>
      </c>
    </row>
    <row r="980" spans="1:7">
      <c r="A980" s="52">
        <v>209.97810000000001</v>
      </c>
      <c r="B980" s="52">
        <v>210.72399999999999</v>
      </c>
      <c r="C980" s="52">
        <v>199.89340000000001</v>
      </c>
      <c r="D980" s="52">
        <v>200.06739999999999</v>
      </c>
      <c r="E980" s="52">
        <v>49915289</v>
      </c>
      <c r="F980" s="52" t="s">
        <v>1043</v>
      </c>
      <c r="G980" s="25">
        <f t="shared" si="13"/>
        <v>4.9536806096345698E-2</v>
      </c>
    </row>
    <row r="981" spans="1:7">
      <c r="A981" s="52">
        <v>199.37620000000001</v>
      </c>
      <c r="B981" s="52">
        <v>211.32069999999999</v>
      </c>
      <c r="C981" s="52">
        <v>198.80930000000001</v>
      </c>
      <c r="D981" s="52">
        <v>203.34440000000001</v>
      </c>
      <c r="E981" s="52">
        <v>49193434</v>
      </c>
      <c r="F981" s="52" t="s">
        <v>1044</v>
      </c>
      <c r="G981" s="25">
        <f t="shared" si="13"/>
        <v>-1.9514675594705322E-2</v>
      </c>
    </row>
    <row r="982" spans="1:7">
      <c r="A982" s="52">
        <v>204.60749999999999</v>
      </c>
      <c r="B982" s="52">
        <v>207.3922</v>
      </c>
      <c r="C982" s="52">
        <v>191.8475</v>
      </c>
      <c r="D982" s="52">
        <v>201.81290000000001</v>
      </c>
      <c r="E982" s="52">
        <v>100890551</v>
      </c>
      <c r="F982" s="52" t="s">
        <v>1045</v>
      </c>
      <c r="G982" s="25">
        <f t="shared" si="13"/>
        <v>1.3847479521873929E-2</v>
      </c>
    </row>
    <row r="983" spans="1:7">
      <c r="A983" s="52">
        <v>173.99549999999999</v>
      </c>
      <c r="B983" s="52">
        <v>180.22120000000001</v>
      </c>
      <c r="C983" s="52">
        <v>168.0779</v>
      </c>
      <c r="D983" s="52">
        <v>173.47829999999999</v>
      </c>
      <c r="E983" s="52">
        <v>71062886</v>
      </c>
      <c r="F983" s="52" t="s">
        <v>1046</v>
      </c>
      <c r="G983" s="25">
        <f t="shared" si="13"/>
        <v>2.9813527109729954E-3</v>
      </c>
    </row>
    <row r="984" spans="1:7">
      <c r="A984" s="52">
        <v>179.96270000000001</v>
      </c>
      <c r="B984" s="52">
        <v>186.16370000000001</v>
      </c>
      <c r="C984" s="52">
        <v>178.5206</v>
      </c>
      <c r="D984" s="52">
        <v>185.61170000000001</v>
      </c>
      <c r="E984" s="52">
        <v>31747434</v>
      </c>
      <c r="F984" s="52" t="s">
        <v>1047</v>
      </c>
      <c r="G984" s="25">
        <f t="shared" si="13"/>
        <v>-3.0434503859401052E-2</v>
      </c>
    </row>
    <row r="985" spans="1:7">
      <c r="A985" s="52">
        <v>185.96979999999999</v>
      </c>
      <c r="B985" s="52">
        <v>186.15870000000001</v>
      </c>
      <c r="C985" s="52">
        <v>180.66390000000001</v>
      </c>
      <c r="D985" s="52">
        <v>181.733</v>
      </c>
      <c r="E985" s="52">
        <v>29281060</v>
      </c>
      <c r="F985" s="52" t="s">
        <v>1048</v>
      </c>
      <c r="G985" s="25">
        <f t="shared" si="13"/>
        <v>2.331332229149341E-2</v>
      </c>
    </row>
    <row r="986" spans="1:7">
      <c r="A986" s="52">
        <v>183.10550000000001</v>
      </c>
      <c r="B986" s="52">
        <v>191.66849999999999</v>
      </c>
      <c r="C986" s="52">
        <v>182.27010000000001</v>
      </c>
      <c r="D986" s="52">
        <v>189.3313</v>
      </c>
      <c r="E986" s="52">
        <v>36426769</v>
      </c>
      <c r="F986" s="52" t="s">
        <v>1049</v>
      </c>
      <c r="G986" s="25">
        <f t="shared" si="13"/>
        <v>-3.2883099624837486E-2</v>
      </c>
    </row>
    <row r="987" spans="1:7">
      <c r="A987" s="52">
        <v>187.04390000000001</v>
      </c>
      <c r="B987" s="52">
        <v>201.85759999999999</v>
      </c>
      <c r="C987" s="52">
        <v>184.5675</v>
      </c>
      <c r="D987" s="52">
        <v>200.5001</v>
      </c>
      <c r="E987" s="52">
        <v>49954078</v>
      </c>
      <c r="F987" s="52" t="s">
        <v>1050</v>
      </c>
      <c r="G987" s="25">
        <f t="shared" si="13"/>
        <v>-6.7113183484696526E-2</v>
      </c>
    </row>
    <row r="988" spans="1:7">
      <c r="A988" s="52">
        <v>199.32650000000001</v>
      </c>
      <c r="B988" s="52">
        <v>212.9915</v>
      </c>
      <c r="C988" s="52">
        <v>197.8347</v>
      </c>
      <c r="D988" s="52">
        <v>212.43960000000001</v>
      </c>
      <c r="E988" s="52">
        <v>43036528</v>
      </c>
      <c r="F988" s="52" t="s">
        <v>1051</v>
      </c>
      <c r="G988" s="25">
        <f t="shared" si="13"/>
        <v>-6.1726250661364501E-2</v>
      </c>
    </row>
    <row r="989" spans="1:7">
      <c r="A989" s="52">
        <v>216.12430000000001</v>
      </c>
      <c r="B989" s="52">
        <v>217.2381</v>
      </c>
      <c r="C989" s="52">
        <v>207.8597</v>
      </c>
      <c r="D989" s="52">
        <v>209.37139999999999</v>
      </c>
      <c r="E989" s="52">
        <v>20089871</v>
      </c>
      <c r="F989" s="52" t="s">
        <v>1052</v>
      </c>
      <c r="G989" s="25">
        <f t="shared" si="13"/>
        <v>3.2253211279095417E-2</v>
      </c>
    </row>
    <row r="990" spans="1:7">
      <c r="A990" s="52">
        <v>209.62</v>
      </c>
      <c r="B990" s="52">
        <v>212.2158</v>
      </c>
      <c r="C990" s="52">
        <v>207.1635</v>
      </c>
      <c r="D990" s="52">
        <v>208.85419999999999</v>
      </c>
      <c r="E990" s="52">
        <v>16580792</v>
      </c>
      <c r="F990" s="52" t="s">
        <v>1053</v>
      </c>
      <c r="G990" s="25">
        <f t="shared" si="13"/>
        <v>3.6666727315035619E-3</v>
      </c>
    </row>
    <row r="991" spans="1:7">
      <c r="A991" s="52">
        <v>209.03319999999999</v>
      </c>
      <c r="B991" s="52">
        <v>213.81700000000001</v>
      </c>
      <c r="C991" s="52">
        <v>208.85419999999999</v>
      </c>
      <c r="D991" s="52">
        <v>213.7175</v>
      </c>
      <c r="E991" s="52">
        <v>18379455</v>
      </c>
      <c r="F991" s="52" t="s">
        <v>1054</v>
      </c>
      <c r="G991" s="25">
        <f t="shared" si="13"/>
        <v>-2.1918186390913252E-2</v>
      </c>
    </row>
    <row r="992" spans="1:7">
      <c r="A992" s="52">
        <v>213.81700000000001</v>
      </c>
      <c r="B992" s="52">
        <v>215.4282</v>
      </c>
      <c r="C992" s="52">
        <v>210.17699999999999</v>
      </c>
      <c r="D992" s="52">
        <v>210.6643</v>
      </c>
      <c r="E992" s="52">
        <v>19231816</v>
      </c>
      <c r="F992" s="52" t="s">
        <v>1055</v>
      </c>
      <c r="G992" s="25">
        <f t="shared" si="13"/>
        <v>1.4965516226527198E-2</v>
      </c>
    </row>
    <row r="993" spans="1:7">
      <c r="A993" s="52">
        <v>212.9716</v>
      </c>
      <c r="B993" s="52">
        <v>220.8186</v>
      </c>
      <c r="C993" s="52">
        <v>211.96709999999999</v>
      </c>
      <c r="D993" s="52">
        <v>219.0334</v>
      </c>
      <c r="E993" s="52">
        <v>20128827</v>
      </c>
      <c r="F993" s="52" t="s">
        <v>1056</v>
      </c>
      <c r="G993" s="25">
        <f t="shared" si="13"/>
        <v>-2.7675231266099165E-2</v>
      </c>
    </row>
    <row r="994" spans="1:7">
      <c r="A994" s="52">
        <v>215.279</v>
      </c>
      <c r="B994" s="52">
        <v>219.40629999999999</v>
      </c>
      <c r="C994" s="52">
        <v>214.0455</v>
      </c>
      <c r="D994" s="52">
        <v>217.22829999999999</v>
      </c>
      <c r="E994" s="52">
        <v>20516586</v>
      </c>
      <c r="F994" s="52" t="s">
        <v>1057</v>
      </c>
      <c r="G994" s="25">
        <f t="shared" si="13"/>
        <v>-8.9735085161555261E-3</v>
      </c>
    </row>
    <row r="995" spans="1:7">
      <c r="A995" s="52">
        <v>221.11689999999999</v>
      </c>
      <c r="B995" s="52">
        <v>223.90170000000001</v>
      </c>
      <c r="C995" s="52">
        <v>218.8278</v>
      </c>
      <c r="D995" s="52">
        <v>221.16669999999999</v>
      </c>
      <c r="E995" s="52">
        <v>18375711</v>
      </c>
      <c r="F995" s="52" t="s">
        <v>1058</v>
      </c>
      <c r="G995" s="25">
        <f t="shared" si="13"/>
        <v>-2.2516952145146263E-4</v>
      </c>
    </row>
    <row r="996" spans="1:7">
      <c r="A996" s="52">
        <v>221.7336</v>
      </c>
      <c r="B996" s="52">
        <v>224.2895</v>
      </c>
      <c r="C996" s="52">
        <v>217.36750000000001</v>
      </c>
      <c r="D996" s="52">
        <v>222.70820000000001</v>
      </c>
      <c r="E996" s="52">
        <v>21037187</v>
      </c>
      <c r="F996" s="52" t="s">
        <v>1059</v>
      </c>
      <c r="G996" s="25">
        <f t="shared" si="13"/>
        <v>-4.3761298416493677E-3</v>
      </c>
    </row>
    <row r="997" spans="1:7">
      <c r="A997" s="52">
        <v>222.08170000000001</v>
      </c>
      <c r="B997" s="52">
        <v>227.7405</v>
      </c>
      <c r="C997" s="52">
        <v>220.197</v>
      </c>
      <c r="D997" s="52">
        <v>225.672</v>
      </c>
      <c r="E997" s="52">
        <v>28995080</v>
      </c>
      <c r="F997" s="52" t="s">
        <v>1060</v>
      </c>
      <c r="G997" s="25">
        <f t="shared" si="13"/>
        <v>-1.5909372895175244E-2</v>
      </c>
    </row>
    <row r="998" spans="1:7">
      <c r="A998" s="52">
        <v>230.57509999999999</v>
      </c>
      <c r="B998" s="52">
        <v>235.5677</v>
      </c>
      <c r="C998" s="52">
        <v>229.7595</v>
      </c>
      <c r="D998" s="52">
        <v>232.80279999999999</v>
      </c>
      <c r="E998" s="52">
        <v>29727181</v>
      </c>
      <c r="F998" s="52" t="s">
        <v>1061</v>
      </c>
      <c r="G998" s="25">
        <f t="shared" si="13"/>
        <v>-9.5690429840190605E-3</v>
      </c>
    </row>
    <row r="999" spans="1:7">
      <c r="A999" s="52">
        <v>232.6139</v>
      </c>
      <c r="B999" s="52">
        <v>233.07239999999999</v>
      </c>
      <c r="C999" s="52">
        <v>224.6277</v>
      </c>
      <c r="D999" s="52">
        <v>224.74700000000001</v>
      </c>
      <c r="E999" s="52">
        <v>28100826</v>
      </c>
      <c r="F999" s="52" t="s">
        <v>1062</v>
      </c>
      <c r="G999" s="25">
        <f t="shared" si="13"/>
        <v>3.5003359332938855E-2</v>
      </c>
    </row>
    <row r="1000" spans="1:7">
      <c r="A1000" s="52">
        <v>223.6232</v>
      </c>
      <c r="B1000" s="52">
        <v>226.03989999999999</v>
      </c>
      <c r="C1000" s="52">
        <v>221.48490000000001</v>
      </c>
      <c r="D1000" s="52">
        <v>223.32480000000001</v>
      </c>
      <c r="E1000" s="52">
        <v>19544758</v>
      </c>
      <c r="F1000" s="52" t="s">
        <v>1063</v>
      </c>
      <c r="G1000" s="25">
        <f t="shared" si="13"/>
        <v>1.3361704566621224E-3</v>
      </c>
    </row>
    <row r="1001" spans="1:7">
      <c r="A1001" s="52">
        <v>221.14680000000001</v>
      </c>
      <c r="B1001" s="52">
        <v>227.2433</v>
      </c>
      <c r="C1001" s="52">
        <v>221.04730000000001</v>
      </c>
      <c r="D1001" s="52">
        <v>227.20359999999999</v>
      </c>
      <c r="E1001" s="52">
        <v>24192266</v>
      </c>
      <c r="F1001" s="52" t="s">
        <v>1064</v>
      </c>
      <c r="G1001" s="25">
        <f t="shared" si="13"/>
        <v>-2.6658028305889481E-2</v>
      </c>
    </row>
    <row r="1002" spans="1:7">
      <c r="A1002" s="52">
        <v>226.60679999999999</v>
      </c>
      <c r="B1002" s="52">
        <v>229.88980000000001</v>
      </c>
      <c r="C1002" s="52">
        <v>225.47309999999999</v>
      </c>
      <c r="D1002" s="52">
        <v>227.661</v>
      </c>
      <c r="E1002" s="52">
        <v>25588046</v>
      </c>
      <c r="F1002" s="52" t="s">
        <v>1065</v>
      </c>
      <c r="G1002" s="25">
        <f t="shared" si="13"/>
        <v>-4.6305691356886003E-3</v>
      </c>
    </row>
    <row r="1003" spans="1:7">
      <c r="A1003" s="52">
        <v>228.60589999999999</v>
      </c>
      <c r="B1003" s="52">
        <v>229.6302</v>
      </c>
      <c r="C1003" s="52">
        <v>224.0608</v>
      </c>
      <c r="D1003" s="52">
        <v>224.8365</v>
      </c>
      <c r="E1003" s="52">
        <v>31417857</v>
      </c>
      <c r="F1003" s="52" t="s">
        <v>1066</v>
      </c>
      <c r="G1003" s="25">
        <f t="shared" si="13"/>
        <v>1.6765071507517604E-2</v>
      </c>
    </row>
    <row r="1004" spans="1:7">
      <c r="A1004" s="52">
        <v>222.37010000000001</v>
      </c>
      <c r="B1004" s="52">
        <v>222.8176</v>
      </c>
      <c r="C1004" s="52">
        <v>218.34219999999999</v>
      </c>
      <c r="D1004" s="52">
        <v>220.91800000000001</v>
      </c>
      <c r="E1004" s="52">
        <v>26224141</v>
      </c>
      <c r="F1004" s="52" t="s">
        <v>1067</v>
      </c>
      <c r="G1004" s="25">
        <f t="shared" si="13"/>
        <v>6.5730270960266957E-3</v>
      </c>
    </row>
    <row r="1005" spans="1:7">
      <c r="A1005" s="52">
        <v>220.6097</v>
      </c>
      <c r="B1005" s="52">
        <v>224.2697</v>
      </c>
      <c r="C1005" s="52">
        <v>217.69579999999999</v>
      </c>
      <c r="D1005" s="52">
        <v>219.30690000000001</v>
      </c>
      <c r="E1005" s="52">
        <v>40039026</v>
      </c>
      <c r="F1005" s="52" t="s">
        <v>1068</v>
      </c>
      <c r="G1005" s="25">
        <f t="shared" si="13"/>
        <v>5.9405335627833455E-3</v>
      </c>
    </row>
    <row r="1006" spans="1:7">
      <c r="A1006" s="52">
        <v>218.37200000000001</v>
      </c>
      <c r="B1006" s="52">
        <v>219.46600000000001</v>
      </c>
      <c r="C1006" s="52">
        <v>213.6181</v>
      </c>
      <c r="D1006" s="52">
        <v>213.82689999999999</v>
      </c>
      <c r="E1006" s="52">
        <v>31502314</v>
      </c>
      <c r="F1006" s="52" t="s">
        <v>1069</v>
      </c>
      <c r="G1006" s="25">
        <f t="shared" si="13"/>
        <v>2.1255978550874577E-2</v>
      </c>
    </row>
    <row r="1007" spans="1:7">
      <c r="A1007" s="52">
        <v>212.2953</v>
      </c>
      <c r="B1007" s="52">
        <v>215.61590000000001</v>
      </c>
      <c r="C1007" s="52">
        <v>211.00239999999999</v>
      </c>
      <c r="D1007" s="52">
        <v>212.1661</v>
      </c>
      <c r="E1007" s="52">
        <v>23717321</v>
      </c>
      <c r="F1007" s="52" t="s">
        <v>1070</v>
      </c>
      <c r="G1007" s="25">
        <f t="shared" si="13"/>
        <v>6.0895685031669977E-4</v>
      </c>
    </row>
    <row r="1008" spans="1:7">
      <c r="A1008" s="52">
        <v>215.46789999999999</v>
      </c>
      <c r="B1008" s="52">
        <v>218.26259999999999</v>
      </c>
      <c r="C1008" s="52">
        <v>209.03319999999999</v>
      </c>
      <c r="D1008" s="52">
        <v>210.2167</v>
      </c>
      <c r="E1008" s="52">
        <v>31998799</v>
      </c>
      <c r="F1008" s="52" t="s">
        <v>1071</v>
      </c>
      <c r="G1008" s="25">
        <f t="shared" si="13"/>
        <v>2.4979937369390637E-2</v>
      </c>
    </row>
    <row r="1009" spans="1:7">
      <c r="A1009" s="52">
        <v>210.33609999999999</v>
      </c>
      <c r="B1009" s="52">
        <v>213.5385</v>
      </c>
      <c r="C1009" s="52">
        <v>206.49719999999999</v>
      </c>
      <c r="D1009" s="52">
        <v>213.3297</v>
      </c>
      <c r="E1009" s="52">
        <v>30142338</v>
      </c>
      <c r="F1009" s="52" t="s">
        <v>1072</v>
      </c>
      <c r="G1009" s="25">
        <f t="shared" si="13"/>
        <v>-1.4032738995086058E-2</v>
      </c>
    </row>
    <row r="1010" spans="1:7">
      <c r="A1010" s="52">
        <v>215.30879999999999</v>
      </c>
      <c r="B1010" s="52">
        <v>215.61709999999999</v>
      </c>
      <c r="C1010" s="52">
        <v>204.876</v>
      </c>
      <c r="D1010" s="52">
        <v>205.57220000000001</v>
      </c>
      <c r="E1010" s="52">
        <v>52127982</v>
      </c>
      <c r="F1010" s="52" t="s">
        <v>1073</v>
      </c>
      <c r="G1010" s="25">
        <f t="shared" si="13"/>
        <v>4.7363408087280234E-2</v>
      </c>
    </row>
    <row r="1011" spans="1:7">
      <c r="A1011" s="52">
        <v>206.70599999999999</v>
      </c>
      <c r="B1011" s="52">
        <v>206.9049</v>
      </c>
      <c r="C1011" s="52">
        <v>200.0127</v>
      </c>
      <c r="D1011" s="52">
        <v>200.59950000000001</v>
      </c>
      <c r="E1011" s="52">
        <v>29499681</v>
      </c>
      <c r="F1011" s="52" t="s">
        <v>1074</v>
      </c>
      <c r="G1011" s="25">
        <f t="shared" si="13"/>
        <v>3.0441252346092407E-2</v>
      </c>
    </row>
    <row r="1012" spans="1:7">
      <c r="A1012" s="52">
        <v>202.51900000000001</v>
      </c>
      <c r="B1012" s="52">
        <v>202.61840000000001</v>
      </c>
      <c r="C1012" s="52">
        <v>193.45869999999999</v>
      </c>
      <c r="D1012" s="52">
        <v>193.6377</v>
      </c>
      <c r="E1012" s="52">
        <v>40640264</v>
      </c>
      <c r="F1012" s="52" t="s">
        <v>1075</v>
      </c>
      <c r="G1012" s="25">
        <f t="shared" si="13"/>
        <v>4.5865552007692711E-2</v>
      </c>
    </row>
    <row r="1013" spans="1:7">
      <c r="A1013" s="52">
        <v>190.98230000000001</v>
      </c>
      <c r="B1013" s="52">
        <v>191.23089999999999</v>
      </c>
      <c r="C1013" s="52">
        <v>184.89670000000001</v>
      </c>
      <c r="D1013" s="52">
        <v>189.75899999999999</v>
      </c>
      <c r="E1013" s="52">
        <v>31721682</v>
      </c>
      <c r="F1013" s="52" t="s">
        <v>1076</v>
      </c>
      <c r="G1013" s="25">
        <f t="shared" si="13"/>
        <v>6.4465980533203737E-3</v>
      </c>
    </row>
    <row r="1014" spans="1:7">
      <c r="A1014" s="52">
        <v>185.61170000000001</v>
      </c>
      <c r="B1014" s="52">
        <v>191.24080000000001</v>
      </c>
      <c r="C1014" s="52">
        <v>184.80619999999999</v>
      </c>
      <c r="D1014" s="52">
        <v>186.0095</v>
      </c>
      <c r="E1014" s="52">
        <v>31010462</v>
      </c>
      <c r="F1014" s="52" t="s">
        <v>1077</v>
      </c>
      <c r="G1014" s="25">
        <f t="shared" si="13"/>
        <v>-2.1386004478265441E-3</v>
      </c>
    </row>
    <row r="1015" spans="1:7">
      <c r="A1015" s="52">
        <v>186.5864</v>
      </c>
      <c r="B1015" s="52">
        <v>192.50389999999999</v>
      </c>
      <c r="C1015" s="52">
        <v>185.6515</v>
      </c>
      <c r="D1015" s="52">
        <v>191.584</v>
      </c>
      <c r="E1015" s="52">
        <v>34694534</v>
      </c>
      <c r="F1015" s="52" t="s">
        <v>1078</v>
      </c>
      <c r="G1015" s="25">
        <f t="shared" si="13"/>
        <v>-2.608568565224656E-2</v>
      </c>
    </row>
    <row r="1016" spans="1:7">
      <c r="A1016" s="52">
        <v>194.14490000000001</v>
      </c>
      <c r="B1016" s="52">
        <v>195.20910000000001</v>
      </c>
      <c r="C1016" s="52">
        <v>190.02549999999999</v>
      </c>
      <c r="D1016" s="52">
        <v>193.77690000000001</v>
      </c>
      <c r="E1016" s="52">
        <v>24852975</v>
      </c>
      <c r="F1016" s="52" t="s">
        <v>1079</v>
      </c>
      <c r="G1016" s="25">
        <f t="shared" si="13"/>
        <v>1.8990911713419045E-3</v>
      </c>
    </row>
    <row r="1017" spans="1:7">
      <c r="A1017" s="52">
        <v>197.417</v>
      </c>
      <c r="B1017" s="52">
        <v>198.0137</v>
      </c>
      <c r="C1017" s="52">
        <v>192.86199999999999</v>
      </c>
      <c r="D1017" s="52">
        <v>194.672</v>
      </c>
      <c r="E1017" s="52">
        <v>31894695</v>
      </c>
      <c r="F1017" s="52" t="s">
        <v>1080</v>
      </c>
      <c r="G1017" s="25">
        <f t="shared" si="13"/>
        <v>1.4100641078326648E-2</v>
      </c>
    </row>
    <row r="1018" spans="1:7">
      <c r="A1018" s="52">
        <v>189.2518</v>
      </c>
      <c r="B1018" s="52">
        <v>195.6268</v>
      </c>
      <c r="C1018" s="52">
        <v>185.09460000000001</v>
      </c>
      <c r="D1018" s="52">
        <v>186.82509999999999</v>
      </c>
      <c r="E1018" s="52">
        <v>37508149</v>
      </c>
      <c r="F1018" s="52" t="s">
        <v>1081</v>
      </c>
      <c r="G1018" s="25">
        <f t="shared" si="13"/>
        <v>1.2989154026948224E-2</v>
      </c>
    </row>
    <row r="1019" spans="1:7">
      <c r="A1019" s="52">
        <v>186.44710000000001</v>
      </c>
      <c r="B1019" s="52">
        <v>199.79390000000001</v>
      </c>
      <c r="C1019" s="52">
        <v>186.25819999999999</v>
      </c>
      <c r="D1019" s="52">
        <v>199.69450000000001</v>
      </c>
      <c r="E1019" s="52">
        <v>38560609</v>
      </c>
      <c r="F1019" s="52" t="s">
        <v>1082</v>
      </c>
      <c r="G1019" s="25">
        <f t="shared" si="13"/>
        <v>-6.6338331801827244E-2</v>
      </c>
    </row>
    <row r="1020" spans="1:7">
      <c r="A1020" s="52">
        <v>198.96850000000001</v>
      </c>
      <c r="B1020" s="52">
        <v>204.76660000000001</v>
      </c>
      <c r="C1020" s="52">
        <v>197.7054</v>
      </c>
      <c r="D1020" s="52">
        <v>201.26589999999999</v>
      </c>
      <c r="E1020" s="52">
        <v>32146264</v>
      </c>
      <c r="F1020" s="52" t="s">
        <v>1083</v>
      </c>
      <c r="G1020" s="25">
        <f t="shared" si="13"/>
        <v>-1.1414750337737201E-2</v>
      </c>
    </row>
    <row r="1021" spans="1:7">
      <c r="A1021" s="52">
        <v>201.86259999999999</v>
      </c>
      <c r="B1021" s="52">
        <v>207.9392</v>
      </c>
      <c r="C1021" s="52">
        <v>200.321</v>
      </c>
      <c r="D1021" s="52">
        <v>207.87459999999999</v>
      </c>
      <c r="E1021" s="52">
        <v>27263524</v>
      </c>
      <c r="F1021" s="52" t="s">
        <v>1084</v>
      </c>
      <c r="G1021" s="25">
        <f t="shared" si="13"/>
        <v>-2.8921282350032218E-2</v>
      </c>
    </row>
    <row r="1022" spans="1:7">
      <c r="A1022" s="52">
        <v>206.97450000000001</v>
      </c>
      <c r="B1022" s="52">
        <v>208.00890000000001</v>
      </c>
      <c r="C1022" s="52">
        <v>200.9178</v>
      </c>
      <c r="D1022" s="52">
        <v>203.65770000000001</v>
      </c>
      <c r="E1022" s="52">
        <v>29452147</v>
      </c>
      <c r="F1022" s="52" t="s">
        <v>1085</v>
      </c>
      <c r="G1022" s="25">
        <f t="shared" si="13"/>
        <v>1.628615073233175E-2</v>
      </c>
    </row>
    <row r="1023" spans="1:7">
      <c r="A1023" s="52">
        <v>202.37970000000001</v>
      </c>
      <c r="B1023" s="52">
        <v>210.59639999999999</v>
      </c>
      <c r="C1023" s="52">
        <v>201.11670000000001</v>
      </c>
      <c r="D1023" s="52">
        <v>208.72489999999999</v>
      </c>
      <c r="E1023" s="52">
        <v>27094902</v>
      </c>
      <c r="F1023" s="52" t="s">
        <v>1086</v>
      </c>
      <c r="G1023" s="25">
        <f t="shared" si="13"/>
        <v>-3.0399822924816244E-2</v>
      </c>
    </row>
    <row r="1024" spans="1:7">
      <c r="A1024" s="52">
        <v>209.87860000000001</v>
      </c>
      <c r="B1024" s="52">
        <v>211.98779999999999</v>
      </c>
      <c r="C1024" s="52">
        <v>205.70150000000001</v>
      </c>
      <c r="D1024" s="52">
        <v>206.5419</v>
      </c>
      <c r="E1024" s="52">
        <v>34239803</v>
      </c>
      <c r="F1024" s="52" t="s">
        <v>1087</v>
      </c>
      <c r="G1024" s="25">
        <f t="shared" si="13"/>
        <v>1.6155075556097964E-2</v>
      </c>
    </row>
    <row r="1025" spans="1:7">
      <c r="A1025" s="52">
        <v>209.33160000000001</v>
      </c>
      <c r="B1025" s="52">
        <v>210.167</v>
      </c>
      <c r="C1025" s="52">
        <v>202.07140000000001</v>
      </c>
      <c r="D1025" s="52">
        <v>203.8218</v>
      </c>
      <c r="E1025" s="52">
        <v>37627551</v>
      </c>
      <c r="F1025" s="52" t="s">
        <v>1088</v>
      </c>
      <c r="G1025" s="25">
        <f t="shared" si="13"/>
        <v>2.7032437158341249E-2</v>
      </c>
    </row>
    <row r="1026" spans="1:7">
      <c r="A1026" s="52">
        <v>206.46729999999999</v>
      </c>
      <c r="B1026" s="52">
        <v>207.2132</v>
      </c>
      <c r="C1026" s="52">
        <v>189.18209999999999</v>
      </c>
      <c r="D1026" s="52">
        <v>190.01759999999999</v>
      </c>
      <c r="E1026" s="52">
        <v>49957167</v>
      </c>
      <c r="F1026" s="52" t="s">
        <v>1089</v>
      </c>
      <c r="G1026" s="25">
        <f t="shared" si="13"/>
        <v>8.65693493655324E-2</v>
      </c>
    </row>
    <row r="1027" spans="1:7">
      <c r="A1027" s="52">
        <v>197.3672</v>
      </c>
      <c r="B1027" s="52">
        <v>205.8109</v>
      </c>
      <c r="C1027" s="52">
        <v>196.96940000000001</v>
      </c>
      <c r="D1027" s="52">
        <v>203.0461</v>
      </c>
      <c r="E1027" s="52">
        <v>44481359</v>
      </c>
      <c r="F1027" s="52" t="s">
        <v>1090</v>
      </c>
      <c r="G1027" s="25">
        <f t="shared" si="13"/>
        <v>-2.7968525374286957E-2</v>
      </c>
    </row>
    <row r="1028" spans="1:7">
      <c r="A1028" s="52">
        <v>200.97739999999999</v>
      </c>
      <c r="B1028" s="52">
        <v>206.34800000000001</v>
      </c>
      <c r="C1028" s="52">
        <v>198.96850000000001</v>
      </c>
      <c r="D1028" s="52">
        <v>201.23599999999999</v>
      </c>
      <c r="E1028" s="52">
        <v>39852391</v>
      </c>
      <c r="F1028" s="52" t="s">
        <v>1091</v>
      </c>
      <c r="G1028" s="25">
        <f t="shared" ref="G1028:G1091" si="14">A1028/D1028-1</f>
        <v>-1.2850583394621307E-3</v>
      </c>
    </row>
    <row r="1029" spans="1:7">
      <c r="A1029" s="52">
        <v>205.0352</v>
      </c>
      <c r="B1029" s="52">
        <v>209.6001</v>
      </c>
      <c r="C1029" s="52">
        <v>204.06049999999999</v>
      </c>
      <c r="D1029" s="52">
        <v>208.24760000000001</v>
      </c>
      <c r="E1029" s="52">
        <v>37128438</v>
      </c>
      <c r="F1029" s="52" t="s">
        <v>1092</v>
      </c>
      <c r="G1029" s="25">
        <f t="shared" si="14"/>
        <v>-1.5425868053221325E-2</v>
      </c>
    </row>
    <row r="1030" spans="1:7">
      <c r="A1030" s="52">
        <v>206.57669999999999</v>
      </c>
      <c r="B1030" s="52">
        <v>216.3133</v>
      </c>
      <c r="C1030" s="52">
        <v>206.02979999999999</v>
      </c>
      <c r="D1030" s="52">
        <v>212.85230000000001</v>
      </c>
      <c r="E1030" s="52">
        <v>38747533</v>
      </c>
      <c r="F1030" s="52" t="s">
        <v>1093</v>
      </c>
      <c r="G1030" s="25">
        <f t="shared" si="14"/>
        <v>-2.9483355359561703E-2</v>
      </c>
    </row>
    <row r="1031" spans="1:7">
      <c r="A1031" s="52">
        <v>215.35849999999999</v>
      </c>
      <c r="B1031" s="52">
        <v>216.27350000000001</v>
      </c>
      <c r="C1031" s="52">
        <v>211.2013</v>
      </c>
      <c r="D1031" s="52">
        <v>211.25110000000001</v>
      </c>
      <c r="E1031" s="52">
        <v>45817457</v>
      </c>
      <c r="F1031" s="52" t="s">
        <v>1094</v>
      </c>
      <c r="G1031" s="25">
        <f t="shared" si="14"/>
        <v>1.9443212366704765E-2</v>
      </c>
    </row>
    <row r="1032" spans="1:7">
      <c r="A1032" s="52">
        <v>219.79419999999999</v>
      </c>
      <c r="B1032" s="52">
        <v>219.9434</v>
      </c>
      <c r="C1032" s="52">
        <v>213.88659999999999</v>
      </c>
      <c r="D1032" s="52">
        <v>219.2671</v>
      </c>
      <c r="E1032" s="52">
        <v>42685473</v>
      </c>
      <c r="F1032" s="52" t="s">
        <v>1095</v>
      </c>
      <c r="G1032" s="25">
        <f t="shared" si="14"/>
        <v>2.4039174139667274E-3</v>
      </c>
    </row>
    <row r="1033" spans="1:7">
      <c r="A1033" s="52">
        <v>216.51220000000001</v>
      </c>
      <c r="B1033" s="52">
        <v>219.79419999999999</v>
      </c>
      <c r="C1033" s="52">
        <v>213.60810000000001</v>
      </c>
      <c r="D1033" s="52">
        <v>218.11340000000001</v>
      </c>
      <c r="E1033" s="52">
        <v>38184035</v>
      </c>
      <c r="F1033" s="52" t="s">
        <v>1096</v>
      </c>
      <c r="G1033" s="25">
        <f t="shared" si="14"/>
        <v>-7.3411353910397548E-3</v>
      </c>
    </row>
    <row r="1034" spans="1:7">
      <c r="A1034" s="52">
        <v>218.35210000000001</v>
      </c>
      <c r="B1034" s="52">
        <v>229.1628</v>
      </c>
      <c r="C1034" s="52">
        <v>217.57650000000001</v>
      </c>
      <c r="D1034" s="52">
        <v>227.21350000000001</v>
      </c>
      <c r="E1034" s="52">
        <v>46156943</v>
      </c>
      <c r="F1034" s="52" t="s">
        <v>1097</v>
      </c>
      <c r="G1034" s="25">
        <f t="shared" si="14"/>
        <v>-3.9000323484300048E-2</v>
      </c>
    </row>
    <row r="1035" spans="1:7">
      <c r="A1035" s="52">
        <v>226.82560000000001</v>
      </c>
      <c r="B1035" s="52">
        <v>233.71780000000001</v>
      </c>
      <c r="C1035" s="52">
        <v>225.4631</v>
      </c>
      <c r="D1035" s="52">
        <v>227.02449999999999</v>
      </c>
      <c r="E1035" s="52">
        <v>49310356</v>
      </c>
      <c r="F1035" s="52" t="s">
        <v>1098</v>
      </c>
      <c r="G1035" s="25">
        <f t="shared" si="14"/>
        <v>-8.7611689487254729E-4</v>
      </c>
    </row>
    <row r="1036" spans="1:7">
      <c r="A1036" s="52">
        <v>230.73419999999999</v>
      </c>
      <c r="B1036" s="52">
        <v>232.0967</v>
      </c>
      <c r="C1036" s="52">
        <v>220.99760000000001</v>
      </c>
      <c r="D1036" s="52">
        <v>222.97669999999999</v>
      </c>
      <c r="E1036" s="52">
        <v>86563275</v>
      </c>
      <c r="F1036" s="52" t="s">
        <v>1099</v>
      </c>
      <c r="G1036" s="25">
        <f t="shared" si="14"/>
        <v>3.4790630590550542E-2</v>
      </c>
    </row>
    <row r="1037" spans="1:7">
      <c r="A1037" s="52">
        <v>218.9787</v>
      </c>
      <c r="B1037" s="52">
        <v>224.53819999999999</v>
      </c>
      <c r="C1037" s="52">
        <v>214.97069999999999</v>
      </c>
      <c r="D1037" s="52">
        <v>219.64500000000001</v>
      </c>
      <c r="E1037" s="52">
        <v>94729672</v>
      </c>
      <c r="F1037" s="52" t="s">
        <v>1100</v>
      </c>
      <c r="G1037" s="25">
        <f t="shared" si="14"/>
        <v>-3.0335313801816977E-3</v>
      </c>
    </row>
    <row r="1038" spans="1:7">
      <c r="A1038" s="52">
        <v>223.68289999999999</v>
      </c>
      <c r="B1038" s="52">
        <v>236.99979999999999</v>
      </c>
      <c r="C1038" s="52">
        <v>222.7878</v>
      </c>
      <c r="D1038" s="52">
        <v>236.40309999999999</v>
      </c>
      <c r="E1038" s="52">
        <v>88613826</v>
      </c>
      <c r="F1038" s="52" t="s">
        <v>1101</v>
      </c>
      <c r="G1038" s="25">
        <f t="shared" si="14"/>
        <v>-5.3807247028486493E-2</v>
      </c>
    </row>
    <row r="1039" spans="1:7">
      <c r="A1039" s="52">
        <v>235.79640000000001</v>
      </c>
      <c r="B1039" s="52">
        <v>241.28620000000001</v>
      </c>
      <c r="C1039" s="52">
        <v>228.8545</v>
      </c>
      <c r="D1039" s="52">
        <v>233.68799999999999</v>
      </c>
      <c r="E1039" s="52">
        <v>89342247</v>
      </c>
      <c r="F1039" s="52" t="s">
        <v>1102</v>
      </c>
      <c r="G1039" s="25">
        <f t="shared" si="14"/>
        <v>9.0222861250899289E-3</v>
      </c>
    </row>
    <row r="1040" spans="1:7">
      <c r="A1040" s="52">
        <v>236.46279999999999</v>
      </c>
      <c r="B1040" s="52">
        <v>246.64689999999999</v>
      </c>
      <c r="C1040" s="52">
        <v>234.4588</v>
      </c>
      <c r="D1040" s="52">
        <v>243.31020000000001</v>
      </c>
      <c r="E1040" s="52">
        <v>188119925</v>
      </c>
      <c r="F1040" s="52" t="s">
        <v>1103</v>
      </c>
      <c r="G1040" s="25">
        <f t="shared" si="14"/>
        <v>-2.8142675481751422E-2</v>
      </c>
    </row>
    <row r="1041" spans="1:7">
      <c r="A1041" s="52">
        <v>321.23770000000002</v>
      </c>
      <c r="B1041" s="52">
        <v>326.21039999999999</v>
      </c>
      <c r="C1041" s="52">
        <v>315.14580000000001</v>
      </c>
      <c r="D1041" s="52">
        <v>326.03140000000002</v>
      </c>
      <c r="E1041" s="52">
        <v>58458280</v>
      </c>
      <c r="F1041" s="52" t="s">
        <v>1104</v>
      </c>
      <c r="G1041" s="25">
        <f t="shared" si="14"/>
        <v>-1.4703185030644272E-2</v>
      </c>
    </row>
    <row r="1042" spans="1:7">
      <c r="A1042" s="52">
        <v>317.2595</v>
      </c>
      <c r="B1042" s="52">
        <v>317.91570000000002</v>
      </c>
      <c r="C1042" s="52">
        <v>310.41699999999997</v>
      </c>
      <c r="D1042" s="52">
        <v>312.83879999999999</v>
      </c>
      <c r="E1042" s="52">
        <v>18023796</v>
      </c>
      <c r="F1042" s="52" t="s">
        <v>1105</v>
      </c>
      <c r="G1042" s="25">
        <f t="shared" si="14"/>
        <v>1.4130919821965904E-2</v>
      </c>
    </row>
    <row r="1043" spans="1:7">
      <c r="A1043" s="52">
        <v>311.55079999999998</v>
      </c>
      <c r="B1043" s="52">
        <v>312.0779</v>
      </c>
      <c r="C1043" s="52">
        <v>297.68689999999998</v>
      </c>
      <c r="D1043" s="52">
        <v>299.03949999999998</v>
      </c>
      <c r="E1043" s="52">
        <v>21579474</v>
      </c>
      <c r="F1043" s="52" t="s">
        <v>1106</v>
      </c>
      <c r="G1043" s="25">
        <f t="shared" si="14"/>
        <v>4.1838285577657786E-2</v>
      </c>
    </row>
    <row r="1044" spans="1:7">
      <c r="A1044" s="52">
        <v>300.06380000000001</v>
      </c>
      <c r="B1044" s="52">
        <v>300.25279999999998</v>
      </c>
      <c r="C1044" s="52">
        <v>291.43450000000001</v>
      </c>
      <c r="D1044" s="52">
        <v>294.00749999999999</v>
      </c>
      <c r="E1044" s="52">
        <v>21871620</v>
      </c>
      <c r="F1044" s="52" t="s">
        <v>1107</v>
      </c>
      <c r="G1044" s="25">
        <f t="shared" si="14"/>
        <v>2.0599134375823835E-2</v>
      </c>
    </row>
    <row r="1045" spans="1:7">
      <c r="A1045" s="52">
        <v>293.0324</v>
      </c>
      <c r="B1045" s="52">
        <v>300.06290000000001</v>
      </c>
      <c r="C1045" s="52">
        <v>292.65449999999998</v>
      </c>
      <c r="D1045" s="52">
        <v>296.12740000000002</v>
      </c>
      <c r="E1045" s="52">
        <v>21629922</v>
      </c>
      <c r="F1045" s="52" t="s">
        <v>1108</v>
      </c>
      <c r="G1045" s="25">
        <f t="shared" si="14"/>
        <v>-1.0451582663407843E-2</v>
      </c>
    </row>
    <row r="1046" spans="1:7">
      <c r="A1046" s="52">
        <v>293.02249999999998</v>
      </c>
      <c r="B1046" s="52">
        <v>305.8322</v>
      </c>
      <c r="C1046" s="52">
        <v>289.26310000000001</v>
      </c>
      <c r="D1046" s="52">
        <v>305.3349</v>
      </c>
      <c r="E1046" s="52">
        <v>28348801</v>
      </c>
      <c r="F1046" s="52" t="s">
        <v>1109</v>
      </c>
      <c r="G1046" s="25">
        <f t="shared" si="14"/>
        <v>-4.0324247244582945E-2</v>
      </c>
    </row>
    <row r="1047" spans="1:7">
      <c r="A1047" s="52">
        <v>298.51240000000001</v>
      </c>
      <c r="B1047" s="52">
        <v>304.55919999999998</v>
      </c>
      <c r="C1047" s="52">
        <v>295.95639999999997</v>
      </c>
      <c r="D1047" s="52">
        <v>298.3134</v>
      </c>
      <c r="E1047" s="52">
        <v>25108454</v>
      </c>
      <c r="F1047" s="52" t="s">
        <v>1110</v>
      </c>
      <c r="G1047" s="25">
        <f t="shared" si="14"/>
        <v>6.6708367776979749E-4</v>
      </c>
    </row>
    <row r="1048" spans="1:7">
      <c r="A1048" s="52">
        <v>307.02569999999997</v>
      </c>
      <c r="B1048" s="52">
        <v>307.84120000000001</v>
      </c>
      <c r="C1048" s="52">
        <v>287.43310000000002</v>
      </c>
      <c r="D1048" s="52">
        <v>296.21499999999997</v>
      </c>
      <c r="E1048" s="52">
        <v>38936901</v>
      </c>
      <c r="F1048" s="52" t="s">
        <v>1111</v>
      </c>
      <c r="G1048" s="25">
        <f t="shared" si="14"/>
        <v>3.649612612460551E-2</v>
      </c>
    </row>
    <row r="1049" spans="1:7">
      <c r="A1049" s="52">
        <v>301.51589999999999</v>
      </c>
      <c r="B1049" s="52">
        <v>316.57330000000002</v>
      </c>
      <c r="C1049" s="52">
        <v>301.38659999999999</v>
      </c>
      <c r="D1049" s="52">
        <v>313.0924</v>
      </c>
      <c r="E1049" s="52">
        <v>28710717</v>
      </c>
      <c r="F1049" s="52" t="s">
        <v>1112</v>
      </c>
      <c r="G1049" s="25">
        <f t="shared" si="14"/>
        <v>-3.6974707785944361E-2</v>
      </c>
    </row>
    <row r="1050" spans="1:7">
      <c r="A1050" s="52">
        <v>314.83280000000002</v>
      </c>
      <c r="B1050" s="52">
        <v>326.03140000000002</v>
      </c>
      <c r="C1050" s="52">
        <v>314.25599999999997</v>
      </c>
      <c r="D1050" s="52">
        <v>322.13279999999997</v>
      </c>
      <c r="E1050" s="52">
        <v>16925030</v>
      </c>
      <c r="F1050" s="52" t="s">
        <v>1113</v>
      </c>
      <c r="G1050" s="25">
        <f t="shared" si="14"/>
        <v>-2.2661461360035218E-2</v>
      </c>
    </row>
    <row r="1051" spans="1:7">
      <c r="A1051" s="52">
        <v>317.84629999999999</v>
      </c>
      <c r="B1051" s="52">
        <v>325.31529999999998</v>
      </c>
      <c r="C1051" s="52">
        <v>317.58769999999998</v>
      </c>
      <c r="D1051" s="52">
        <v>317.83850000000001</v>
      </c>
      <c r="E1051" s="52">
        <v>20814740</v>
      </c>
      <c r="F1051" s="52" t="s">
        <v>1114</v>
      </c>
      <c r="G1051" s="25">
        <f t="shared" si="14"/>
        <v>2.4540765199754233E-5</v>
      </c>
    </row>
    <row r="1052" spans="1:7">
      <c r="A1052" s="52">
        <v>316.41410000000002</v>
      </c>
      <c r="B1052" s="52">
        <v>322.44110000000001</v>
      </c>
      <c r="C1052" s="52">
        <v>315.90690000000001</v>
      </c>
      <c r="D1052" s="52">
        <v>321.52609999999999</v>
      </c>
      <c r="E1052" s="52">
        <v>22677332</v>
      </c>
      <c r="F1052" s="52" t="s">
        <v>1115</v>
      </c>
      <c r="G1052" s="25">
        <f t="shared" si="14"/>
        <v>-1.5899175836736057E-2</v>
      </c>
    </row>
    <row r="1053" spans="1:7">
      <c r="A1053" s="52">
        <v>330.08909999999997</v>
      </c>
      <c r="B1053" s="52">
        <v>330.91460000000001</v>
      </c>
      <c r="C1053" s="52">
        <v>319.45749999999998</v>
      </c>
      <c r="D1053" s="52">
        <v>320.03429999999997</v>
      </c>
      <c r="E1053" s="52">
        <v>16868497</v>
      </c>
      <c r="F1053" s="52" t="s">
        <v>1116</v>
      </c>
      <c r="G1053" s="25">
        <f t="shared" si="14"/>
        <v>3.1417882395730734E-2</v>
      </c>
    </row>
    <row r="1054" spans="1:7">
      <c r="A1054" s="52">
        <v>324.69869999999997</v>
      </c>
      <c r="B1054" s="52">
        <v>333.79880000000003</v>
      </c>
      <c r="C1054" s="52">
        <v>323.98259999999999</v>
      </c>
      <c r="D1054" s="52">
        <v>333.15230000000003</v>
      </c>
      <c r="E1054" s="52">
        <v>14797109</v>
      </c>
      <c r="F1054" s="52" t="s">
        <v>1117</v>
      </c>
      <c r="G1054" s="25">
        <f t="shared" si="14"/>
        <v>-2.5374580934905855E-2</v>
      </c>
    </row>
    <row r="1055" spans="1:7">
      <c r="A1055" s="52">
        <v>331.44170000000003</v>
      </c>
      <c r="B1055" s="52">
        <v>334.52980000000002</v>
      </c>
      <c r="C1055" s="52">
        <v>328.22930000000002</v>
      </c>
      <c r="D1055" s="52">
        <v>333.35120000000001</v>
      </c>
      <c r="E1055" s="52">
        <v>14104858</v>
      </c>
      <c r="F1055" s="52" t="s">
        <v>1118</v>
      </c>
      <c r="G1055" s="25">
        <f t="shared" si="14"/>
        <v>-5.7281929688568489E-3</v>
      </c>
    </row>
    <row r="1056" spans="1:7">
      <c r="A1056" s="52">
        <v>332.54559999999998</v>
      </c>
      <c r="B1056" s="52">
        <v>332.80419999999998</v>
      </c>
      <c r="C1056" s="52">
        <v>323.5052</v>
      </c>
      <c r="D1056" s="52">
        <v>324.99709999999999</v>
      </c>
      <c r="E1056" s="52">
        <v>16226847</v>
      </c>
      <c r="F1056" s="52" t="s">
        <v>1119</v>
      </c>
      <c r="G1056" s="25">
        <f t="shared" si="14"/>
        <v>2.3226361096760462E-2</v>
      </c>
    </row>
    <row r="1057" spans="1:7">
      <c r="A1057" s="52">
        <v>326.27999999999997</v>
      </c>
      <c r="B1057" s="52">
        <v>326.54849999999999</v>
      </c>
      <c r="C1057" s="52">
        <v>313.709</v>
      </c>
      <c r="D1057" s="52">
        <v>323.5351</v>
      </c>
      <c r="E1057" s="52">
        <v>24942383</v>
      </c>
      <c r="F1057" s="52" t="s">
        <v>1120</v>
      </c>
      <c r="G1057" s="25">
        <f t="shared" si="14"/>
        <v>8.4840871979576793E-3</v>
      </c>
    </row>
    <row r="1058" spans="1:7">
      <c r="A1058" s="52">
        <v>329.97969999999998</v>
      </c>
      <c r="B1058" s="52">
        <v>335.16129999999998</v>
      </c>
      <c r="C1058" s="52">
        <v>327.08569999999997</v>
      </c>
      <c r="D1058" s="52">
        <v>330.92450000000002</v>
      </c>
      <c r="E1058" s="52">
        <v>14722020</v>
      </c>
      <c r="F1058" s="52" t="s">
        <v>1121</v>
      </c>
      <c r="G1058" s="25">
        <f t="shared" si="14"/>
        <v>-2.8550318879383418E-3</v>
      </c>
    </row>
    <row r="1059" spans="1:7">
      <c r="A1059" s="52">
        <v>330.64609999999999</v>
      </c>
      <c r="B1059" s="52">
        <v>337.31450000000001</v>
      </c>
      <c r="C1059" s="52">
        <v>320.95920000000001</v>
      </c>
      <c r="D1059" s="52">
        <v>321.05869999999999</v>
      </c>
      <c r="E1059" s="52">
        <v>27962809</v>
      </c>
      <c r="F1059" s="52" t="s">
        <v>1122</v>
      </c>
      <c r="G1059" s="25">
        <f t="shared" si="14"/>
        <v>2.9861829005100926E-2</v>
      </c>
    </row>
    <row r="1060" spans="1:7">
      <c r="A1060" s="52">
        <v>322.40129999999999</v>
      </c>
      <c r="B1060" s="52">
        <v>333.92809999999997</v>
      </c>
      <c r="C1060" s="52">
        <v>322.07310000000001</v>
      </c>
      <c r="D1060" s="52">
        <v>331.20299999999997</v>
      </c>
      <c r="E1060" s="52">
        <v>20564521</v>
      </c>
      <c r="F1060" s="52" t="s">
        <v>1123</v>
      </c>
      <c r="G1060" s="25">
        <f t="shared" si="14"/>
        <v>-2.6574940444380024E-2</v>
      </c>
    </row>
    <row r="1061" spans="1:7">
      <c r="A1061" s="52">
        <v>334.69389999999999</v>
      </c>
      <c r="B1061" s="52">
        <v>341.21350000000001</v>
      </c>
      <c r="C1061" s="52">
        <v>330.06040000000002</v>
      </c>
      <c r="D1061" s="52">
        <v>338.09519999999998</v>
      </c>
      <c r="E1061" s="52">
        <v>15997974</v>
      </c>
      <c r="F1061" s="52" t="s">
        <v>1124</v>
      </c>
      <c r="G1061" s="25">
        <f t="shared" si="14"/>
        <v>-1.0060184232133396E-2</v>
      </c>
    </row>
    <row r="1062" spans="1:7">
      <c r="A1062" s="52">
        <v>336.69290000000001</v>
      </c>
      <c r="B1062" s="52">
        <v>339.22059999999999</v>
      </c>
      <c r="C1062" s="52">
        <v>335.3503</v>
      </c>
      <c r="D1062" s="52">
        <v>336.44920000000002</v>
      </c>
      <c r="E1062" s="52">
        <v>14562849</v>
      </c>
      <c r="F1062" s="52" t="s">
        <v>1125</v>
      </c>
      <c r="G1062" s="25">
        <f t="shared" si="14"/>
        <v>7.2432925981091856E-4</v>
      </c>
    </row>
    <row r="1063" spans="1:7">
      <c r="A1063" s="52">
        <v>334.51479999999998</v>
      </c>
      <c r="B1063" s="52">
        <v>341.56619999999998</v>
      </c>
      <c r="C1063" s="52">
        <v>334.43529999999998</v>
      </c>
      <c r="D1063" s="52">
        <v>341.14350000000002</v>
      </c>
      <c r="E1063" s="52">
        <v>12870480</v>
      </c>
      <c r="F1063" s="52" t="s">
        <v>1126</v>
      </c>
      <c r="G1063" s="25">
        <f t="shared" si="14"/>
        <v>-1.943082603068802E-2</v>
      </c>
    </row>
    <row r="1064" spans="1:7">
      <c r="A1064" s="52">
        <v>342.48110000000003</v>
      </c>
      <c r="B1064" s="52">
        <v>345.33550000000002</v>
      </c>
      <c r="C1064" s="52">
        <v>341.34739999999999</v>
      </c>
      <c r="D1064" s="52">
        <v>342.12310000000002</v>
      </c>
      <c r="E1064" s="52">
        <v>10593347</v>
      </c>
      <c r="F1064" s="52" t="s">
        <v>1127</v>
      </c>
      <c r="G1064" s="25">
        <f t="shared" si="14"/>
        <v>1.046406980411474E-3</v>
      </c>
    </row>
    <row r="1065" spans="1:7">
      <c r="A1065" s="52">
        <v>341.06889999999999</v>
      </c>
      <c r="B1065" s="52">
        <v>347.78199999999998</v>
      </c>
      <c r="C1065" s="52">
        <v>339.77609999999999</v>
      </c>
      <c r="D1065" s="52">
        <v>345.0172</v>
      </c>
      <c r="E1065" s="52">
        <v>10747009</v>
      </c>
      <c r="F1065" s="52" t="s">
        <v>1128</v>
      </c>
      <c r="G1065" s="25">
        <f t="shared" si="14"/>
        <v>-1.1443777295740643E-2</v>
      </c>
    </row>
    <row r="1066" spans="1:7">
      <c r="A1066" s="52">
        <v>344.33100000000002</v>
      </c>
      <c r="B1066" s="52">
        <v>350.78559999999999</v>
      </c>
      <c r="C1066" s="52">
        <v>343.31659999999999</v>
      </c>
      <c r="D1066" s="52">
        <v>344.73880000000003</v>
      </c>
      <c r="E1066" s="52">
        <v>16637608</v>
      </c>
      <c r="F1066" s="52" t="s">
        <v>1129</v>
      </c>
      <c r="G1066" s="25">
        <f t="shared" si="14"/>
        <v>-1.1829245794207077E-3</v>
      </c>
    </row>
    <row r="1067" spans="1:7">
      <c r="A1067" s="52">
        <v>344.2912</v>
      </c>
      <c r="B1067" s="52">
        <v>345.97199999999998</v>
      </c>
      <c r="C1067" s="52">
        <v>336.16579999999999</v>
      </c>
      <c r="D1067" s="52">
        <v>336.99619999999999</v>
      </c>
      <c r="E1067" s="52">
        <v>17795026</v>
      </c>
      <c r="F1067" s="52" t="s">
        <v>1130</v>
      </c>
      <c r="G1067" s="25">
        <f t="shared" si="14"/>
        <v>2.1647128365245738E-2</v>
      </c>
    </row>
    <row r="1068" spans="1:7">
      <c r="A1068" s="52">
        <v>333.41090000000003</v>
      </c>
      <c r="B1068" s="52">
        <v>334.8331</v>
      </c>
      <c r="C1068" s="52">
        <v>326.5684</v>
      </c>
      <c r="D1068" s="52">
        <v>328.2989</v>
      </c>
      <c r="E1068" s="52">
        <v>13987698</v>
      </c>
      <c r="F1068" s="52" t="s">
        <v>1131</v>
      </c>
      <c r="G1068" s="25">
        <f t="shared" si="14"/>
        <v>1.5571176144665744E-2</v>
      </c>
    </row>
    <row r="1069" spans="1:7">
      <c r="A1069" s="52">
        <v>328.64699999999999</v>
      </c>
      <c r="B1069" s="52">
        <v>332.68490000000003</v>
      </c>
      <c r="C1069" s="52">
        <v>326.46899999999999</v>
      </c>
      <c r="D1069" s="52">
        <v>331.97910000000002</v>
      </c>
      <c r="E1069" s="52">
        <v>16764566</v>
      </c>
      <c r="F1069" s="52" t="s">
        <v>1132</v>
      </c>
      <c r="G1069" s="25">
        <f t="shared" si="14"/>
        <v>-1.0037077635309033E-2</v>
      </c>
    </row>
    <row r="1070" spans="1:7">
      <c r="A1070" s="52">
        <v>332.3766</v>
      </c>
      <c r="B1070" s="52">
        <v>334.16680000000002</v>
      </c>
      <c r="C1070" s="52">
        <v>321.98360000000002</v>
      </c>
      <c r="D1070" s="52">
        <v>324.62909999999999</v>
      </c>
      <c r="E1070" s="52">
        <v>16116784</v>
      </c>
      <c r="F1070" s="52" t="s">
        <v>1133</v>
      </c>
      <c r="G1070" s="25">
        <f t="shared" si="14"/>
        <v>2.3865697807128106E-2</v>
      </c>
    </row>
    <row r="1071" spans="1:7">
      <c r="A1071" s="52">
        <v>323.67430000000002</v>
      </c>
      <c r="B1071" s="52">
        <v>328.1</v>
      </c>
      <c r="C1071" s="52">
        <v>320.77019999999999</v>
      </c>
      <c r="D1071" s="52">
        <v>327.97570000000002</v>
      </c>
      <c r="E1071" s="52">
        <v>17901783</v>
      </c>
      <c r="F1071" s="52" t="s">
        <v>1134</v>
      </c>
      <c r="G1071" s="25">
        <f t="shared" si="14"/>
        <v>-1.3114996019522152E-2</v>
      </c>
    </row>
    <row r="1072" spans="1:7">
      <c r="A1072" s="52">
        <v>331.96879999999999</v>
      </c>
      <c r="B1072" s="52">
        <v>335.27069999999998</v>
      </c>
      <c r="C1072" s="52">
        <v>328.94540000000001</v>
      </c>
      <c r="D1072" s="52">
        <v>330.97919999999999</v>
      </c>
      <c r="E1072" s="52">
        <v>40012637</v>
      </c>
      <c r="F1072" s="52" t="s">
        <v>1135</v>
      </c>
      <c r="G1072" s="25">
        <f t="shared" si="14"/>
        <v>2.9899159826356492E-3</v>
      </c>
    </row>
    <row r="1073" spans="1:7">
      <c r="A1073" s="52">
        <v>333.07279999999997</v>
      </c>
      <c r="B1073" s="52">
        <v>342.5806</v>
      </c>
      <c r="C1073" s="52">
        <v>331.91910000000001</v>
      </c>
      <c r="D1073" s="52">
        <v>337.13049999999998</v>
      </c>
      <c r="E1073" s="52">
        <v>22635025</v>
      </c>
      <c r="F1073" s="52" t="s">
        <v>1136</v>
      </c>
      <c r="G1073" s="25">
        <f t="shared" si="14"/>
        <v>-1.2035991997164319E-2</v>
      </c>
    </row>
    <row r="1074" spans="1:7">
      <c r="A1074" s="52">
        <v>339.79590000000002</v>
      </c>
      <c r="B1074" s="52">
        <v>340.24340000000001</v>
      </c>
      <c r="C1074" s="52">
        <v>322.21230000000003</v>
      </c>
      <c r="D1074" s="52">
        <v>330.67939999999999</v>
      </c>
      <c r="E1074" s="52">
        <v>24681326</v>
      </c>
      <c r="F1074" s="52" t="s">
        <v>1137</v>
      </c>
      <c r="G1074" s="25">
        <f t="shared" si="14"/>
        <v>2.7568998855084459E-2</v>
      </c>
    </row>
    <row r="1075" spans="1:7">
      <c r="A1075" s="52">
        <v>331.91910000000001</v>
      </c>
      <c r="B1075" s="52">
        <v>333.86840000000001</v>
      </c>
      <c r="C1075" s="52">
        <v>325.8623</v>
      </c>
      <c r="D1075" s="52">
        <v>326.26010000000002</v>
      </c>
      <c r="E1075" s="52">
        <v>20461024</v>
      </c>
      <c r="F1075" s="52" t="s">
        <v>1138</v>
      </c>
      <c r="G1075" s="25">
        <f t="shared" si="14"/>
        <v>1.7345056903985467E-2</v>
      </c>
    </row>
    <row r="1076" spans="1:7">
      <c r="A1076" s="52">
        <v>332.66500000000002</v>
      </c>
      <c r="B1076" s="52">
        <v>339.22899999999998</v>
      </c>
      <c r="C1076" s="52">
        <v>327.79169999999999</v>
      </c>
      <c r="D1076" s="52">
        <v>329.14429999999999</v>
      </c>
      <c r="E1076" s="52">
        <v>22948655</v>
      </c>
      <c r="F1076" s="52" t="s">
        <v>1139</v>
      </c>
      <c r="G1076" s="25">
        <f t="shared" si="14"/>
        <v>1.0696524290410014E-2</v>
      </c>
    </row>
    <row r="1077" spans="1:7">
      <c r="A1077" s="52">
        <v>327.95089999999999</v>
      </c>
      <c r="B1077" s="52">
        <v>333.202</v>
      </c>
      <c r="C1077" s="52">
        <v>324.58929999999998</v>
      </c>
      <c r="D1077" s="52">
        <v>330.74059999999997</v>
      </c>
      <c r="E1077" s="52">
        <v>14527969</v>
      </c>
      <c r="F1077" s="52" t="s">
        <v>1140</v>
      </c>
      <c r="G1077" s="25">
        <f t="shared" si="14"/>
        <v>-8.4347068367173206E-3</v>
      </c>
    </row>
    <row r="1078" spans="1:7">
      <c r="A1078" s="52">
        <v>328.02050000000003</v>
      </c>
      <c r="B1078" s="52">
        <v>334.29599999999999</v>
      </c>
      <c r="C1078" s="52">
        <v>326.21039999999999</v>
      </c>
      <c r="D1078" s="52">
        <v>327.74200000000002</v>
      </c>
      <c r="E1078" s="52">
        <v>16879168</v>
      </c>
      <c r="F1078" s="52" t="s">
        <v>1141</v>
      </c>
      <c r="G1078" s="25">
        <f t="shared" si="14"/>
        <v>8.4975376973361882E-4</v>
      </c>
    </row>
    <row r="1079" spans="1:7">
      <c r="A1079" s="52">
        <v>328.75639999999999</v>
      </c>
      <c r="B1079" s="52">
        <v>330.93450000000001</v>
      </c>
      <c r="C1079" s="52">
        <v>321.3073</v>
      </c>
      <c r="D1079" s="52">
        <v>323.22680000000003</v>
      </c>
      <c r="E1079" s="52">
        <v>19937722</v>
      </c>
      <c r="F1079" s="52" t="s">
        <v>1142</v>
      </c>
      <c r="G1079" s="25">
        <f t="shared" si="14"/>
        <v>1.7107492324274887E-2</v>
      </c>
    </row>
    <row r="1080" spans="1:7">
      <c r="A1080" s="52">
        <v>321.0487</v>
      </c>
      <c r="B1080" s="52">
        <v>324.75839999999999</v>
      </c>
      <c r="C1080" s="52">
        <v>319.24860000000001</v>
      </c>
      <c r="D1080" s="52">
        <v>319.81549999999999</v>
      </c>
      <c r="E1080" s="52">
        <v>18794047</v>
      </c>
      <c r="F1080" s="52" t="s">
        <v>1143</v>
      </c>
      <c r="G1080" s="25">
        <f t="shared" si="14"/>
        <v>3.8559732095537758E-3</v>
      </c>
    </row>
    <row r="1081" spans="1:7">
      <c r="A1081" s="52">
        <v>316.13569999999999</v>
      </c>
      <c r="B1081" s="52">
        <v>318.3535</v>
      </c>
      <c r="C1081" s="52">
        <v>304.66860000000003</v>
      </c>
      <c r="D1081" s="52">
        <v>306.44880000000001</v>
      </c>
      <c r="E1081" s="52">
        <v>21758340</v>
      </c>
      <c r="F1081" s="52" t="s">
        <v>1144</v>
      </c>
      <c r="G1081" s="25">
        <f t="shared" si="14"/>
        <v>3.1610174358652987E-2</v>
      </c>
    </row>
    <row r="1082" spans="1:7">
      <c r="A1082" s="52">
        <v>305.16590000000002</v>
      </c>
      <c r="B1082" s="52">
        <v>312.03820000000002</v>
      </c>
      <c r="C1082" s="52">
        <v>297.86590000000001</v>
      </c>
      <c r="D1082" s="52">
        <v>312.01830000000001</v>
      </c>
      <c r="E1082" s="52">
        <v>27471010</v>
      </c>
      <c r="F1082" s="52" t="s">
        <v>1145</v>
      </c>
      <c r="G1082" s="25">
        <f t="shared" si="14"/>
        <v>-2.1961532384478732E-2</v>
      </c>
    </row>
    <row r="1083" spans="1:7">
      <c r="A1083" s="52">
        <v>308.69650000000001</v>
      </c>
      <c r="B1083" s="52">
        <v>312.88350000000003</v>
      </c>
      <c r="C1083" s="52">
        <v>305.52390000000003</v>
      </c>
      <c r="D1083" s="52">
        <v>309.70100000000002</v>
      </c>
      <c r="E1083" s="52">
        <v>24396169</v>
      </c>
      <c r="F1083" s="52" t="s">
        <v>1146</v>
      </c>
      <c r="G1083" s="25">
        <f t="shared" si="14"/>
        <v>-3.2434509413918899E-3</v>
      </c>
    </row>
    <row r="1084" spans="1:7">
      <c r="A1084" s="52">
        <v>308.90530000000001</v>
      </c>
      <c r="B1084" s="52">
        <v>328.6968</v>
      </c>
      <c r="C1084" s="52">
        <v>308.59699999999998</v>
      </c>
      <c r="D1084" s="52">
        <v>328.48790000000002</v>
      </c>
      <c r="E1084" s="52">
        <v>30384083</v>
      </c>
      <c r="F1084" s="52" t="s">
        <v>1147</v>
      </c>
      <c r="G1084" s="25">
        <f t="shared" si="14"/>
        <v>-5.961437240154055E-2</v>
      </c>
    </row>
    <row r="1085" spans="1:7">
      <c r="A1085" s="52">
        <v>322.68970000000002</v>
      </c>
      <c r="B1085" s="52">
        <v>333.9778</v>
      </c>
      <c r="C1085" s="52">
        <v>321.6653</v>
      </c>
      <c r="D1085" s="52">
        <v>333.17219999999998</v>
      </c>
      <c r="E1085" s="52">
        <v>25390008</v>
      </c>
      <c r="F1085" s="52" t="s">
        <v>1148</v>
      </c>
      <c r="G1085" s="25">
        <f t="shared" si="14"/>
        <v>-3.1462709073566075E-2</v>
      </c>
    </row>
    <row r="1086" spans="1:7">
      <c r="A1086" s="52">
        <v>336.1857</v>
      </c>
      <c r="B1086" s="52">
        <v>338.81130000000002</v>
      </c>
      <c r="C1086" s="52">
        <v>333.47550000000001</v>
      </c>
      <c r="D1086" s="52">
        <v>335.05189999999999</v>
      </c>
      <c r="E1086" s="52">
        <v>16650949</v>
      </c>
      <c r="F1086" s="52" t="s">
        <v>1149</v>
      </c>
      <c r="G1086" s="25">
        <f t="shared" si="14"/>
        <v>3.383953351704605E-3</v>
      </c>
    </row>
    <row r="1087" spans="1:7">
      <c r="A1087" s="52">
        <v>331.30250000000001</v>
      </c>
      <c r="B1087" s="52">
        <v>335.90719999999999</v>
      </c>
      <c r="C1087" s="52">
        <v>330.09109999999998</v>
      </c>
      <c r="D1087" s="52">
        <v>333.96289999999999</v>
      </c>
      <c r="E1087" s="52">
        <v>14750737</v>
      </c>
      <c r="F1087" s="52" t="s">
        <v>1150</v>
      </c>
      <c r="G1087" s="25">
        <f t="shared" si="14"/>
        <v>-7.9661543243275679E-3</v>
      </c>
    </row>
    <row r="1088" spans="1:7">
      <c r="A1088" s="52">
        <v>339.19909999999999</v>
      </c>
      <c r="B1088" s="52">
        <v>339.91520000000003</v>
      </c>
      <c r="C1088" s="52">
        <v>330.99419999999998</v>
      </c>
      <c r="D1088" s="52">
        <v>334.16680000000002</v>
      </c>
      <c r="E1088" s="52">
        <v>13566181</v>
      </c>
      <c r="F1088" s="52" t="s">
        <v>1151</v>
      </c>
      <c r="G1088" s="25">
        <f t="shared" si="14"/>
        <v>1.5059245861647419E-2</v>
      </c>
    </row>
    <row r="1089" spans="1:7">
      <c r="A1089" s="52">
        <v>335.40989999999999</v>
      </c>
      <c r="B1089" s="52">
        <v>339.53719999999998</v>
      </c>
      <c r="C1089" s="52">
        <v>331.68040000000002</v>
      </c>
      <c r="D1089" s="52">
        <v>337.08080000000001</v>
      </c>
      <c r="E1089" s="52">
        <v>17224986</v>
      </c>
      <c r="F1089" s="52" t="s">
        <v>1152</v>
      </c>
      <c r="G1089" s="25">
        <f t="shared" si="14"/>
        <v>-4.9569717409001512E-3</v>
      </c>
    </row>
    <row r="1090" spans="1:7">
      <c r="A1090" s="52">
        <v>339.14940000000001</v>
      </c>
      <c r="B1090" s="52">
        <v>351.89949999999999</v>
      </c>
      <c r="C1090" s="52">
        <v>338.65210000000002</v>
      </c>
      <c r="D1090" s="52">
        <v>347.1456</v>
      </c>
      <c r="E1090" s="52">
        <v>27116811</v>
      </c>
      <c r="F1090" s="52" t="s">
        <v>1153</v>
      </c>
      <c r="G1090" s="25">
        <f t="shared" si="14"/>
        <v>-2.3034138989519004E-2</v>
      </c>
    </row>
    <row r="1091" spans="1:7">
      <c r="A1091" s="52">
        <v>343.416</v>
      </c>
      <c r="B1091" s="52">
        <v>350.1789</v>
      </c>
      <c r="C1091" s="52">
        <v>338.0455</v>
      </c>
      <c r="D1091" s="52">
        <v>340.3329</v>
      </c>
      <c r="E1091" s="52">
        <v>26488541</v>
      </c>
      <c r="F1091" s="52" t="s">
        <v>1154</v>
      </c>
      <c r="G1091" s="25">
        <f t="shared" si="14"/>
        <v>9.0590712799145656E-3</v>
      </c>
    </row>
    <row r="1092" spans="1:7">
      <c r="A1092" s="52">
        <v>336.84210000000002</v>
      </c>
      <c r="B1092" s="52">
        <v>340.5915</v>
      </c>
      <c r="C1092" s="52">
        <v>333.47059999999999</v>
      </c>
      <c r="D1092" s="52">
        <v>337.86649999999997</v>
      </c>
      <c r="E1092" s="52">
        <v>17487235</v>
      </c>
      <c r="F1092" s="52" t="s">
        <v>1155</v>
      </c>
      <c r="G1092" s="25">
        <f t="shared" ref="G1092:G1155" si="15">A1092/D1092-1</f>
        <v>-3.0319667679392648E-3</v>
      </c>
    </row>
    <row r="1093" spans="1:7">
      <c r="A1093" s="52">
        <v>338.91070000000002</v>
      </c>
      <c r="B1093" s="52">
        <v>345.4051</v>
      </c>
      <c r="C1093" s="52">
        <v>338.24439999999998</v>
      </c>
      <c r="D1093" s="52">
        <v>342.36180000000002</v>
      </c>
      <c r="E1093" s="52">
        <v>13602812</v>
      </c>
      <c r="F1093" s="52" t="s">
        <v>1156</v>
      </c>
      <c r="G1093" s="25">
        <f t="shared" si="15"/>
        <v>-1.008027180602511E-2</v>
      </c>
    </row>
    <row r="1094" spans="1:7">
      <c r="A1094" s="52">
        <v>341.08879999999999</v>
      </c>
      <c r="B1094" s="52">
        <v>344.7586</v>
      </c>
      <c r="C1094" s="52">
        <v>339.0102</v>
      </c>
      <c r="D1094" s="52">
        <v>341.95400000000001</v>
      </c>
      <c r="E1094" s="52">
        <v>18181106</v>
      </c>
      <c r="F1094" s="52" t="s">
        <v>1157</v>
      </c>
      <c r="G1094" s="25">
        <f t="shared" si="15"/>
        <v>-2.5301648759775697E-3</v>
      </c>
    </row>
    <row r="1095" spans="1:7">
      <c r="A1095" s="52">
        <v>345.66370000000001</v>
      </c>
      <c r="B1095" s="52">
        <v>351.72050000000002</v>
      </c>
      <c r="C1095" s="52">
        <v>341.32749999999999</v>
      </c>
      <c r="D1095" s="52">
        <v>342.46129999999999</v>
      </c>
      <c r="E1095" s="52">
        <v>25076603</v>
      </c>
      <c r="F1095" s="52" t="s">
        <v>1158</v>
      </c>
      <c r="G1095" s="25">
        <f t="shared" si="15"/>
        <v>9.3511296020893919E-3</v>
      </c>
    </row>
    <row r="1096" spans="1:7">
      <c r="A1096" s="52">
        <v>339.0301</v>
      </c>
      <c r="B1096" s="52">
        <v>339.9948</v>
      </c>
      <c r="C1096" s="52">
        <v>327.98070000000001</v>
      </c>
      <c r="D1096" s="52">
        <v>328.37849999999997</v>
      </c>
      <c r="E1096" s="52">
        <v>25414311</v>
      </c>
      <c r="F1096" s="52" t="s">
        <v>1159</v>
      </c>
      <c r="G1096" s="25">
        <f t="shared" si="15"/>
        <v>3.243695917972711E-2</v>
      </c>
    </row>
    <row r="1097" spans="1:7">
      <c r="A1097" s="52">
        <v>325.95179999999999</v>
      </c>
      <c r="B1097" s="52">
        <v>330.64510000000001</v>
      </c>
      <c r="C1097" s="52">
        <v>325.21589999999998</v>
      </c>
      <c r="D1097" s="52">
        <v>328.02050000000003</v>
      </c>
      <c r="E1097" s="52">
        <v>12376563</v>
      </c>
      <c r="F1097" s="52" t="s">
        <v>1160</v>
      </c>
      <c r="G1097" s="25">
        <f t="shared" si="15"/>
        <v>-6.3066180314951259E-3</v>
      </c>
    </row>
    <row r="1098" spans="1:7">
      <c r="A1098" s="52">
        <v>325.85239999999999</v>
      </c>
      <c r="B1098" s="52">
        <v>331.37209999999999</v>
      </c>
      <c r="C1098" s="52">
        <v>323.73399999999998</v>
      </c>
      <c r="D1098" s="52">
        <v>330.67590000000001</v>
      </c>
      <c r="E1098" s="52">
        <v>21872605</v>
      </c>
      <c r="F1098" s="52" t="s">
        <v>1161</v>
      </c>
      <c r="G1098" s="25">
        <f t="shared" si="15"/>
        <v>-1.4586790268054095E-2</v>
      </c>
    </row>
    <row r="1099" spans="1:7">
      <c r="A1099" s="52">
        <v>333.54020000000003</v>
      </c>
      <c r="B1099" s="52">
        <v>339.44529999999997</v>
      </c>
      <c r="C1099" s="52">
        <v>332.64510000000001</v>
      </c>
      <c r="D1099" s="52">
        <v>338.14490000000001</v>
      </c>
      <c r="E1099" s="52">
        <v>17556721</v>
      </c>
      <c r="F1099" s="52" t="s">
        <v>1162</v>
      </c>
      <c r="G1099" s="25">
        <f t="shared" si="15"/>
        <v>-1.3617534967997336E-2</v>
      </c>
    </row>
    <row r="1100" spans="1:7">
      <c r="A1100" s="52">
        <v>336.77249999999998</v>
      </c>
      <c r="B1100" s="52">
        <v>342.90780000000001</v>
      </c>
      <c r="C1100" s="52">
        <v>336.49400000000003</v>
      </c>
      <c r="D1100" s="52">
        <v>342.54079999999999</v>
      </c>
      <c r="E1100" s="52">
        <v>18342458</v>
      </c>
      <c r="F1100" s="52" t="s">
        <v>1163</v>
      </c>
      <c r="G1100" s="25">
        <f t="shared" si="15"/>
        <v>-1.6839745805463213E-2</v>
      </c>
    </row>
    <row r="1101" spans="1:7">
      <c r="A1101" s="52">
        <v>339.2688</v>
      </c>
      <c r="B1101" s="52">
        <v>344.89789999999999</v>
      </c>
      <c r="C1101" s="52">
        <v>337.7869</v>
      </c>
      <c r="D1101" s="52">
        <v>338.45319999999998</v>
      </c>
      <c r="E1101" s="52">
        <v>26872817</v>
      </c>
      <c r="F1101" s="52" t="s">
        <v>1164</v>
      </c>
      <c r="G1101" s="25">
        <f t="shared" si="15"/>
        <v>2.4097866411072477E-3</v>
      </c>
    </row>
    <row r="1102" spans="1:7">
      <c r="A1102" s="52">
        <v>334.01760000000002</v>
      </c>
      <c r="B1102" s="52">
        <v>335.43279999999999</v>
      </c>
      <c r="C1102" s="52">
        <v>330.83499999999998</v>
      </c>
      <c r="D1102" s="52">
        <v>332.1841</v>
      </c>
      <c r="E1102" s="52">
        <v>22495281</v>
      </c>
      <c r="F1102" s="52" t="s">
        <v>1165</v>
      </c>
      <c r="G1102" s="25">
        <f t="shared" si="15"/>
        <v>5.5195296824863682E-3</v>
      </c>
    </row>
    <row r="1103" spans="1:7">
      <c r="A1103" s="52">
        <v>329.8107</v>
      </c>
      <c r="B1103" s="52">
        <v>330.33780000000002</v>
      </c>
      <c r="C1103" s="52">
        <v>321.4366</v>
      </c>
      <c r="D1103" s="52">
        <v>325.70319999999998</v>
      </c>
      <c r="E1103" s="52">
        <v>20786502</v>
      </c>
      <c r="F1103" s="52" t="s">
        <v>1166</v>
      </c>
      <c r="G1103" s="25">
        <f t="shared" si="15"/>
        <v>1.2611174836477002E-2</v>
      </c>
    </row>
    <row r="1104" spans="1:7">
      <c r="A1104" s="52">
        <v>326.29000000000002</v>
      </c>
      <c r="B1104" s="52">
        <v>332.96289999999999</v>
      </c>
      <c r="C1104" s="52">
        <v>322.0333</v>
      </c>
      <c r="D1104" s="52">
        <v>329.572</v>
      </c>
      <c r="E1104" s="52">
        <v>28352966</v>
      </c>
      <c r="F1104" s="52" t="s">
        <v>1167</v>
      </c>
      <c r="G1104" s="25">
        <f t="shared" si="15"/>
        <v>-9.9583702498997617E-3</v>
      </c>
    </row>
    <row r="1105" spans="1:7">
      <c r="A1105" s="52">
        <v>328.17959999999999</v>
      </c>
      <c r="B1105" s="52">
        <v>331.63069999999999</v>
      </c>
      <c r="C1105" s="52">
        <v>324.22129999999999</v>
      </c>
      <c r="D1105" s="52">
        <v>324.2611</v>
      </c>
      <c r="E1105" s="52">
        <v>31518885</v>
      </c>
      <c r="F1105" s="52" t="s">
        <v>1168</v>
      </c>
      <c r="G1105" s="25">
        <f t="shared" si="15"/>
        <v>1.2084397419240167E-2</v>
      </c>
    </row>
    <row r="1106" spans="1:7">
      <c r="A1106" s="52">
        <v>321.80459999999999</v>
      </c>
      <c r="B1106" s="52">
        <v>324.22120000000001</v>
      </c>
      <c r="C1106" s="52">
        <v>317.8562</v>
      </c>
      <c r="D1106" s="52">
        <v>318.44299999999998</v>
      </c>
      <c r="E1106" s="52">
        <v>37059384</v>
      </c>
      <c r="F1106" s="52" t="s">
        <v>1169</v>
      </c>
      <c r="G1106" s="25">
        <f t="shared" si="15"/>
        <v>1.0556363305207039E-2</v>
      </c>
    </row>
    <row r="1107" spans="1:7">
      <c r="A1107" s="52">
        <v>315.1909</v>
      </c>
      <c r="B1107" s="52">
        <v>323.7439</v>
      </c>
      <c r="C1107" s="52">
        <v>306.4289</v>
      </c>
      <c r="D1107" s="52">
        <v>311.28230000000002</v>
      </c>
      <c r="E1107" s="52">
        <v>50806840</v>
      </c>
      <c r="F1107" s="52" t="s">
        <v>1170</v>
      </c>
      <c r="G1107" s="25">
        <f t="shared" si="15"/>
        <v>1.2556447957368544E-2</v>
      </c>
    </row>
    <row r="1108" spans="1:7">
      <c r="A1108" s="52">
        <v>310.51650000000001</v>
      </c>
      <c r="B1108" s="52">
        <v>317.50810000000001</v>
      </c>
      <c r="C1108" s="52">
        <v>310.35739999999998</v>
      </c>
      <c r="D1108" s="52">
        <v>312.47579999999999</v>
      </c>
      <c r="E1108" s="52">
        <v>29971761</v>
      </c>
      <c r="F1108" s="52" t="s">
        <v>1171</v>
      </c>
      <c r="G1108" s="25">
        <f t="shared" si="15"/>
        <v>-6.2702455678167457E-3</v>
      </c>
    </row>
    <row r="1109" spans="1:7">
      <c r="A1109" s="52">
        <v>314.08690000000001</v>
      </c>
      <c r="B1109" s="52">
        <v>328.40820000000002</v>
      </c>
      <c r="C1109" s="52">
        <v>307.91079999999999</v>
      </c>
      <c r="D1109" s="52">
        <v>326.46899999999999</v>
      </c>
      <c r="E1109" s="52">
        <v>65654043</v>
      </c>
      <c r="F1109" s="52" t="s">
        <v>1172</v>
      </c>
      <c r="G1109" s="25">
        <f t="shared" si="15"/>
        <v>-3.7927337664525496E-2</v>
      </c>
    </row>
    <row r="1110" spans="1:7">
      <c r="A1110" s="52">
        <v>326.89659999999998</v>
      </c>
      <c r="B1110" s="52">
        <v>327.76190000000003</v>
      </c>
      <c r="C1110" s="52">
        <v>317.97559999999999</v>
      </c>
      <c r="D1110" s="52">
        <v>318.55239999999998</v>
      </c>
      <c r="E1110" s="52">
        <v>38408957</v>
      </c>
      <c r="F1110" s="52" t="s">
        <v>1173</v>
      </c>
      <c r="G1110" s="25">
        <f t="shared" si="15"/>
        <v>2.6194120653305397E-2</v>
      </c>
    </row>
    <row r="1111" spans="1:7">
      <c r="A1111" s="52">
        <v>322.83890000000002</v>
      </c>
      <c r="B1111" s="52">
        <v>327.83150000000001</v>
      </c>
      <c r="C1111" s="52">
        <v>319.358</v>
      </c>
      <c r="D1111" s="52">
        <v>324.56439999999998</v>
      </c>
      <c r="E1111" s="52">
        <v>35224543</v>
      </c>
      <c r="F1111" s="52" t="s">
        <v>1174</v>
      </c>
      <c r="G1111" s="25">
        <f t="shared" si="15"/>
        <v>-5.3163563225047117E-3</v>
      </c>
    </row>
    <row r="1112" spans="1:7">
      <c r="A1112" s="52">
        <v>340.0147</v>
      </c>
      <c r="B1112" s="52">
        <v>340.44229999999999</v>
      </c>
      <c r="C1112" s="52">
        <v>335.95690000000002</v>
      </c>
      <c r="D1112" s="52">
        <v>338.41840000000002</v>
      </c>
      <c r="E1112" s="52">
        <v>16354423</v>
      </c>
      <c r="F1112" s="52" t="s">
        <v>1175</v>
      </c>
      <c r="G1112" s="25">
        <f t="shared" si="15"/>
        <v>4.7169421048027793E-3</v>
      </c>
    </row>
    <row r="1113" spans="1:7">
      <c r="A1113" s="52">
        <v>338.92070000000001</v>
      </c>
      <c r="B1113" s="52">
        <v>342.10320000000002</v>
      </c>
      <c r="C1113" s="52">
        <v>337.601</v>
      </c>
      <c r="D1113" s="52">
        <v>341.5711</v>
      </c>
      <c r="E1113" s="52">
        <v>13639465</v>
      </c>
      <c r="F1113" s="52" t="s">
        <v>1176</v>
      </c>
      <c r="G1113" s="25">
        <f t="shared" si="15"/>
        <v>-7.7594386644537217E-3</v>
      </c>
    </row>
    <row r="1114" spans="1:7">
      <c r="A1114" s="52">
        <v>338.13499999999999</v>
      </c>
      <c r="B1114" s="52">
        <v>340.5915</v>
      </c>
      <c r="C1114" s="52">
        <v>335.43979999999999</v>
      </c>
      <c r="D1114" s="52">
        <v>337.7919</v>
      </c>
      <c r="E1114" s="52">
        <v>18786316</v>
      </c>
      <c r="F1114" s="52" t="s">
        <v>1177</v>
      </c>
      <c r="G1114" s="25">
        <f t="shared" si="15"/>
        <v>1.0157141127422609E-3</v>
      </c>
    </row>
    <row r="1115" spans="1:7">
      <c r="A1115" s="52">
        <v>333.5104</v>
      </c>
      <c r="B1115" s="52">
        <v>334.05739999999997</v>
      </c>
      <c r="C1115" s="52">
        <v>325.7131</v>
      </c>
      <c r="D1115" s="52">
        <v>327.15519999999998</v>
      </c>
      <c r="E1115" s="52">
        <v>21585018</v>
      </c>
      <c r="F1115" s="52" t="s">
        <v>1178</v>
      </c>
      <c r="G1115" s="25">
        <f t="shared" si="15"/>
        <v>1.9425642630775952E-2</v>
      </c>
    </row>
    <row r="1116" spans="1:7">
      <c r="A1116" s="52">
        <v>322.98809999999997</v>
      </c>
      <c r="B1116" s="52">
        <v>327.27460000000002</v>
      </c>
      <c r="C1116" s="52">
        <v>320.75040000000001</v>
      </c>
      <c r="D1116" s="52">
        <v>326.88670000000002</v>
      </c>
      <c r="E1116" s="52">
        <v>21596370</v>
      </c>
      <c r="F1116" s="52" t="s">
        <v>1179</v>
      </c>
      <c r="G1116" s="25">
        <f t="shared" si="15"/>
        <v>-1.1926456475592428E-2</v>
      </c>
    </row>
    <row r="1117" spans="1:7">
      <c r="A1117" s="52">
        <v>326.73750000000001</v>
      </c>
      <c r="B1117" s="52">
        <v>328.7167</v>
      </c>
      <c r="C1117" s="52">
        <v>325.31529999999998</v>
      </c>
      <c r="D1117" s="52">
        <v>326.56349999999998</v>
      </c>
      <c r="E1117" s="52">
        <v>14302154</v>
      </c>
      <c r="F1117" s="52" t="s">
        <v>1180</v>
      </c>
      <c r="G1117" s="25">
        <f t="shared" si="15"/>
        <v>5.32821334901179E-4</v>
      </c>
    </row>
    <row r="1118" spans="1:7">
      <c r="A1118" s="52">
        <v>322.76929999999999</v>
      </c>
      <c r="B1118" s="52">
        <v>325.21589999999998</v>
      </c>
      <c r="C1118" s="52">
        <v>320.89949999999999</v>
      </c>
      <c r="D1118" s="52">
        <v>325.18599999999998</v>
      </c>
      <c r="E1118" s="52">
        <v>14761470</v>
      </c>
      <c r="F1118" s="52" t="s">
        <v>1181</v>
      </c>
      <c r="G1118" s="25">
        <f t="shared" si="15"/>
        <v>-7.4317467541652471E-3</v>
      </c>
    </row>
    <row r="1119" spans="1:7">
      <c r="A1119" s="52">
        <v>322.00349999999997</v>
      </c>
      <c r="B1119" s="52">
        <v>322.61020000000002</v>
      </c>
      <c r="C1119" s="52">
        <v>315.63839999999999</v>
      </c>
      <c r="D1119" s="52">
        <v>321.26749999999998</v>
      </c>
      <c r="E1119" s="52">
        <v>31658684</v>
      </c>
      <c r="F1119" s="52" t="s">
        <v>1182</v>
      </c>
      <c r="G1119" s="25">
        <f t="shared" si="15"/>
        <v>2.2909257861438714E-3</v>
      </c>
    </row>
    <row r="1120" spans="1:7">
      <c r="A1120" s="52">
        <v>323.67430000000002</v>
      </c>
      <c r="B1120" s="52">
        <v>328.65699999999998</v>
      </c>
      <c r="C1120" s="52">
        <v>323.5351</v>
      </c>
      <c r="D1120" s="52">
        <v>325.83749999999998</v>
      </c>
      <c r="E1120" s="52">
        <v>14708224</v>
      </c>
      <c r="F1120" s="52" t="s">
        <v>1183</v>
      </c>
      <c r="G1120" s="25">
        <f t="shared" si="15"/>
        <v>-6.6388920857788358E-3</v>
      </c>
    </row>
    <row r="1121" spans="1:7">
      <c r="A1121" s="52">
        <v>328.24919999999997</v>
      </c>
      <c r="B1121" s="52">
        <v>331.58089999999999</v>
      </c>
      <c r="C1121" s="52">
        <v>326.91649999999998</v>
      </c>
      <c r="D1121" s="52">
        <v>329.7013</v>
      </c>
      <c r="E1121" s="52">
        <v>15946110</v>
      </c>
      <c r="F1121" s="52" t="s">
        <v>1184</v>
      </c>
      <c r="G1121" s="25">
        <f t="shared" si="15"/>
        <v>-4.4042895796893022E-3</v>
      </c>
    </row>
    <row r="1122" spans="1:7">
      <c r="A1122" s="52">
        <v>327.4237</v>
      </c>
      <c r="B1122" s="52">
        <v>336.99130000000002</v>
      </c>
      <c r="C1122" s="52">
        <v>327.18509999999998</v>
      </c>
      <c r="D1122" s="52">
        <v>335.16129999999998</v>
      </c>
      <c r="E1122" s="52">
        <v>28307456</v>
      </c>
      <c r="F1122" s="52" t="s">
        <v>1185</v>
      </c>
      <c r="G1122" s="25">
        <f t="shared" si="15"/>
        <v>-2.3086197600975966E-2</v>
      </c>
    </row>
    <row r="1123" spans="1:7">
      <c r="A1123" s="52">
        <v>331.81959999999998</v>
      </c>
      <c r="B1123" s="52">
        <v>332.55560000000003</v>
      </c>
      <c r="C1123" s="52">
        <v>324.0224</v>
      </c>
      <c r="D1123" s="52">
        <v>327.9409</v>
      </c>
      <c r="E1123" s="52">
        <v>26443010</v>
      </c>
      <c r="F1123" s="52" t="s">
        <v>1186</v>
      </c>
      <c r="G1123" s="25">
        <f t="shared" si="15"/>
        <v>1.1827435980080514E-2</v>
      </c>
    </row>
    <row r="1124" spans="1:7">
      <c r="A1124" s="52">
        <v>331.14330000000001</v>
      </c>
      <c r="B1124" s="52">
        <v>333.35120000000001</v>
      </c>
      <c r="C1124" s="52">
        <v>324.38420000000002</v>
      </c>
      <c r="D1124" s="52">
        <v>326.78719999999998</v>
      </c>
      <c r="E1124" s="52">
        <v>35377947</v>
      </c>
      <c r="F1124" s="52" t="s">
        <v>1187</v>
      </c>
      <c r="G1124" s="25">
        <f t="shared" si="15"/>
        <v>1.3330081471979449E-2</v>
      </c>
    </row>
    <row r="1125" spans="1:7">
      <c r="A1125" s="52">
        <v>324.45010000000002</v>
      </c>
      <c r="B1125" s="52">
        <v>334.1071</v>
      </c>
      <c r="C1125" s="52">
        <v>320.9393</v>
      </c>
      <c r="D1125" s="52">
        <v>333.69929999999999</v>
      </c>
      <c r="E1125" s="52">
        <v>42884975</v>
      </c>
      <c r="F1125" s="52" t="s">
        <v>1188</v>
      </c>
      <c r="G1125" s="25">
        <f t="shared" si="15"/>
        <v>-2.7717169319803725E-2</v>
      </c>
    </row>
    <row r="1126" spans="1:7">
      <c r="A1126" s="52">
        <v>341.13850000000002</v>
      </c>
      <c r="B1126" s="52">
        <v>343.13749999999999</v>
      </c>
      <c r="C1126" s="52">
        <v>336.79239999999999</v>
      </c>
      <c r="D1126" s="52">
        <v>339.74610000000001</v>
      </c>
      <c r="E1126" s="52">
        <v>14905311</v>
      </c>
      <c r="F1126" s="52" t="s">
        <v>1189</v>
      </c>
      <c r="G1126" s="25">
        <f t="shared" si="15"/>
        <v>4.0983546242325808E-3</v>
      </c>
    </row>
    <row r="1127" spans="1:7">
      <c r="A1127" s="52">
        <v>337.53829999999999</v>
      </c>
      <c r="B1127" s="52">
        <v>340.92970000000003</v>
      </c>
      <c r="C1127" s="52">
        <v>336.30500000000001</v>
      </c>
      <c r="D1127" s="52">
        <v>338.58749999999998</v>
      </c>
      <c r="E1127" s="52">
        <v>16547094</v>
      </c>
      <c r="F1127" s="52" t="s">
        <v>1190</v>
      </c>
      <c r="G1127" s="25">
        <f t="shared" si="15"/>
        <v>-3.0987558607449284E-3</v>
      </c>
    </row>
    <row r="1128" spans="1:7">
      <c r="A1128" s="52">
        <v>337.75709999999998</v>
      </c>
      <c r="B1128" s="52">
        <v>343.34640000000002</v>
      </c>
      <c r="C1128" s="52">
        <v>337.03100000000001</v>
      </c>
      <c r="D1128" s="52">
        <v>341.27769999999998</v>
      </c>
      <c r="E1128" s="52">
        <v>14452241</v>
      </c>
      <c r="F1128" s="52" t="s">
        <v>1191</v>
      </c>
      <c r="G1128" s="25">
        <f t="shared" si="15"/>
        <v>-1.0315939189697976E-2</v>
      </c>
    </row>
    <row r="1129" spans="1:7">
      <c r="A1129" s="52">
        <v>338.79140000000001</v>
      </c>
      <c r="B1129" s="52">
        <v>347.69260000000003</v>
      </c>
      <c r="C1129" s="52">
        <v>337.07080000000002</v>
      </c>
      <c r="D1129" s="52">
        <v>346.07139999999998</v>
      </c>
      <c r="E1129" s="52">
        <v>21710286</v>
      </c>
      <c r="F1129" s="52" t="s">
        <v>1192</v>
      </c>
      <c r="G1129" s="25">
        <f t="shared" si="15"/>
        <v>-2.1036121447770562E-2</v>
      </c>
    </row>
    <row r="1130" spans="1:7">
      <c r="A1130" s="52">
        <v>351.6508</v>
      </c>
      <c r="B1130" s="52">
        <v>353.21230000000003</v>
      </c>
      <c r="C1130" s="52">
        <v>345.18630000000002</v>
      </c>
      <c r="D1130" s="52">
        <v>347.89640000000003</v>
      </c>
      <c r="E1130" s="52">
        <v>15205843</v>
      </c>
      <c r="F1130" s="52" t="s">
        <v>1193</v>
      </c>
      <c r="G1130" s="25">
        <f t="shared" si="15"/>
        <v>1.0791718454114418E-2</v>
      </c>
    </row>
    <row r="1131" spans="1:7">
      <c r="A1131" s="52">
        <v>351.0342</v>
      </c>
      <c r="B1131" s="52">
        <v>352.41660000000002</v>
      </c>
      <c r="C1131" s="52">
        <v>340.50200000000001</v>
      </c>
      <c r="D1131" s="52">
        <v>341.36599999999999</v>
      </c>
      <c r="E1131" s="52">
        <v>18801933</v>
      </c>
      <c r="F1131" s="52" t="s">
        <v>1194</v>
      </c>
      <c r="G1131" s="25">
        <f t="shared" si="15"/>
        <v>2.8322094174580981E-2</v>
      </c>
    </row>
    <row r="1132" spans="1:7">
      <c r="A1132" s="52">
        <v>344.07240000000002</v>
      </c>
      <c r="B1132" s="52">
        <v>347.76220000000001</v>
      </c>
      <c r="C1132" s="52">
        <v>341.12860000000001</v>
      </c>
      <c r="D1132" s="52">
        <v>343.47070000000002</v>
      </c>
      <c r="E1132" s="52">
        <v>21806264</v>
      </c>
      <c r="F1132" s="52" t="s">
        <v>1195</v>
      </c>
      <c r="G1132" s="25">
        <f t="shared" si="15"/>
        <v>1.7518233724156396E-3</v>
      </c>
    </row>
    <row r="1133" spans="1:7">
      <c r="A1133" s="52">
        <v>341.3374</v>
      </c>
      <c r="B1133" s="52">
        <v>347.93119999999999</v>
      </c>
      <c r="C1133" s="52">
        <v>338.8313</v>
      </c>
      <c r="D1133" s="52">
        <v>345.33550000000002</v>
      </c>
      <c r="E1133" s="52">
        <v>43692859</v>
      </c>
      <c r="F1133" s="52" t="s">
        <v>1196</v>
      </c>
      <c r="G1133" s="25">
        <f t="shared" si="15"/>
        <v>-1.1577437014150038E-2</v>
      </c>
    </row>
    <row r="1134" spans="1:7">
      <c r="A1134" s="52">
        <v>355.52960000000002</v>
      </c>
      <c r="B1134" s="52">
        <v>358.07560000000001</v>
      </c>
      <c r="C1134" s="52">
        <v>353.25209999999998</v>
      </c>
      <c r="D1134" s="52">
        <v>356.54399999999998</v>
      </c>
      <c r="E1134" s="52">
        <v>11751917</v>
      </c>
      <c r="F1134" s="52" t="s">
        <v>1197</v>
      </c>
      <c r="G1134" s="25">
        <f t="shared" si="15"/>
        <v>-2.8450906479984273E-3</v>
      </c>
    </row>
    <row r="1135" spans="1:7">
      <c r="A1135" s="52">
        <v>353.7593</v>
      </c>
      <c r="B1135" s="52">
        <v>359.06020000000001</v>
      </c>
      <c r="C1135" s="52">
        <v>347.89150000000001</v>
      </c>
      <c r="D1135" s="52">
        <v>357.33960000000002</v>
      </c>
      <c r="E1135" s="52">
        <v>19822772</v>
      </c>
      <c r="F1135" s="52" t="s">
        <v>1198</v>
      </c>
      <c r="G1135" s="25">
        <f t="shared" si="15"/>
        <v>-1.0019320556691746E-2</v>
      </c>
    </row>
    <row r="1136" spans="1:7">
      <c r="A1136" s="52">
        <v>362.73009999999999</v>
      </c>
      <c r="B1136" s="52">
        <v>369.3836</v>
      </c>
      <c r="C1136" s="52">
        <v>359.61709999999999</v>
      </c>
      <c r="D1136" s="52">
        <v>369.37860000000001</v>
      </c>
      <c r="E1136" s="52">
        <v>26298966</v>
      </c>
      <c r="F1136" s="52" t="s">
        <v>1199</v>
      </c>
      <c r="G1136" s="25">
        <f t="shared" si="15"/>
        <v>-1.7999147757883138E-2</v>
      </c>
    </row>
    <row r="1137" spans="1:7">
      <c r="A1137" s="52">
        <v>371.02460000000002</v>
      </c>
      <c r="B1137" s="52">
        <v>371.52179999999998</v>
      </c>
      <c r="C1137" s="52">
        <v>367.69279999999998</v>
      </c>
      <c r="D1137" s="52">
        <v>370.75599999999997</v>
      </c>
      <c r="E1137" s="52">
        <v>11934217</v>
      </c>
      <c r="F1137" s="52" t="s">
        <v>1200</v>
      </c>
      <c r="G1137" s="25">
        <f t="shared" si="15"/>
        <v>7.2446568632744679E-4</v>
      </c>
    </row>
    <row r="1138" spans="1:7">
      <c r="A1138" s="52">
        <v>371.87990000000002</v>
      </c>
      <c r="B1138" s="52">
        <v>375.495</v>
      </c>
      <c r="C1138" s="52">
        <v>365.66399999999999</v>
      </c>
      <c r="D1138" s="52">
        <v>374.94310000000002</v>
      </c>
      <c r="E1138" s="52">
        <v>17940297</v>
      </c>
      <c r="F1138" s="52" t="s">
        <v>1201</v>
      </c>
      <c r="G1138" s="25">
        <f t="shared" si="15"/>
        <v>-8.1697729602171476E-3</v>
      </c>
    </row>
    <row r="1139" spans="1:7">
      <c r="A1139" s="52">
        <v>374.47559999999999</v>
      </c>
      <c r="B1139" s="52">
        <v>376.52440000000001</v>
      </c>
      <c r="C1139" s="52">
        <v>373.0634</v>
      </c>
      <c r="D1139" s="52">
        <v>375.34089999999998</v>
      </c>
      <c r="E1139" s="52">
        <v>8711569</v>
      </c>
      <c r="F1139" s="52" t="s">
        <v>1202</v>
      </c>
      <c r="G1139" s="25">
        <f t="shared" si="15"/>
        <v>-2.3053709307991888E-3</v>
      </c>
    </row>
    <row r="1140" spans="1:7">
      <c r="A1140" s="52">
        <v>374.45569999999998</v>
      </c>
      <c r="B1140" s="52">
        <v>379.6671</v>
      </c>
      <c r="C1140" s="52">
        <v>372.30259999999998</v>
      </c>
      <c r="D1140" s="52">
        <v>379.59750000000003</v>
      </c>
      <c r="E1140" s="52">
        <v>13026275</v>
      </c>
      <c r="F1140" s="52" t="s">
        <v>1203</v>
      </c>
      <c r="G1140" s="25">
        <f t="shared" si="15"/>
        <v>-1.3545400061907853E-2</v>
      </c>
    </row>
    <row r="1141" spans="1:7">
      <c r="A1141" s="52">
        <v>376.62380000000002</v>
      </c>
      <c r="B1141" s="52">
        <v>381.69600000000003</v>
      </c>
      <c r="C1141" s="52">
        <v>376.19619999999998</v>
      </c>
      <c r="D1141" s="52">
        <v>379.28030000000001</v>
      </c>
      <c r="E1141" s="52">
        <v>11549595</v>
      </c>
      <c r="F1141" s="52" t="s">
        <v>1204</v>
      </c>
      <c r="G1141" s="25">
        <f t="shared" si="15"/>
        <v>-7.0040547848121415E-3</v>
      </c>
    </row>
    <row r="1142" spans="1:7">
      <c r="A1142" s="52">
        <v>375.93759999999997</v>
      </c>
      <c r="B1142" s="52">
        <v>377.75760000000002</v>
      </c>
      <c r="C1142" s="52">
        <v>374.5104</v>
      </c>
      <c r="D1142" s="52">
        <v>375.57960000000003</v>
      </c>
      <c r="E1142" s="52">
        <v>9098941</v>
      </c>
      <c r="F1142" s="52" t="s">
        <v>1205</v>
      </c>
      <c r="G1142" s="25">
        <f t="shared" si="15"/>
        <v>9.5319341093058618E-4</v>
      </c>
    </row>
    <row r="1143" spans="1:7">
      <c r="A1143" s="52">
        <v>375.50990000000002</v>
      </c>
      <c r="B1143" s="52">
        <v>378.7919</v>
      </c>
      <c r="C1143" s="52">
        <v>372.74509999999998</v>
      </c>
      <c r="D1143" s="52">
        <v>378.08580000000001</v>
      </c>
      <c r="E1143" s="52">
        <v>11067166</v>
      </c>
      <c r="F1143" s="52" t="s">
        <v>1206</v>
      </c>
      <c r="G1143" s="25">
        <f t="shared" si="15"/>
        <v>-6.8130038208258359E-3</v>
      </c>
    </row>
    <row r="1144" spans="1:7">
      <c r="A1144" s="52">
        <v>380.09480000000002</v>
      </c>
      <c r="B1144" s="52">
        <v>380.87049999999999</v>
      </c>
      <c r="C1144" s="52">
        <v>371.11410000000001</v>
      </c>
      <c r="D1144" s="52">
        <v>373.82920000000001</v>
      </c>
      <c r="E1144" s="52">
        <v>10798920</v>
      </c>
      <c r="F1144" s="52" t="s">
        <v>1207</v>
      </c>
      <c r="G1144" s="25">
        <f t="shared" si="15"/>
        <v>1.6760595480502793E-2</v>
      </c>
    </row>
    <row r="1145" spans="1:7">
      <c r="A1145" s="52">
        <v>374.20710000000003</v>
      </c>
      <c r="B1145" s="52">
        <v>375.10219999999998</v>
      </c>
      <c r="C1145" s="52">
        <v>371.07429999999999</v>
      </c>
      <c r="D1145" s="52">
        <v>372.70530000000002</v>
      </c>
      <c r="E1145" s="52">
        <v>7511356</v>
      </c>
      <c r="F1145" s="52" t="s">
        <v>1208</v>
      </c>
      <c r="G1145" s="25">
        <f t="shared" si="15"/>
        <v>4.0294570536023588E-3</v>
      </c>
    </row>
    <row r="1146" spans="1:7">
      <c r="A1146" s="52">
        <v>373.23239999999998</v>
      </c>
      <c r="B1146" s="52">
        <v>379.6671</v>
      </c>
      <c r="C1146" s="52">
        <v>372.01909999999998</v>
      </c>
      <c r="D1146" s="52">
        <v>379.41849999999999</v>
      </c>
      <c r="E1146" s="52">
        <v>14838274</v>
      </c>
      <c r="F1146" s="52" t="s">
        <v>1209</v>
      </c>
      <c r="G1146" s="25">
        <f t="shared" si="15"/>
        <v>-1.6304160181962679E-2</v>
      </c>
    </row>
    <row r="1147" spans="1:7">
      <c r="A1147" s="52">
        <v>379.96550000000002</v>
      </c>
      <c r="B1147" s="52">
        <v>382.23309999999998</v>
      </c>
      <c r="C1147" s="52">
        <v>376.7432</v>
      </c>
      <c r="D1147" s="52">
        <v>377.51889999999997</v>
      </c>
      <c r="E1147" s="52">
        <v>11567163</v>
      </c>
      <c r="F1147" s="52" t="s">
        <v>1210</v>
      </c>
      <c r="G1147" s="25">
        <f t="shared" si="15"/>
        <v>6.4807351367044408E-3</v>
      </c>
    </row>
    <row r="1148" spans="1:7">
      <c r="A1148" s="52">
        <v>377.31009999999998</v>
      </c>
      <c r="B1148" s="52">
        <v>380.67059999999998</v>
      </c>
      <c r="C1148" s="52">
        <v>376.73320000000001</v>
      </c>
      <c r="D1148" s="52">
        <v>377.87700000000001</v>
      </c>
      <c r="E1148" s="52">
        <v>12345350</v>
      </c>
      <c r="F1148" s="52" t="s">
        <v>1211</v>
      </c>
      <c r="G1148" s="25">
        <f t="shared" si="15"/>
        <v>-1.5002236177381612E-3</v>
      </c>
    </row>
    <row r="1149" spans="1:7">
      <c r="A1149" s="52">
        <v>378.5831</v>
      </c>
      <c r="B1149" s="52">
        <v>379.40859999999998</v>
      </c>
      <c r="C1149" s="52">
        <v>368.4984</v>
      </c>
      <c r="D1149" s="52">
        <v>370.52730000000003</v>
      </c>
      <c r="E1149" s="52">
        <v>13547261</v>
      </c>
      <c r="F1149" s="52" t="s">
        <v>1212</v>
      </c>
      <c r="G1149" s="25">
        <f t="shared" si="15"/>
        <v>2.1741447931097113E-2</v>
      </c>
    </row>
    <row r="1150" spans="1:7">
      <c r="A1150" s="52">
        <v>370.59690000000001</v>
      </c>
      <c r="B1150" s="52">
        <v>371.70080000000002</v>
      </c>
      <c r="C1150" s="52">
        <v>362.09350000000001</v>
      </c>
      <c r="D1150" s="52">
        <v>363.108</v>
      </c>
      <c r="E1150" s="52">
        <v>11219142</v>
      </c>
      <c r="F1150" s="52" t="s">
        <v>1213</v>
      </c>
      <c r="G1150" s="25">
        <f t="shared" si="15"/>
        <v>2.06244423146833E-2</v>
      </c>
    </row>
    <row r="1151" spans="1:7">
      <c r="A1151" s="52">
        <v>362.39190000000002</v>
      </c>
      <c r="B1151" s="52">
        <v>367.42430000000002</v>
      </c>
      <c r="C1151" s="52">
        <v>362.14330000000001</v>
      </c>
      <c r="D1151" s="52">
        <v>366.36509999999998</v>
      </c>
      <c r="E1151" s="52">
        <v>7888683</v>
      </c>
      <c r="F1151" s="52" t="s">
        <v>1214</v>
      </c>
      <c r="G1151" s="25">
        <f t="shared" si="15"/>
        <v>-1.0844919453299351E-2</v>
      </c>
    </row>
    <row r="1152" spans="1:7">
      <c r="A1152" s="52">
        <v>366.38</v>
      </c>
      <c r="B1152" s="52">
        <v>368.83659999999998</v>
      </c>
      <c r="C1152" s="52">
        <v>363.40629999999999</v>
      </c>
      <c r="D1152" s="52">
        <v>363.6053</v>
      </c>
      <c r="E1152" s="52">
        <v>9684519</v>
      </c>
      <c r="F1152" s="52" t="s">
        <v>1215</v>
      </c>
      <c r="G1152" s="25">
        <f t="shared" si="15"/>
        <v>7.63107688474296E-3</v>
      </c>
    </row>
    <row r="1153" spans="1:7">
      <c r="A1153" s="52">
        <v>363.51569999999998</v>
      </c>
      <c r="B1153" s="52">
        <v>365.94830000000002</v>
      </c>
      <c r="C1153" s="52">
        <v>359.86579999999998</v>
      </c>
      <c r="D1153" s="52">
        <v>361.67579999999998</v>
      </c>
      <c r="E1153" s="52">
        <v>9235148</v>
      </c>
      <c r="F1153" s="52" t="s">
        <v>1216</v>
      </c>
      <c r="G1153" s="25">
        <f t="shared" si="15"/>
        <v>5.0871526378044596E-3</v>
      </c>
    </row>
    <row r="1154" spans="1:7">
      <c r="A1154" s="52">
        <v>361.36750000000001</v>
      </c>
      <c r="B1154" s="52">
        <v>363.69479999999999</v>
      </c>
      <c r="C1154" s="52">
        <v>357.14069999999998</v>
      </c>
      <c r="D1154" s="52">
        <v>357.47890000000001</v>
      </c>
      <c r="E1154" s="52">
        <v>10942007</v>
      </c>
      <c r="F1154" s="52" t="s">
        <v>1217</v>
      </c>
      <c r="G1154" s="25">
        <f t="shared" si="15"/>
        <v>1.0877844818253601E-2</v>
      </c>
    </row>
    <row r="1155" spans="1:7">
      <c r="A1155" s="52">
        <v>357.4092</v>
      </c>
      <c r="B1155" s="52">
        <v>358.02569999999997</v>
      </c>
      <c r="C1155" s="52">
        <v>351.38229999999999</v>
      </c>
      <c r="D1155" s="52">
        <v>352.6653</v>
      </c>
      <c r="E1155" s="52">
        <v>8697667</v>
      </c>
      <c r="F1155" s="52" t="s">
        <v>1218</v>
      </c>
      <c r="G1155" s="25">
        <f t="shared" si="15"/>
        <v>1.3451564415325246E-2</v>
      </c>
    </row>
    <row r="1156" spans="1:7">
      <c r="A1156" s="52">
        <v>353.18239999999997</v>
      </c>
      <c r="B1156" s="52">
        <v>355.6191</v>
      </c>
      <c r="C1156" s="52">
        <v>349.0849</v>
      </c>
      <c r="D1156" s="52">
        <v>349.428</v>
      </c>
      <c r="E1156" s="52">
        <v>12004535</v>
      </c>
      <c r="F1156" s="52" t="s">
        <v>1219</v>
      </c>
      <c r="G1156" s="25">
        <f t="shared" ref="G1156:G1219" si="16">A1156/D1156-1</f>
        <v>1.074441658939751E-2</v>
      </c>
    </row>
    <row r="1157" spans="1:7">
      <c r="A1157" s="52">
        <v>353.51060000000001</v>
      </c>
      <c r="B1157" s="52">
        <v>357.89659999999998</v>
      </c>
      <c r="C1157" s="52">
        <v>353.21230000000003</v>
      </c>
      <c r="D1157" s="52">
        <v>354.30630000000002</v>
      </c>
      <c r="E1157" s="52">
        <v>10042381</v>
      </c>
      <c r="F1157" s="52" t="s">
        <v>1220</v>
      </c>
      <c r="G1157" s="25">
        <f t="shared" si="16"/>
        <v>-2.2457969276865608E-3</v>
      </c>
    </row>
    <row r="1158" spans="1:7">
      <c r="A1158" s="52">
        <v>356.49430000000001</v>
      </c>
      <c r="B1158" s="52">
        <v>362.68029999999999</v>
      </c>
      <c r="C1158" s="52">
        <v>353.1327</v>
      </c>
      <c r="D1158" s="52">
        <v>360.99959999999999</v>
      </c>
      <c r="E1158" s="52">
        <v>12328737</v>
      </c>
      <c r="F1158" s="52" t="s">
        <v>1221</v>
      </c>
      <c r="G1158" s="25">
        <f t="shared" si="16"/>
        <v>-1.2480069229993562E-2</v>
      </c>
    </row>
    <row r="1159" spans="1:7">
      <c r="A1159" s="52">
        <v>364.56</v>
      </c>
      <c r="B1159" s="52">
        <v>364.9479</v>
      </c>
      <c r="C1159" s="52">
        <v>355.43009999999998</v>
      </c>
      <c r="D1159" s="52">
        <v>360.5421</v>
      </c>
      <c r="E1159" s="52">
        <v>11232269</v>
      </c>
      <c r="F1159" s="52" t="s">
        <v>1222</v>
      </c>
      <c r="G1159" s="25">
        <f t="shared" si="16"/>
        <v>1.1144052247989977E-2</v>
      </c>
    </row>
    <row r="1160" spans="1:7">
      <c r="A1160" s="52">
        <v>361.19850000000002</v>
      </c>
      <c r="B1160" s="52">
        <v>362.67110000000002</v>
      </c>
      <c r="C1160" s="52">
        <v>359.5077</v>
      </c>
      <c r="D1160" s="52">
        <v>360.9896</v>
      </c>
      <c r="E1160" s="52">
        <v>7195724</v>
      </c>
      <c r="F1160" s="52" t="s">
        <v>1223</v>
      </c>
      <c r="G1160" s="25">
        <f t="shared" si="16"/>
        <v>5.786870314270498E-4</v>
      </c>
    </row>
    <row r="1161" spans="1:7">
      <c r="A1161" s="52">
        <v>360.67140000000001</v>
      </c>
      <c r="B1161" s="52">
        <v>361.01940000000002</v>
      </c>
      <c r="C1161" s="52">
        <v>355.16160000000002</v>
      </c>
      <c r="D1161" s="52">
        <v>356.49430000000001</v>
      </c>
      <c r="E1161" s="52">
        <v>7175206</v>
      </c>
      <c r="F1161" s="52" t="s">
        <v>1224</v>
      </c>
      <c r="G1161" s="25">
        <f t="shared" si="16"/>
        <v>1.1717157890041907E-2</v>
      </c>
    </row>
    <row r="1162" spans="1:7">
      <c r="A1162" s="52">
        <v>357.99599999999998</v>
      </c>
      <c r="B1162" s="52">
        <v>360.38290000000001</v>
      </c>
      <c r="C1162" s="52">
        <v>355.8578</v>
      </c>
      <c r="D1162" s="52">
        <v>360.12439999999998</v>
      </c>
      <c r="E1162" s="52">
        <v>8400332</v>
      </c>
      <c r="F1162" s="52" t="s">
        <v>1225</v>
      </c>
      <c r="G1162" s="25">
        <f t="shared" si="16"/>
        <v>-5.9101799267141653E-3</v>
      </c>
    </row>
    <row r="1163" spans="1:7">
      <c r="A1163" s="52">
        <v>359.15960000000001</v>
      </c>
      <c r="B1163" s="52">
        <v>362.11340000000001</v>
      </c>
      <c r="C1163" s="52">
        <v>357.08449999999999</v>
      </c>
      <c r="D1163" s="52">
        <v>359.85090000000002</v>
      </c>
      <c r="E1163" s="52">
        <v>7469878</v>
      </c>
      <c r="F1163" s="52" t="s">
        <v>1226</v>
      </c>
      <c r="G1163" s="25">
        <f t="shared" si="16"/>
        <v>-1.9210734223535919E-3</v>
      </c>
    </row>
    <row r="1164" spans="1:7">
      <c r="A1164" s="52">
        <v>359.637</v>
      </c>
      <c r="B1164" s="52">
        <v>363.77929999999998</v>
      </c>
      <c r="C1164" s="52">
        <v>358.7817</v>
      </c>
      <c r="D1164" s="52">
        <v>361.77760000000001</v>
      </c>
      <c r="E1164" s="52">
        <v>7798872</v>
      </c>
      <c r="F1164" s="52" t="s">
        <v>1227</v>
      </c>
      <c r="G1164" s="25">
        <f t="shared" si="16"/>
        <v>-5.9168947994568954E-3</v>
      </c>
    </row>
    <row r="1165" spans="1:7">
      <c r="A1165" s="52">
        <v>361.52670000000001</v>
      </c>
      <c r="B1165" s="52">
        <v>363.15769999999998</v>
      </c>
      <c r="C1165" s="52">
        <v>359.42320000000001</v>
      </c>
      <c r="D1165" s="52">
        <v>359.4282</v>
      </c>
      <c r="E1165" s="52">
        <v>8925017</v>
      </c>
      <c r="F1165" s="52" t="s">
        <v>1228</v>
      </c>
      <c r="G1165" s="25">
        <f t="shared" si="16"/>
        <v>5.8384400556217297E-3</v>
      </c>
    </row>
    <row r="1166" spans="1:7">
      <c r="A1166" s="52">
        <v>360.9896</v>
      </c>
      <c r="B1166" s="52">
        <v>361.91449999999998</v>
      </c>
      <c r="C1166" s="52">
        <v>354.95269999999999</v>
      </c>
      <c r="D1166" s="52">
        <v>357.67779999999999</v>
      </c>
      <c r="E1166" s="52">
        <v>10247207</v>
      </c>
      <c r="F1166" s="52" t="s">
        <v>1229</v>
      </c>
      <c r="G1166" s="25">
        <f t="shared" si="16"/>
        <v>9.2591712429455075E-3</v>
      </c>
    </row>
    <row r="1167" spans="1:7">
      <c r="A1167" s="52">
        <v>356.96170000000001</v>
      </c>
      <c r="B1167" s="52">
        <v>358.51319999999998</v>
      </c>
      <c r="C1167" s="52">
        <v>349.59210000000002</v>
      </c>
      <c r="D1167" s="52">
        <v>350.49720000000002</v>
      </c>
      <c r="E1167" s="52">
        <v>14180572</v>
      </c>
      <c r="F1167" s="52" t="s">
        <v>1230</v>
      </c>
      <c r="G1167" s="25">
        <f t="shared" si="16"/>
        <v>1.84437992657287E-2</v>
      </c>
    </row>
    <row r="1168" spans="1:7">
      <c r="A1168" s="52">
        <v>349.3236</v>
      </c>
      <c r="B1168" s="52">
        <v>351.83969999999999</v>
      </c>
      <c r="C1168" s="52">
        <v>345.80290000000002</v>
      </c>
      <c r="D1168" s="52">
        <v>350.80549999999999</v>
      </c>
      <c r="E1168" s="52">
        <v>12406054</v>
      </c>
      <c r="F1168" s="52" t="s">
        <v>1231</v>
      </c>
      <c r="G1168" s="25">
        <f t="shared" si="16"/>
        <v>-4.2242781256279782E-3</v>
      </c>
    </row>
    <row r="1169" spans="1:7">
      <c r="A1169" s="52">
        <v>350.02969999999999</v>
      </c>
      <c r="B1169" s="52">
        <v>357.4391</v>
      </c>
      <c r="C1169" s="52">
        <v>348.8263</v>
      </c>
      <c r="D1169" s="52">
        <v>356.14620000000002</v>
      </c>
      <c r="E1169" s="52">
        <v>13180439</v>
      </c>
      <c r="F1169" s="52" t="s">
        <v>1232</v>
      </c>
      <c r="G1169" s="25">
        <f t="shared" si="16"/>
        <v>-1.7174126805227785E-2</v>
      </c>
    </row>
    <row r="1170" spans="1:7">
      <c r="A1170" s="52">
        <v>354.35599999999999</v>
      </c>
      <c r="B1170" s="52">
        <v>358.76179999999999</v>
      </c>
      <c r="C1170" s="52">
        <v>351.01429999999999</v>
      </c>
      <c r="D1170" s="52">
        <v>352.06849999999997</v>
      </c>
      <c r="E1170" s="52">
        <v>15976179</v>
      </c>
      <c r="F1170" s="52" t="s">
        <v>1233</v>
      </c>
      <c r="G1170" s="25">
        <f t="shared" si="16"/>
        <v>6.4973151531591E-3</v>
      </c>
    </row>
    <row r="1171" spans="1:7">
      <c r="A1171" s="52">
        <v>356.36500000000001</v>
      </c>
      <c r="B1171" s="52">
        <v>363.52569999999997</v>
      </c>
      <c r="C1171" s="52">
        <v>354.79360000000003</v>
      </c>
      <c r="D1171" s="52">
        <v>359.03039999999999</v>
      </c>
      <c r="E1171" s="52">
        <v>33413244</v>
      </c>
      <c r="F1171" s="52" t="s">
        <v>1234</v>
      </c>
      <c r="G1171" s="25">
        <f t="shared" si="16"/>
        <v>-7.4238838828132314E-3</v>
      </c>
    </row>
    <row r="1172" spans="1:7">
      <c r="A1172" s="52">
        <v>371.24340000000001</v>
      </c>
      <c r="B1172" s="52">
        <v>375.49</v>
      </c>
      <c r="C1172" s="52">
        <v>364.928</v>
      </c>
      <c r="D1172" s="52">
        <v>372.51639999999998</v>
      </c>
      <c r="E1172" s="52">
        <v>29676910</v>
      </c>
      <c r="F1172" s="52" t="s">
        <v>1235</v>
      </c>
      <c r="G1172" s="25">
        <f t="shared" si="16"/>
        <v>-3.4172992115245604E-3</v>
      </c>
    </row>
    <row r="1173" spans="1:7">
      <c r="A1173" s="52">
        <v>365.8032</v>
      </c>
      <c r="B1173" s="52">
        <v>371.11410000000001</v>
      </c>
      <c r="C1173" s="52">
        <v>362.56099999999998</v>
      </c>
      <c r="D1173" s="52">
        <v>369.88080000000002</v>
      </c>
      <c r="E1173" s="52">
        <v>15705447</v>
      </c>
      <c r="F1173" s="52" t="s">
        <v>1236</v>
      </c>
      <c r="G1173" s="25">
        <f t="shared" si="16"/>
        <v>-1.1024092085882842E-2</v>
      </c>
    </row>
    <row r="1174" spans="1:7">
      <c r="A1174" s="52">
        <v>370.42779999999999</v>
      </c>
      <c r="B1174" s="52">
        <v>372.39699999999999</v>
      </c>
      <c r="C1174" s="52">
        <v>366.21100000000001</v>
      </c>
      <c r="D1174" s="52">
        <v>367.56349999999998</v>
      </c>
      <c r="E1174" s="52">
        <v>14925222</v>
      </c>
      <c r="F1174" s="52" t="s">
        <v>1237</v>
      </c>
      <c r="G1174" s="25">
        <f t="shared" si="16"/>
        <v>7.792667117382468E-3</v>
      </c>
    </row>
    <row r="1175" spans="1:7">
      <c r="A1175" s="52">
        <v>367.7724</v>
      </c>
      <c r="B1175" s="52">
        <v>373.28219999999999</v>
      </c>
      <c r="C1175" s="52">
        <v>355.24110000000002</v>
      </c>
      <c r="D1175" s="52">
        <v>358.94080000000002</v>
      </c>
      <c r="E1175" s="52">
        <v>33694328</v>
      </c>
      <c r="F1175" s="52" t="s">
        <v>1238</v>
      </c>
      <c r="G1175" s="25">
        <f t="shared" si="16"/>
        <v>2.4604614465672192E-2</v>
      </c>
    </row>
    <row r="1176" spans="1:7">
      <c r="A1176" s="52">
        <v>349.27390000000003</v>
      </c>
      <c r="B1176" s="52">
        <v>349.62200000000001</v>
      </c>
      <c r="C1176" s="52">
        <v>343.32650000000001</v>
      </c>
      <c r="D1176" s="52">
        <v>344.7885</v>
      </c>
      <c r="E1176" s="52">
        <v>12385441</v>
      </c>
      <c r="F1176" s="52" t="s">
        <v>1239</v>
      </c>
      <c r="G1176" s="25">
        <f t="shared" si="16"/>
        <v>1.3009134585405313E-2</v>
      </c>
    </row>
    <row r="1177" spans="1:7">
      <c r="A1177" s="52">
        <v>344.34089999999998</v>
      </c>
      <c r="B1177" s="52">
        <v>344.62939999999998</v>
      </c>
      <c r="C1177" s="52">
        <v>339.38810000000001</v>
      </c>
      <c r="D1177" s="52">
        <v>339.63670000000002</v>
      </c>
      <c r="E1177" s="52">
        <v>9279657</v>
      </c>
      <c r="F1177" s="52" t="s">
        <v>1240</v>
      </c>
      <c r="G1177" s="25">
        <f t="shared" si="16"/>
        <v>1.3850682214259891E-2</v>
      </c>
    </row>
    <row r="1178" spans="1:7">
      <c r="A1178" s="52">
        <v>339.79590000000002</v>
      </c>
      <c r="B1178" s="52">
        <v>341.5761</v>
      </c>
      <c r="C1178" s="52">
        <v>332.67489999999998</v>
      </c>
      <c r="D1178" s="52">
        <v>336.95150000000001</v>
      </c>
      <c r="E1178" s="52">
        <v>11024277</v>
      </c>
      <c r="F1178" s="52" t="s">
        <v>1241</v>
      </c>
      <c r="G1178" s="25">
        <f t="shared" si="16"/>
        <v>8.4415709679286355E-3</v>
      </c>
    </row>
    <row r="1179" spans="1:7">
      <c r="A1179" s="52">
        <v>335.11160000000001</v>
      </c>
      <c r="B1179" s="52">
        <v>337.93610000000001</v>
      </c>
      <c r="C1179" s="52">
        <v>332.71469999999999</v>
      </c>
      <c r="D1179" s="52">
        <v>335.72820000000002</v>
      </c>
      <c r="E1179" s="52">
        <v>14372345</v>
      </c>
      <c r="F1179" s="52" t="s">
        <v>1242</v>
      </c>
      <c r="G1179" s="25">
        <f t="shared" si="16"/>
        <v>-1.8366047296592969E-3</v>
      </c>
    </row>
    <row r="1180" spans="1:7">
      <c r="A1180" s="52">
        <v>339.29860000000002</v>
      </c>
      <c r="B1180" s="52">
        <v>344.10219999999998</v>
      </c>
      <c r="C1180" s="52">
        <v>338.2842</v>
      </c>
      <c r="D1180" s="52">
        <v>343.02809999999999</v>
      </c>
      <c r="E1180" s="52">
        <v>11026093</v>
      </c>
      <c r="F1180" s="52" t="s">
        <v>1243</v>
      </c>
      <c r="G1180" s="25">
        <f t="shared" si="16"/>
        <v>-1.0872287139158443E-2</v>
      </c>
    </row>
    <row r="1181" spans="1:7">
      <c r="A1181" s="52">
        <v>342.5806</v>
      </c>
      <c r="B1181" s="52">
        <v>347.32929999999999</v>
      </c>
      <c r="C1181" s="52">
        <v>338.36369999999999</v>
      </c>
      <c r="D1181" s="52">
        <v>347.32929999999999</v>
      </c>
      <c r="E1181" s="52">
        <v>14781594</v>
      </c>
      <c r="F1181" s="52" t="s">
        <v>1244</v>
      </c>
      <c r="G1181" s="25">
        <f t="shared" si="16"/>
        <v>-1.3672039761690069E-2</v>
      </c>
    </row>
    <row r="1182" spans="1:7">
      <c r="A1182" s="52">
        <v>345.73329999999999</v>
      </c>
      <c r="B1182" s="52">
        <v>353.262</v>
      </c>
      <c r="C1182" s="52">
        <v>344.83819999999997</v>
      </c>
      <c r="D1182" s="52">
        <v>352.62549999999999</v>
      </c>
      <c r="E1182" s="52">
        <v>13894221</v>
      </c>
      <c r="F1182" s="52" t="s">
        <v>1245</v>
      </c>
      <c r="G1182" s="25">
        <f t="shared" si="16"/>
        <v>-1.9545381715162402E-2</v>
      </c>
    </row>
    <row r="1183" spans="1:7">
      <c r="A1183" s="52">
        <v>350.16899999999998</v>
      </c>
      <c r="B1183" s="52">
        <v>356.53399999999999</v>
      </c>
      <c r="C1183" s="52">
        <v>346.89690000000002</v>
      </c>
      <c r="D1183" s="52">
        <v>349.5822</v>
      </c>
      <c r="E1183" s="52">
        <v>11455963</v>
      </c>
      <c r="F1183" s="52" t="s">
        <v>1246</v>
      </c>
      <c r="G1183" s="25">
        <f t="shared" si="16"/>
        <v>1.6785751677288463E-3</v>
      </c>
    </row>
    <row r="1184" spans="1:7">
      <c r="A1184" s="52">
        <v>351.23309999999998</v>
      </c>
      <c r="B1184" s="52">
        <v>352.25749999999999</v>
      </c>
      <c r="C1184" s="52">
        <v>347.73230000000001</v>
      </c>
      <c r="D1184" s="52">
        <v>349.31369999999998</v>
      </c>
      <c r="E1184" s="52">
        <v>10018624</v>
      </c>
      <c r="F1184" s="52" t="s">
        <v>1247</v>
      </c>
      <c r="G1184" s="25">
        <f t="shared" si="16"/>
        <v>5.4947744677635857E-3</v>
      </c>
    </row>
    <row r="1185" spans="1:7">
      <c r="A1185" s="52">
        <v>348.50810000000001</v>
      </c>
      <c r="B1185" s="52">
        <v>348.79649999999998</v>
      </c>
      <c r="C1185" s="52">
        <v>343.38119999999998</v>
      </c>
      <c r="D1185" s="52">
        <v>343.4359</v>
      </c>
      <c r="E1185" s="52">
        <v>13018694</v>
      </c>
      <c r="F1185" s="52" t="s">
        <v>1248</v>
      </c>
      <c r="G1185" s="25">
        <f t="shared" si="16"/>
        <v>1.4768986002919426E-2</v>
      </c>
    </row>
    <row r="1186" spans="1:7">
      <c r="A1186" s="52">
        <v>343.76409999999998</v>
      </c>
      <c r="B1186" s="52">
        <v>346.42950000000002</v>
      </c>
      <c r="C1186" s="52">
        <v>340.69099999999997</v>
      </c>
      <c r="D1186" s="52">
        <v>343.84370000000001</v>
      </c>
      <c r="E1186" s="52">
        <v>14406457</v>
      </c>
      <c r="F1186" s="52" t="s">
        <v>1249</v>
      </c>
      <c r="G1186" s="25">
        <f t="shared" si="16"/>
        <v>-2.3150053352738453E-4</v>
      </c>
    </row>
    <row r="1187" spans="1:7">
      <c r="A1187" s="52">
        <v>348.57769999999999</v>
      </c>
      <c r="B1187" s="52">
        <v>354.54500000000002</v>
      </c>
      <c r="C1187" s="52">
        <v>348.09039999999999</v>
      </c>
      <c r="D1187" s="52">
        <v>353.32170000000002</v>
      </c>
      <c r="E1187" s="52">
        <v>14218866</v>
      </c>
      <c r="F1187" s="52" t="s">
        <v>1250</v>
      </c>
      <c r="G1187" s="25">
        <f t="shared" si="16"/>
        <v>-1.3426857167278539E-2</v>
      </c>
    </row>
    <row r="1188" spans="1:7">
      <c r="A1188" s="52">
        <v>350.85520000000002</v>
      </c>
      <c r="B1188" s="52">
        <v>356.83240000000001</v>
      </c>
      <c r="C1188" s="52">
        <v>347.27480000000003</v>
      </c>
      <c r="D1188" s="52">
        <v>354.55489999999998</v>
      </c>
      <c r="E1188" s="52">
        <v>13488455</v>
      </c>
      <c r="F1188" s="52" t="s">
        <v>1251</v>
      </c>
      <c r="G1188" s="25">
        <f t="shared" si="16"/>
        <v>-1.0434773288988342E-2</v>
      </c>
    </row>
    <row r="1189" spans="1:7">
      <c r="A1189" s="52">
        <v>352.7647</v>
      </c>
      <c r="B1189" s="52">
        <v>354.49520000000001</v>
      </c>
      <c r="C1189" s="52">
        <v>350.6961</v>
      </c>
      <c r="D1189" s="52">
        <v>353.16250000000002</v>
      </c>
      <c r="E1189" s="52">
        <v>11524614</v>
      </c>
      <c r="F1189" s="52" t="s">
        <v>1252</v>
      </c>
      <c r="G1189" s="25">
        <f t="shared" si="16"/>
        <v>-1.1263936573108202E-3</v>
      </c>
    </row>
    <row r="1190" spans="1:7">
      <c r="A1190" s="52">
        <v>352.45639999999997</v>
      </c>
      <c r="B1190" s="52">
        <v>352.73480000000001</v>
      </c>
      <c r="C1190" s="52">
        <v>344.60950000000003</v>
      </c>
      <c r="D1190" s="52">
        <v>344.92770000000002</v>
      </c>
      <c r="E1190" s="52">
        <v>17137021</v>
      </c>
      <c r="F1190" s="52" t="s">
        <v>1253</v>
      </c>
      <c r="G1190" s="25">
        <f t="shared" si="16"/>
        <v>2.1826892998155767E-2</v>
      </c>
    </row>
    <row r="1191" spans="1:7">
      <c r="A1191" s="52">
        <v>345.81290000000001</v>
      </c>
      <c r="B1191" s="52">
        <v>350.99439999999998</v>
      </c>
      <c r="C1191" s="52">
        <v>345.2758</v>
      </c>
      <c r="D1191" s="52">
        <v>350.24360000000001</v>
      </c>
      <c r="E1191" s="52">
        <v>15107514</v>
      </c>
      <c r="F1191" s="52" t="s">
        <v>1254</v>
      </c>
      <c r="G1191" s="25">
        <f t="shared" si="16"/>
        <v>-1.2650338221740554E-2</v>
      </c>
    </row>
    <row r="1192" spans="1:7">
      <c r="A1192" s="52">
        <v>349.9701</v>
      </c>
      <c r="B1192" s="52">
        <v>354.79360000000003</v>
      </c>
      <c r="C1192" s="52">
        <v>347.1456</v>
      </c>
      <c r="D1192" s="52">
        <v>354.32619999999997</v>
      </c>
      <c r="E1192" s="52">
        <v>21417305</v>
      </c>
      <c r="F1192" s="52" t="s">
        <v>1255</v>
      </c>
      <c r="G1192" s="25">
        <f t="shared" si="16"/>
        <v>-1.2294038657034045E-2</v>
      </c>
    </row>
    <row r="1193" spans="1:7">
      <c r="A1193" s="52">
        <v>353.69959999999998</v>
      </c>
      <c r="B1193" s="52">
        <v>356.18599999999998</v>
      </c>
      <c r="C1193" s="52">
        <v>339.90530000000001</v>
      </c>
      <c r="D1193" s="52">
        <v>340.5915</v>
      </c>
      <c r="E1193" s="52">
        <v>29156132</v>
      </c>
      <c r="F1193" s="52" t="s">
        <v>1256</v>
      </c>
      <c r="G1193" s="25">
        <f t="shared" si="16"/>
        <v>3.8486280485567015E-2</v>
      </c>
    </row>
    <row r="1194" spans="1:7">
      <c r="A1194" s="52">
        <v>339.50749999999999</v>
      </c>
      <c r="B1194" s="52">
        <v>342.24250000000001</v>
      </c>
      <c r="C1194" s="52">
        <v>337.82670000000002</v>
      </c>
      <c r="D1194" s="52">
        <v>340.7208</v>
      </c>
      <c r="E1194" s="52">
        <v>14594444</v>
      </c>
      <c r="F1194" s="52" t="s">
        <v>1257</v>
      </c>
      <c r="G1194" s="25">
        <f t="shared" si="16"/>
        <v>-3.5609801338808422E-3</v>
      </c>
    </row>
    <row r="1195" spans="1:7">
      <c r="A1195" s="52">
        <v>341.30759999999998</v>
      </c>
      <c r="B1195" s="52">
        <v>343.01819999999998</v>
      </c>
      <c r="C1195" s="52">
        <v>339.92520000000002</v>
      </c>
      <c r="D1195" s="52">
        <v>339.98480000000001</v>
      </c>
      <c r="E1195" s="52">
        <v>12329096</v>
      </c>
      <c r="F1195" s="52" t="s">
        <v>1258</v>
      </c>
      <c r="G1195" s="25">
        <f t="shared" si="16"/>
        <v>3.8907621752501953E-3</v>
      </c>
    </row>
    <row r="1196" spans="1:7">
      <c r="A1196" s="52">
        <v>338.73169999999999</v>
      </c>
      <c r="B1196" s="52">
        <v>341.5462</v>
      </c>
      <c r="C1196" s="52">
        <v>336.35480000000001</v>
      </c>
      <c r="D1196" s="52">
        <v>337.49849999999998</v>
      </c>
      <c r="E1196" s="52">
        <v>14817824</v>
      </c>
      <c r="F1196" s="52" t="s">
        <v>1259</v>
      </c>
      <c r="G1196" s="25">
        <f t="shared" si="16"/>
        <v>3.6539421656689441E-3</v>
      </c>
    </row>
    <row r="1197" spans="1:7">
      <c r="A1197" s="52">
        <v>337.18020000000001</v>
      </c>
      <c r="B1197" s="52">
        <v>338.06540000000001</v>
      </c>
      <c r="C1197" s="52">
        <v>330.78530000000001</v>
      </c>
      <c r="D1197" s="52">
        <v>330.8698</v>
      </c>
      <c r="E1197" s="52">
        <v>15345299</v>
      </c>
      <c r="F1197" s="52" t="s">
        <v>1260</v>
      </c>
      <c r="G1197" s="25">
        <f t="shared" si="16"/>
        <v>1.9072154666276653E-2</v>
      </c>
    </row>
    <row r="1198" spans="1:7">
      <c r="A1198" s="52">
        <v>330.47699999999998</v>
      </c>
      <c r="B1198" s="52">
        <v>331.10359999999997</v>
      </c>
      <c r="C1198" s="52">
        <v>325.8623</v>
      </c>
      <c r="D1198" s="52">
        <v>329.2835</v>
      </c>
      <c r="E1198" s="52">
        <v>11337522</v>
      </c>
      <c r="F1198" s="52" t="s">
        <v>1261</v>
      </c>
      <c r="G1198" s="25">
        <f t="shared" si="16"/>
        <v>3.6245363038232004E-3</v>
      </c>
    </row>
    <row r="1199" spans="1:7">
      <c r="A1199" s="52">
        <v>327.86130000000003</v>
      </c>
      <c r="B1199" s="52">
        <v>334.3159</v>
      </c>
      <c r="C1199" s="52">
        <v>327.20490000000001</v>
      </c>
      <c r="D1199" s="52">
        <v>332.70479999999998</v>
      </c>
      <c r="E1199" s="52">
        <v>23039457</v>
      </c>
      <c r="F1199" s="52" t="s">
        <v>1262</v>
      </c>
      <c r="G1199" s="25">
        <f t="shared" si="16"/>
        <v>-1.4557950471408732E-2</v>
      </c>
    </row>
    <row r="1200" spans="1:7">
      <c r="A1200" s="52">
        <v>334.67399999999998</v>
      </c>
      <c r="B1200" s="52">
        <v>336.13600000000002</v>
      </c>
      <c r="C1200" s="52">
        <v>328.34870000000001</v>
      </c>
      <c r="D1200" s="52">
        <v>328.68680000000001</v>
      </c>
      <c r="E1200" s="52">
        <v>17794080</v>
      </c>
      <c r="F1200" s="52" t="s">
        <v>1263</v>
      </c>
      <c r="G1200" s="25">
        <f t="shared" si="16"/>
        <v>1.8215517021066718E-2</v>
      </c>
    </row>
    <row r="1201" spans="1:7">
      <c r="A1201" s="52">
        <v>329.27359999999999</v>
      </c>
      <c r="B1201" s="52">
        <v>335.70830000000001</v>
      </c>
      <c r="C1201" s="52">
        <v>326.92649999999998</v>
      </c>
      <c r="D1201" s="52">
        <v>334.858</v>
      </c>
      <c r="E1201" s="52">
        <v>17232157</v>
      </c>
      <c r="F1201" s="52" t="s">
        <v>1264</v>
      </c>
      <c r="G1201" s="25">
        <f t="shared" si="16"/>
        <v>-1.6676919768976783E-2</v>
      </c>
    </row>
    <row r="1202" spans="1:7">
      <c r="A1202" s="52">
        <v>334.91269999999997</v>
      </c>
      <c r="B1202" s="52">
        <v>338.06540000000001</v>
      </c>
      <c r="C1202" s="52">
        <v>333.202</v>
      </c>
      <c r="D1202" s="52">
        <v>335.15140000000002</v>
      </c>
      <c r="E1202" s="52">
        <v>15795226</v>
      </c>
      <c r="F1202" s="52" t="s">
        <v>1265</v>
      </c>
      <c r="G1202" s="25">
        <f t="shared" si="16"/>
        <v>-7.1221543457689052E-4</v>
      </c>
    </row>
    <row r="1203" spans="1:7">
      <c r="A1203" s="52">
        <v>334.93259999999998</v>
      </c>
      <c r="B1203" s="52">
        <v>334.98230000000001</v>
      </c>
      <c r="C1203" s="52">
        <v>328.01049999999998</v>
      </c>
      <c r="D1203" s="52">
        <v>330.08909999999997</v>
      </c>
      <c r="E1203" s="52">
        <v>12250799</v>
      </c>
      <c r="F1203" s="52" t="s">
        <v>1266</v>
      </c>
      <c r="G1203" s="25">
        <f t="shared" si="16"/>
        <v>1.4673310933320804E-2</v>
      </c>
    </row>
    <row r="1204" spans="1:7">
      <c r="A1204" s="52">
        <v>329.45260000000002</v>
      </c>
      <c r="B1204" s="52">
        <v>331.01409999999998</v>
      </c>
      <c r="C1204" s="52">
        <v>327.13529999999997</v>
      </c>
      <c r="D1204" s="52">
        <v>330.7654</v>
      </c>
      <c r="E1204" s="52">
        <v>13587916</v>
      </c>
      <c r="F1204" s="52" t="s">
        <v>1267</v>
      </c>
      <c r="G1204" s="25">
        <f t="shared" si="16"/>
        <v>-3.9689761988406236E-3</v>
      </c>
    </row>
    <row r="1205" spans="1:7">
      <c r="A1205" s="52">
        <v>330.64609999999999</v>
      </c>
      <c r="B1205" s="52">
        <v>332.11799999999999</v>
      </c>
      <c r="C1205" s="52">
        <v>326.75240000000002</v>
      </c>
      <c r="D1205" s="52">
        <v>328.98020000000002</v>
      </c>
      <c r="E1205" s="52">
        <v>13240229</v>
      </c>
      <c r="F1205" s="52" t="s">
        <v>1268</v>
      </c>
      <c r="G1205" s="25">
        <f t="shared" si="16"/>
        <v>5.0638305891963498E-3</v>
      </c>
    </row>
    <row r="1206" spans="1:7">
      <c r="A1206" s="52">
        <v>328.44810000000001</v>
      </c>
      <c r="B1206" s="52">
        <v>334.9624</v>
      </c>
      <c r="C1206" s="52">
        <v>328.1995</v>
      </c>
      <c r="D1206" s="52">
        <v>333.90820000000002</v>
      </c>
      <c r="E1206" s="52">
        <v>13727946</v>
      </c>
      <c r="F1206" s="52" t="s">
        <v>1269</v>
      </c>
      <c r="G1206" s="25">
        <f t="shared" si="16"/>
        <v>-1.6352099169771872E-2</v>
      </c>
    </row>
    <row r="1207" spans="1:7">
      <c r="A1207" s="52">
        <v>331.85939999999999</v>
      </c>
      <c r="B1207" s="52">
        <v>336.45409999999998</v>
      </c>
      <c r="C1207" s="52">
        <v>330.4273</v>
      </c>
      <c r="D1207" s="52">
        <v>334.86290000000002</v>
      </c>
      <c r="E1207" s="52">
        <v>14580464</v>
      </c>
      <c r="F1207" s="52" t="s">
        <v>1270</v>
      </c>
      <c r="G1207" s="25">
        <f t="shared" si="16"/>
        <v>-8.9693423786272319E-3</v>
      </c>
    </row>
    <row r="1208" spans="1:7">
      <c r="A1208" s="52">
        <v>334.74360000000001</v>
      </c>
      <c r="B1208" s="52">
        <v>335.84750000000003</v>
      </c>
      <c r="C1208" s="52">
        <v>327.13529999999997</v>
      </c>
      <c r="D1208" s="52">
        <v>327.6823</v>
      </c>
      <c r="E1208" s="52">
        <v>20136707</v>
      </c>
      <c r="F1208" s="52" t="s">
        <v>1271</v>
      </c>
      <c r="G1208" s="25">
        <f t="shared" si="16"/>
        <v>2.1549226186461823E-2</v>
      </c>
    </row>
    <row r="1209" spans="1:7">
      <c r="A1209" s="52">
        <v>328.54759999999999</v>
      </c>
      <c r="B1209" s="52">
        <v>330.64109999999999</v>
      </c>
      <c r="C1209" s="52">
        <v>323.4058</v>
      </c>
      <c r="D1209" s="52">
        <v>324.12189999999998</v>
      </c>
      <c r="E1209" s="52">
        <v>13289383</v>
      </c>
      <c r="F1209" s="52" t="s">
        <v>1272</v>
      </c>
      <c r="G1209" s="25">
        <f t="shared" si="16"/>
        <v>1.3654430632425552E-2</v>
      </c>
    </row>
    <row r="1210" spans="1:7">
      <c r="A1210" s="52">
        <v>324.2611</v>
      </c>
      <c r="B1210" s="52">
        <v>325.58879999999999</v>
      </c>
      <c r="C1210" s="52">
        <v>321.71510000000001</v>
      </c>
      <c r="D1210" s="52">
        <v>324.0025</v>
      </c>
      <c r="E1210" s="52">
        <v>12610788</v>
      </c>
      <c r="F1210" s="52" t="s">
        <v>1273</v>
      </c>
      <c r="G1210" s="25">
        <f t="shared" si="16"/>
        <v>7.9814198964522909E-4</v>
      </c>
    </row>
    <row r="1211" spans="1:7">
      <c r="A1211" s="52">
        <v>327.35410000000002</v>
      </c>
      <c r="B1211" s="52">
        <v>330.05930000000001</v>
      </c>
      <c r="C1211" s="52">
        <v>325.33670000000001</v>
      </c>
      <c r="D1211" s="52">
        <v>328.57740000000001</v>
      </c>
      <c r="E1211" s="52">
        <v>11654275</v>
      </c>
      <c r="F1211" s="52" t="s">
        <v>1274</v>
      </c>
      <c r="G1211" s="25">
        <f t="shared" si="16"/>
        <v>-3.7230192946927643E-3</v>
      </c>
    </row>
    <row r="1212" spans="1:7">
      <c r="A1212" s="52">
        <v>327.33420000000001</v>
      </c>
      <c r="B1212" s="52">
        <v>329.61169999999998</v>
      </c>
      <c r="C1212" s="52">
        <v>324.8578</v>
      </c>
      <c r="D1212" s="52">
        <v>328.34870000000001</v>
      </c>
      <c r="E1212" s="52">
        <v>11765906</v>
      </c>
      <c r="F1212" s="52" t="s">
        <v>1275</v>
      </c>
      <c r="G1212" s="25">
        <f t="shared" si="16"/>
        <v>-3.0897031113569229E-3</v>
      </c>
    </row>
    <row r="1213" spans="1:7">
      <c r="A1213" s="52">
        <v>326.93639999999999</v>
      </c>
      <c r="B1213" s="52">
        <v>331.05220000000003</v>
      </c>
      <c r="C1213" s="52">
        <v>326.53859999999997</v>
      </c>
      <c r="D1213" s="52">
        <v>329.19400000000002</v>
      </c>
      <c r="E1213" s="52">
        <v>12037430</v>
      </c>
      <c r="F1213" s="52" t="s">
        <v>1276</v>
      </c>
      <c r="G1213" s="25">
        <f t="shared" si="16"/>
        <v>-6.8579621742802521E-3</v>
      </c>
    </row>
    <row r="1214" spans="1:7">
      <c r="A1214" s="52">
        <v>330.93450000000001</v>
      </c>
      <c r="B1214" s="52">
        <v>331.95890000000003</v>
      </c>
      <c r="C1214" s="52">
        <v>324.97719999999998</v>
      </c>
      <c r="D1214" s="52">
        <v>326.21039999999999</v>
      </c>
      <c r="E1214" s="52">
        <v>20477726</v>
      </c>
      <c r="F1214" s="52" t="s">
        <v>1277</v>
      </c>
      <c r="G1214" s="25">
        <f t="shared" si="16"/>
        <v>1.4481757785772764E-2</v>
      </c>
    </row>
    <row r="1215" spans="1:7">
      <c r="A1215" s="52">
        <v>325.8723</v>
      </c>
      <c r="B1215" s="52">
        <v>328.03030000000001</v>
      </c>
      <c r="C1215" s="52">
        <v>324.04230000000001</v>
      </c>
      <c r="D1215" s="52">
        <v>326.55849999999998</v>
      </c>
      <c r="E1215" s="52">
        <v>9686917</v>
      </c>
      <c r="F1215" s="52" t="s">
        <v>1278</v>
      </c>
      <c r="G1215" s="25">
        <f t="shared" si="16"/>
        <v>-2.1013080351606206E-3</v>
      </c>
    </row>
    <row r="1216" spans="1:7">
      <c r="A1216" s="52">
        <v>326.0016</v>
      </c>
      <c r="B1216" s="52">
        <v>327.38400000000001</v>
      </c>
      <c r="C1216" s="52">
        <v>323.02789999999999</v>
      </c>
      <c r="D1216" s="52">
        <v>325.29539999999997</v>
      </c>
      <c r="E1216" s="52">
        <v>16436965</v>
      </c>
      <c r="F1216" s="52" t="s">
        <v>1279</v>
      </c>
      <c r="G1216" s="25">
        <f t="shared" si="16"/>
        <v>2.1709498505051439E-3</v>
      </c>
    </row>
    <row r="1217" spans="1:7">
      <c r="A1217" s="52">
        <v>322.85879999999997</v>
      </c>
      <c r="B1217" s="52">
        <v>324.17160000000001</v>
      </c>
      <c r="C1217" s="52">
        <v>316.29480000000001</v>
      </c>
      <c r="D1217" s="52">
        <v>316.47379999999998</v>
      </c>
      <c r="E1217" s="52">
        <v>16445356</v>
      </c>
      <c r="F1217" s="52" t="s">
        <v>1280</v>
      </c>
      <c r="G1217" s="25">
        <f t="shared" si="16"/>
        <v>2.0175445803096492E-2</v>
      </c>
    </row>
    <row r="1218" spans="1:7">
      <c r="A1218" s="52">
        <v>314.50459999999998</v>
      </c>
      <c r="B1218" s="52">
        <v>318.18439999999998</v>
      </c>
      <c r="C1218" s="52">
        <v>314.08699999999999</v>
      </c>
      <c r="D1218" s="52">
        <v>317.54790000000003</v>
      </c>
      <c r="E1218" s="52">
        <v>13600901</v>
      </c>
      <c r="F1218" s="52" t="s">
        <v>1281</v>
      </c>
      <c r="G1218" s="25">
        <f t="shared" si="16"/>
        <v>-9.5837509868591519E-3</v>
      </c>
    </row>
    <row r="1219" spans="1:7">
      <c r="A1219" s="52">
        <v>316.8716</v>
      </c>
      <c r="B1219" s="52">
        <v>317.50810000000001</v>
      </c>
      <c r="C1219" s="52">
        <v>311.45139999999998</v>
      </c>
      <c r="D1219" s="52">
        <v>311.8691</v>
      </c>
      <c r="E1219" s="52">
        <v>17320241</v>
      </c>
      <c r="F1219" s="52" t="s">
        <v>1282</v>
      </c>
      <c r="G1219" s="25">
        <f t="shared" si="16"/>
        <v>1.6040383609661868E-2</v>
      </c>
    </row>
    <row r="1220" spans="1:7">
      <c r="A1220" s="52">
        <v>311.87900000000002</v>
      </c>
      <c r="B1220" s="52">
        <v>312.94319999999999</v>
      </c>
      <c r="C1220" s="52">
        <v>301.91370000000001</v>
      </c>
      <c r="D1220" s="52">
        <v>302.52530000000002</v>
      </c>
      <c r="E1220" s="52">
        <v>19106244</v>
      </c>
      <c r="F1220" s="52" t="s">
        <v>1283</v>
      </c>
      <c r="G1220" s="25">
        <f t="shared" ref="G1220:G1283" si="17">A1220/D1220-1</f>
        <v>3.0918736383370282E-2</v>
      </c>
    </row>
    <row r="1221" spans="1:7">
      <c r="A1221" s="52">
        <v>308.2688</v>
      </c>
      <c r="B1221" s="52">
        <v>314.7731</v>
      </c>
      <c r="C1221" s="52">
        <v>308.11970000000002</v>
      </c>
      <c r="D1221" s="52">
        <v>313.86810000000003</v>
      </c>
      <c r="E1221" s="52">
        <v>14522403</v>
      </c>
      <c r="F1221" s="52" t="s">
        <v>1284</v>
      </c>
      <c r="G1221" s="25">
        <f t="shared" si="17"/>
        <v>-1.783965939832699E-2</v>
      </c>
    </row>
    <row r="1222" spans="1:7">
      <c r="A1222" s="52">
        <v>313.73880000000003</v>
      </c>
      <c r="B1222" s="52">
        <v>313.95760000000001</v>
      </c>
      <c r="C1222" s="52">
        <v>309.88</v>
      </c>
      <c r="D1222" s="52">
        <v>311.83920000000001</v>
      </c>
      <c r="E1222" s="52">
        <v>15401343</v>
      </c>
      <c r="F1222" s="52" t="s">
        <v>1285</v>
      </c>
      <c r="G1222" s="25">
        <f t="shared" si="17"/>
        <v>6.0916010559288747E-3</v>
      </c>
    </row>
    <row r="1223" spans="1:7">
      <c r="A1223" s="52">
        <v>314.21620000000001</v>
      </c>
      <c r="B1223" s="52">
        <v>315.12119999999999</v>
      </c>
      <c r="C1223" s="52">
        <v>307.39359999999999</v>
      </c>
      <c r="D1223" s="52">
        <v>307.85109999999997</v>
      </c>
      <c r="E1223" s="52">
        <v>19245724</v>
      </c>
      <c r="F1223" s="52" t="s">
        <v>1286</v>
      </c>
      <c r="G1223" s="25">
        <f t="shared" si="17"/>
        <v>2.0675904682491142E-2</v>
      </c>
    </row>
    <row r="1224" spans="1:7">
      <c r="A1224" s="52">
        <v>303.59449999999998</v>
      </c>
      <c r="B1224" s="52">
        <v>307.1748</v>
      </c>
      <c r="C1224" s="52">
        <v>301.1182</v>
      </c>
      <c r="D1224" s="52">
        <v>304.41329999999999</v>
      </c>
      <c r="E1224" s="52">
        <v>18079160</v>
      </c>
      <c r="F1224" s="52" t="s">
        <v>1287</v>
      </c>
      <c r="G1224" s="25">
        <f t="shared" si="17"/>
        <v>-2.6897642120105036E-3</v>
      </c>
    </row>
    <row r="1225" spans="1:7">
      <c r="A1225" s="52">
        <v>300.89929999999998</v>
      </c>
      <c r="B1225" s="52">
        <v>303.29610000000002</v>
      </c>
      <c r="C1225" s="52">
        <v>296.56310000000002</v>
      </c>
      <c r="D1225" s="52">
        <v>299.48700000000002</v>
      </c>
      <c r="E1225" s="52">
        <v>24641010</v>
      </c>
      <c r="F1225" s="52" t="s">
        <v>1288</v>
      </c>
      <c r="G1225" s="25">
        <f t="shared" si="17"/>
        <v>4.7157305659342175E-3</v>
      </c>
    </row>
    <row r="1226" spans="1:7">
      <c r="A1226" s="52">
        <v>304.85750000000002</v>
      </c>
      <c r="B1226" s="52">
        <v>305.16590000000002</v>
      </c>
      <c r="C1226" s="52">
        <v>298.05489999999998</v>
      </c>
      <c r="D1226" s="52">
        <v>299.10910000000001</v>
      </c>
      <c r="E1226" s="52">
        <v>18920086</v>
      </c>
      <c r="F1226" s="52" t="s">
        <v>1289</v>
      </c>
      <c r="G1226" s="25">
        <f t="shared" si="17"/>
        <v>1.9218405591805876E-2</v>
      </c>
    </row>
    <row r="1227" spans="1:7">
      <c r="A1227" s="52">
        <v>304.30059999999997</v>
      </c>
      <c r="B1227" s="52">
        <v>312.86219999999997</v>
      </c>
      <c r="C1227" s="52">
        <v>303.16680000000002</v>
      </c>
      <c r="D1227" s="52">
        <v>312.63490000000002</v>
      </c>
      <c r="E1227" s="52">
        <v>24239170</v>
      </c>
      <c r="F1227" s="52" t="s">
        <v>1290</v>
      </c>
      <c r="G1227" s="25">
        <f t="shared" si="17"/>
        <v>-2.6658252165705276E-2</v>
      </c>
    </row>
    <row r="1228" spans="1:7">
      <c r="A1228" s="52">
        <v>317.33909999999997</v>
      </c>
      <c r="B1228" s="52">
        <v>321.173</v>
      </c>
      <c r="C1228" s="52">
        <v>317.01089999999999</v>
      </c>
      <c r="D1228" s="52">
        <v>320.62110000000001</v>
      </c>
      <c r="E1228" s="52">
        <v>15916743</v>
      </c>
      <c r="F1228" s="52" t="s">
        <v>1291</v>
      </c>
      <c r="G1228" s="25">
        <f t="shared" si="17"/>
        <v>-1.0236381822656182E-2</v>
      </c>
    </row>
    <row r="1229" spans="1:7">
      <c r="A1229" s="52">
        <v>318.27390000000003</v>
      </c>
      <c r="B1229" s="52">
        <v>318.49270000000001</v>
      </c>
      <c r="C1229" s="52">
        <v>311.56569999999999</v>
      </c>
      <c r="D1229" s="52">
        <v>312.80399999999997</v>
      </c>
      <c r="E1229" s="52">
        <v>19012241</v>
      </c>
      <c r="F1229" s="52" t="s">
        <v>1292</v>
      </c>
      <c r="G1229" s="25">
        <f t="shared" si="17"/>
        <v>1.7486668968427654E-2</v>
      </c>
    </row>
    <row r="1230" spans="1:7">
      <c r="A1230" s="52">
        <v>313.30119999999999</v>
      </c>
      <c r="B1230" s="52">
        <v>319.30829999999997</v>
      </c>
      <c r="C1230" s="52">
        <v>312.77409999999998</v>
      </c>
      <c r="D1230" s="52">
        <v>316.45389999999998</v>
      </c>
      <c r="E1230" s="52">
        <v>15577605</v>
      </c>
      <c r="F1230" s="52" t="s">
        <v>1293</v>
      </c>
      <c r="G1230" s="25">
        <f t="shared" si="17"/>
        <v>-9.9625885476525289E-3</v>
      </c>
    </row>
    <row r="1231" spans="1:7">
      <c r="A1231" s="52">
        <v>316.62299999999999</v>
      </c>
      <c r="B1231" s="52">
        <v>320.43209999999999</v>
      </c>
      <c r="C1231" s="52">
        <v>311.41160000000002</v>
      </c>
      <c r="D1231" s="52">
        <v>318.27890000000002</v>
      </c>
      <c r="E1231" s="52">
        <v>24032557</v>
      </c>
      <c r="F1231" s="52" t="s">
        <v>1294</v>
      </c>
      <c r="G1231" s="25">
        <f t="shared" si="17"/>
        <v>-5.2026697339975225E-3</v>
      </c>
    </row>
    <row r="1232" spans="1:7">
      <c r="A1232" s="52">
        <v>320.82</v>
      </c>
      <c r="B1232" s="52">
        <v>326.75740000000002</v>
      </c>
      <c r="C1232" s="52">
        <v>320.084</v>
      </c>
      <c r="D1232" s="52">
        <v>324.3904</v>
      </c>
      <c r="E1232" s="52">
        <v>18719462</v>
      </c>
      <c r="F1232" s="52" t="s">
        <v>1295</v>
      </c>
      <c r="G1232" s="25">
        <f t="shared" si="17"/>
        <v>-1.1006490944244995E-2</v>
      </c>
    </row>
    <row r="1233" spans="1:7">
      <c r="A1233" s="52">
        <v>323.30630000000002</v>
      </c>
      <c r="B1233" s="52">
        <v>328.02050000000003</v>
      </c>
      <c r="C1233" s="52">
        <v>322.72949999999997</v>
      </c>
      <c r="D1233" s="52">
        <v>324.36399999999998</v>
      </c>
      <c r="E1233" s="52">
        <v>26332423</v>
      </c>
      <c r="F1233" s="52" t="s">
        <v>1296</v>
      </c>
      <c r="G1233" s="25">
        <f t="shared" si="17"/>
        <v>-3.2608427569026377E-3</v>
      </c>
    </row>
    <row r="1234" spans="1:7">
      <c r="A1234" s="52">
        <v>327.7122</v>
      </c>
      <c r="B1234" s="52">
        <v>329.99959999999999</v>
      </c>
      <c r="C1234" s="52">
        <v>319.8553</v>
      </c>
      <c r="D1234" s="52">
        <v>328.31880000000001</v>
      </c>
      <c r="E1234" s="52">
        <v>56526771</v>
      </c>
      <c r="F1234" s="52" t="s">
        <v>1297</v>
      </c>
      <c r="G1234" s="25">
        <f t="shared" si="17"/>
        <v>-1.8475944722020632E-3</v>
      </c>
    </row>
    <row r="1235" spans="1:7">
      <c r="A1235" s="52">
        <v>305.42439999999999</v>
      </c>
      <c r="B1235" s="52">
        <v>309.22359999999998</v>
      </c>
      <c r="C1235" s="52">
        <v>303.70389999999998</v>
      </c>
      <c r="D1235" s="52">
        <v>305.68299999999999</v>
      </c>
      <c r="E1235" s="52">
        <v>33907210</v>
      </c>
      <c r="F1235" s="52" t="s">
        <v>1298</v>
      </c>
      <c r="G1235" s="25">
        <f t="shared" si="17"/>
        <v>-8.459744244855294E-4</v>
      </c>
    </row>
    <row r="1236" spans="1:7">
      <c r="A1236" s="52">
        <v>301.91370000000001</v>
      </c>
      <c r="B1236" s="52">
        <v>303.67399999999998</v>
      </c>
      <c r="C1236" s="52">
        <v>299.46710000000002</v>
      </c>
      <c r="D1236" s="52">
        <v>302.6198</v>
      </c>
      <c r="E1236" s="52">
        <v>15309256</v>
      </c>
      <c r="F1236" s="52" t="s">
        <v>1299</v>
      </c>
      <c r="G1236" s="25">
        <f t="shared" si="17"/>
        <v>-2.3332908157364107E-3</v>
      </c>
    </row>
    <row r="1237" spans="1:7">
      <c r="A1237" s="52">
        <v>301.38659999999999</v>
      </c>
      <c r="B1237" s="52">
        <v>304.13150000000002</v>
      </c>
      <c r="C1237" s="52">
        <v>299.91469999999998</v>
      </c>
      <c r="D1237" s="52">
        <v>301.68459999999999</v>
      </c>
      <c r="E1237" s="52">
        <v>16172593</v>
      </c>
      <c r="F1237" s="52" t="s">
        <v>1300</v>
      </c>
      <c r="G1237" s="25">
        <f t="shared" si="17"/>
        <v>-9.877865824109433E-4</v>
      </c>
    </row>
    <row r="1238" spans="1:7">
      <c r="A1238" s="52">
        <v>299.48700000000002</v>
      </c>
      <c r="B1238" s="52">
        <v>300.93900000000002</v>
      </c>
      <c r="C1238" s="52">
        <v>295.52870000000001</v>
      </c>
      <c r="D1238" s="52">
        <v>297.12990000000002</v>
      </c>
      <c r="E1238" s="52">
        <v>17559498</v>
      </c>
      <c r="F1238" s="52" t="s">
        <v>1301</v>
      </c>
      <c r="G1238" s="25">
        <f t="shared" si="17"/>
        <v>7.93289399686814E-3</v>
      </c>
    </row>
    <row r="1239" spans="1:7">
      <c r="A1239" s="52">
        <v>294.90219999999999</v>
      </c>
      <c r="B1239" s="52">
        <v>301.2672</v>
      </c>
      <c r="C1239" s="52">
        <v>294.4248</v>
      </c>
      <c r="D1239" s="52">
        <v>299.6859</v>
      </c>
      <c r="E1239" s="52">
        <v>16375350</v>
      </c>
      <c r="F1239" s="52" t="s">
        <v>1302</v>
      </c>
      <c r="G1239" s="25">
        <f t="shared" si="17"/>
        <v>-1.5962379277770555E-2</v>
      </c>
    </row>
    <row r="1240" spans="1:7">
      <c r="A1240" s="52">
        <v>299.8252</v>
      </c>
      <c r="B1240" s="52">
        <v>300.33240000000001</v>
      </c>
      <c r="C1240" s="52">
        <v>295.76740000000001</v>
      </c>
      <c r="D1240" s="52">
        <v>300.29759999999999</v>
      </c>
      <c r="E1240" s="52">
        <v>14863474</v>
      </c>
      <c r="F1240" s="52" t="s">
        <v>1303</v>
      </c>
      <c r="G1240" s="25">
        <f t="shared" si="17"/>
        <v>-1.5731061453704287E-3</v>
      </c>
    </row>
    <row r="1241" spans="1:7">
      <c r="A1241" s="52">
        <v>300.99869999999999</v>
      </c>
      <c r="B1241" s="52">
        <v>303.43529999999998</v>
      </c>
      <c r="C1241" s="52">
        <v>295.58839999999998</v>
      </c>
      <c r="D1241" s="52">
        <v>300.34230000000002</v>
      </c>
      <c r="E1241" s="52">
        <v>16796442</v>
      </c>
      <c r="F1241" s="52" t="s">
        <v>1304</v>
      </c>
      <c r="G1241" s="25">
        <f t="shared" si="17"/>
        <v>2.1855063372691053E-3</v>
      </c>
    </row>
    <row r="1242" spans="1:7">
      <c r="A1242" s="52">
        <v>300.59100000000001</v>
      </c>
      <c r="B1242" s="52">
        <v>306.02120000000002</v>
      </c>
      <c r="C1242" s="52">
        <v>298.92009999999999</v>
      </c>
      <c r="D1242" s="52">
        <v>303.34289999999999</v>
      </c>
      <c r="E1242" s="52">
        <v>14553507</v>
      </c>
      <c r="F1242" s="52" t="s">
        <v>1305</v>
      </c>
      <c r="G1242" s="25">
        <f t="shared" si="17"/>
        <v>-9.0719116880598749E-3</v>
      </c>
    </row>
    <row r="1243" spans="1:7">
      <c r="A1243" s="52">
        <v>304.5095</v>
      </c>
      <c r="B1243" s="52">
        <v>307.26429999999999</v>
      </c>
      <c r="C1243" s="52">
        <v>302.94799999999998</v>
      </c>
      <c r="D1243" s="52">
        <v>306.48860000000002</v>
      </c>
      <c r="E1243" s="52">
        <v>13059163</v>
      </c>
      <c r="F1243" s="52" t="s">
        <v>1306</v>
      </c>
      <c r="G1243" s="25">
        <f t="shared" si="17"/>
        <v>-6.4573364229534302E-3</v>
      </c>
    </row>
    <row r="1244" spans="1:7">
      <c r="A1244" s="52">
        <v>306.14049999999997</v>
      </c>
      <c r="B1244" s="52">
        <v>308.4479</v>
      </c>
      <c r="C1244" s="52">
        <v>302.44080000000002</v>
      </c>
      <c r="D1244" s="52">
        <v>304.66860000000003</v>
      </c>
      <c r="E1244" s="52">
        <v>14558273</v>
      </c>
      <c r="F1244" s="52" t="s">
        <v>1307</v>
      </c>
      <c r="G1244" s="25">
        <f t="shared" si="17"/>
        <v>4.8311509620615478E-3</v>
      </c>
    </row>
    <row r="1245" spans="1:7">
      <c r="A1245" s="52">
        <v>301.1678</v>
      </c>
      <c r="B1245" s="52">
        <v>306.3494</v>
      </c>
      <c r="C1245" s="52">
        <v>300.30250000000001</v>
      </c>
      <c r="D1245" s="52">
        <v>305.62329999999997</v>
      </c>
      <c r="E1245" s="52">
        <v>17421393</v>
      </c>
      <c r="F1245" s="52" t="s">
        <v>1308</v>
      </c>
      <c r="G1245" s="25">
        <f t="shared" si="17"/>
        <v>-1.4578404198894446E-2</v>
      </c>
    </row>
    <row r="1246" spans="1:7">
      <c r="A1246" s="52">
        <v>308.06990000000002</v>
      </c>
      <c r="B1246" s="52">
        <v>312.71249999999998</v>
      </c>
      <c r="C1246" s="52">
        <v>307.63229999999999</v>
      </c>
      <c r="D1246" s="52">
        <v>310.50659999999999</v>
      </c>
      <c r="E1246" s="52">
        <v>14036927</v>
      </c>
      <c r="F1246" s="52" t="s">
        <v>1309</v>
      </c>
      <c r="G1246" s="25">
        <f t="shared" si="17"/>
        <v>-7.8474982496345991E-3</v>
      </c>
    </row>
    <row r="1247" spans="1:7">
      <c r="A1247" s="52">
        <v>309.84019999999998</v>
      </c>
      <c r="B1247" s="52">
        <v>310.44690000000003</v>
      </c>
      <c r="C1247" s="52">
        <v>306.24990000000003</v>
      </c>
      <c r="D1247" s="52">
        <v>309.35289999999998</v>
      </c>
      <c r="E1247" s="52">
        <v>10881935</v>
      </c>
      <c r="F1247" s="52" t="s">
        <v>1310</v>
      </c>
      <c r="G1247" s="25">
        <f t="shared" si="17"/>
        <v>1.5752236361772365E-3</v>
      </c>
    </row>
    <row r="1248" spans="1:7">
      <c r="A1248" s="52">
        <v>310.7552</v>
      </c>
      <c r="B1248" s="52">
        <v>313.02280000000002</v>
      </c>
      <c r="C1248" s="52">
        <v>308.63679999999999</v>
      </c>
      <c r="D1248" s="52">
        <v>309.70100000000002</v>
      </c>
      <c r="E1248" s="52">
        <v>15988568</v>
      </c>
      <c r="F1248" s="52" t="s">
        <v>1311</v>
      </c>
      <c r="G1248" s="25">
        <f t="shared" si="17"/>
        <v>3.4039283050424363E-3</v>
      </c>
    </row>
    <row r="1249" spans="1:7">
      <c r="A1249" s="52">
        <v>311.31209999999999</v>
      </c>
      <c r="B1249" s="52">
        <v>314.15649999999999</v>
      </c>
      <c r="C1249" s="52">
        <v>308.35829999999999</v>
      </c>
      <c r="D1249" s="52">
        <v>313.13220000000001</v>
      </c>
      <c r="E1249" s="52">
        <v>20894148</v>
      </c>
      <c r="F1249" s="52" t="s">
        <v>1312</v>
      </c>
      <c r="G1249" s="25">
        <f t="shared" si="17"/>
        <v>-5.8125609566822556E-3</v>
      </c>
    </row>
    <row r="1250" spans="1:7">
      <c r="A1250" s="52">
        <v>311.3818</v>
      </c>
      <c r="B1250" s="52">
        <v>312.53539999999998</v>
      </c>
      <c r="C1250" s="52">
        <v>303.83319999999998</v>
      </c>
      <c r="D1250" s="52">
        <v>304.66860000000003</v>
      </c>
      <c r="E1250" s="52">
        <v>22855241</v>
      </c>
      <c r="F1250" s="52" t="s">
        <v>1313</v>
      </c>
      <c r="G1250" s="25">
        <f t="shared" si="17"/>
        <v>2.2034433479524829E-2</v>
      </c>
    </row>
    <row r="1251" spans="1:7">
      <c r="A1251" s="52">
        <v>304.589</v>
      </c>
      <c r="B1251" s="52">
        <v>309.65120000000002</v>
      </c>
      <c r="C1251" s="52">
        <v>303.58449999999999</v>
      </c>
      <c r="D1251" s="52">
        <v>307.1515</v>
      </c>
      <c r="E1251" s="52">
        <v>17335246</v>
      </c>
      <c r="F1251" s="52" t="s">
        <v>1314</v>
      </c>
      <c r="G1251" s="25">
        <f t="shared" si="17"/>
        <v>-8.3427884936261298E-3</v>
      </c>
    </row>
    <row r="1252" spans="1:7">
      <c r="A1252" s="52">
        <v>307.22460000000001</v>
      </c>
      <c r="B1252" s="52">
        <v>309.06939999999997</v>
      </c>
      <c r="C1252" s="52">
        <v>299.03949999999998</v>
      </c>
      <c r="D1252" s="52">
        <v>299.24829999999997</v>
      </c>
      <c r="E1252" s="52">
        <v>28237006</v>
      </c>
      <c r="F1252" s="52" t="s">
        <v>1315</v>
      </c>
      <c r="G1252" s="25">
        <f t="shared" si="17"/>
        <v>2.6654453843179882E-2</v>
      </c>
    </row>
    <row r="1253" spans="1:7">
      <c r="A1253" s="52">
        <v>297.03050000000002</v>
      </c>
      <c r="B1253" s="52">
        <v>300.75009999999997</v>
      </c>
      <c r="C1253" s="52">
        <v>294.98169999999999</v>
      </c>
      <c r="D1253" s="52">
        <v>296.77190000000002</v>
      </c>
      <c r="E1253" s="52">
        <v>17615980</v>
      </c>
      <c r="F1253" s="52" t="s">
        <v>1316</v>
      </c>
      <c r="G1253" s="25">
        <f t="shared" si="17"/>
        <v>8.7137629944078476E-4</v>
      </c>
    </row>
    <row r="1254" spans="1:7">
      <c r="A1254" s="52">
        <v>292.923</v>
      </c>
      <c r="B1254" s="52">
        <v>294.88229999999999</v>
      </c>
      <c r="C1254" s="52">
        <v>287.03530000000001</v>
      </c>
      <c r="D1254" s="52">
        <v>288.40780000000001</v>
      </c>
      <c r="E1254" s="52">
        <v>19498157</v>
      </c>
      <c r="F1254" s="52" t="s">
        <v>1317</v>
      </c>
      <c r="G1254" s="25">
        <f t="shared" si="17"/>
        <v>1.5655609869081211E-2</v>
      </c>
    </row>
    <row r="1255" spans="1:7">
      <c r="A1255" s="52">
        <v>286.42860000000002</v>
      </c>
      <c r="B1255" s="52">
        <v>290.87430000000001</v>
      </c>
      <c r="C1255" s="52">
        <v>285.13569999999999</v>
      </c>
      <c r="D1255" s="52">
        <v>288.24869999999999</v>
      </c>
      <c r="E1255" s="52">
        <v>17474537</v>
      </c>
      <c r="F1255" s="52" t="s">
        <v>1318</v>
      </c>
      <c r="G1255" s="25">
        <f t="shared" si="17"/>
        <v>-6.3143389718668397E-3</v>
      </c>
    </row>
    <row r="1256" spans="1:7">
      <c r="A1256" s="52">
        <v>289.23329999999999</v>
      </c>
      <c r="B1256" s="52">
        <v>291.5804</v>
      </c>
      <c r="C1256" s="52">
        <v>283.14670000000001</v>
      </c>
      <c r="D1256" s="52">
        <v>284.21080000000001</v>
      </c>
      <c r="E1256" s="52">
        <v>21718831</v>
      </c>
      <c r="F1256" s="52" t="s">
        <v>1319</v>
      </c>
      <c r="G1256" s="25">
        <f t="shared" si="17"/>
        <v>1.7671742242025834E-2</v>
      </c>
    </row>
    <row r="1257" spans="1:7">
      <c r="A1257" s="52">
        <v>281.47579999999999</v>
      </c>
      <c r="B1257" s="52">
        <v>282.9477</v>
      </c>
      <c r="C1257" s="52">
        <v>276.25450000000001</v>
      </c>
      <c r="D1257" s="52">
        <v>276.78339999999997</v>
      </c>
      <c r="E1257" s="52">
        <v>17629185</v>
      </c>
      <c r="F1257" s="52" t="s">
        <v>1320</v>
      </c>
      <c r="G1257" s="25">
        <f t="shared" si="17"/>
        <v>1.6953328848478666E-2</v>
      </c>
    </row>
    <row r="1258" spans="1:7">
      <c r="A1258" s="52">
        <v>277.2192</v>
      </c>
      <c r="B1258" s="52">
        <v>286.48829999999998</v>
      </c>
      <c r="C1258" s="52">
        <v>276.2346</v>
      </c>
      <c r="D1258" s="52">
        <v>279.44690000000003</v>
      </c>
      <c r="E1258" s="52">
        <v>24505648</v>
      </c>
      <c r="F1258" s="52" t="s">
        <v>1321</v>
      </c>
      <c r="G1258" s="25">
        <f t="shared" si="17"/>
        <v>-7.9718186174190242E-3</v>
      </c>
    </row>
    <row r="1259" spans="1:7">
      <c r="A1259" s="52">
        <v>280.60059999999999</v>
      </c>
      <c r="B1259" s="52">
        <v>290.1284</v>
      </c>
      <c r="C1259" s="52">
        <v>279.62599999999998</v>
      </c>
      <c r="D1259" s="52">
        <v>289.41230000000002</v>
      </c>
      <c r="E1259" s="52">
        <v>18675046</v>
      </c>
      <c r="F1259" s="52" t="s">
        <v>1322</v>
      </c>
      <c r="G1259" s="25">
        <f t="shared" si="17"/>
        <v>-3.0446874579967864E-2</v>
      </c>
    </row>
    <row r="1260" spans="1:7">
      <c r="A1260" s="52">
        <v>289.04430000000002</v>
      </c>
      <c r="B1260" s="52">
        <v>296.3741</v>
      </c>
      <c r="C1260" s="52">
        <v>288.22879999999998</v>
      </c>
      <c r="D1260" s="52">
        <v>291.5505</v>
      </c>
      <c r="E1260" s="52">
        <v>23000929</v>
      </c>
      <c r="F1260" s="52" t="s">
        <v>1323</v>
      </c>
      <c r="G1260" s="25">
        <f t="shared" si="17"/>
        <v>-8.5961094218668377E-3</v>
      </c>
    </row>
    <row r="1261" spans="1:7">
      <c r="A1261" s="52">
        <v>291.9384</v>
      </c>
      <c r="B1261" s="52">
        <v>298.06979999999999</v>
      </c>
      <c r="C1261" s="52">
        <v>285.18560000000002</v>
      </c>
      <c r="D1261" s="52">
        <v>288.86529999999999</v>
      </c>
      <c r="E1261" s="52">
        <v>28273073</v>
      </c>
      <c r="F1261" s="52" t="s">
        <v>1324</v>
      </c>
      <c r="G1261" s="25">
        <f t="shared" si="17"/>
        <v>1.0638522522435245E-2</v>
      </c>
    </row>
    <row r="1262" spans="1:7">
      <c r="A1262" s="52">
        <v>288.52710000000002</v>
      </c>
      <c r="B1262" s="52">
        <v>291.20249999999999</v>
      </c>
      <c r="C1262" s="52">
        <v>279.66079999999999</v>
      </c>
      <c r="D1262" s="52">
        <v>279.68560000000002</v>
      </c>
      <c r="E1262" s="52">
        <v>38930536</v>
      </c>
      <c r="F1262" s="52" t="s">
        <v>1325</v>
      </c>
      <c r="G1262" s="25">
        <f t="shared" si="17"/>
        <v>3.1612281790696306E-2</v>
      </c>
    </row>
    <row r="1263" spans="1:7">
      <c r="A1263" s="52">
        <v>277.09980000000002</v>
      </c>
      <c r="B1263" s="52">
        <v>283.63389999999998</v>
      </c>
      <c r="C1263" s="52">
        <v>276.76170000000002</v>
      </c>
      <c r="D1263" s="52">
        <v>278.34300000000002</v>
      </c>
      <c r="E1263" s="52">
        <v>18754853</v>
      </c>
      <c r="F1263" s="52" t="s">
        <v>1326</v>
      </c>
      <c r="G1263" s="25">
        <f t="shared" si="17"/>
        <v>-4.4664317047671265E-3</v>
      </c>
    </row>
    <row r="1264" spans="1:7">
      <c r="A1264" s="52">
        <v>282.46039999999999</v>
      </c>
      <c r="B1264" s="52">
        <v>284.66829999999999</v>
      </c>
      <c r="C1264" s="52">
        <v>273.90730000000002</v>
      </c>
      <c r="D1264" s="52">
        <v>274.20069999999998</v>
      </c>
      <c r="E1264" s="52">
        <v>21315044</v>
      </c>
      <c r="F1264" s="52" t="s">
        <v>1327</v>
      </c>
      <c r="G1264" s="25">
        <f t="shared" si="17"/>
        <v>3.0122826090524191E-2</v>
      </c>
    </row>
    <row r="1265" spans="1:7">
      <c r="A1265" s="52">
        <v>277.75619999999998</v>
      </c>
      <c r="B1265" s="52">
        <v>280.60059999999999</v>
      </c>
      <c r="C1265" s="52">
        <v>273.30070000000001</v>
      </c>
      <c r="D1265" s="52">
        <v>274.57870000000003</v>
      </c>
      <c r="E1265" s="52">
        <v>22437665</v>
      </c>
      <c r="F1265" s="52" t="s">
        <v>1328</v>
      </c>
      <c r="G1265" s="25">
        <f t="shared" si="17"/>
        <v>1.1572274178586861E-2</v>
      </c>
    </row>
    <row r="1266" spans="1:7">
      <c r="A1266" s="52">
        <v>272.25639999999999</v>
      </c>
      <c r="B1266" s="52">
        <v>274.45429999999999</v>
      </c>
      <c r="C1266" s="52">
        <v>267.03500000000003</v>
      </c>
      <c r="D1266" s="52">
        <v>267.61189999999999</v>
      </c>
      <c r="E1266" s="52">
        <v>16856746</v>
      </c>
      <c r="F1266" s="52" t="s">
        <v>1329</v>
      </c>
      <c r="G1266" s="25">
        <f t="shared" si="17"/>
        <v>1.7355356768514296E-2</v>
      </c>
    </row>
    <row r="1267" spans="1:7">
      <c r="A1267" s="52">
        <v>266.93560000000002</v>
      </c>
      <c r="B1267" s="52">
        <v>268.26830000000001</v>
      </c>
      <c r="C1267" s="52">
        <v>262.5795</v>
      </c>
      <c r="D1267" s="52">
        <v>267.67149999999998</v>
      </c>
      <c r="E1267" s="52">
        <v>20600198</v>
      </c>
      <c r="F1267" s="52" t="s">
        <v>1330</v>
      </c>
      <c r="G1267" s="25">
        <f t="shared" si="17"/>
        <v>-2.7492654242231573E-3</v>
      </c>
    </row>
    <row r="1268" spans="1:7">
      <c r="A1268" s="52">
        <v>272.38569999999999</v>
      </c>
      <c r="B1268" s="52">
        <v>276.38380000000001</v>
      </c>
      <c r="C1268" s="52">
        <v>266.35879999999997</v>
      </c>
      <c r="D1268" s="52">
        <v>266.6472</v>
      </c>
      <c r="E1268" s="52">
        <v>21833979</v>
      </c>
      <c r="F1268" s="52" t="s">
        <v>1331</v>
      </c>
      <c r="G1268" s="25">
        <f t="shared" si="17"/>
        <v>2.1520946029060184E-2</v>
      </c>
    </row>
    <row r="1269" spans="1:7">
      <c r="A1269" s="52">
        <v>263.4547</v>
      </c>
      <c r="B1269" s="52">
        <v>267.5025</v>
      </c>
      <c r="C1269" s="52">
        <v>261.43579999999997</v>
      </c>
      <c r="D1269" s="52">
        <v>267.17430000000002</v>
      </c>
      <c r="E1269" s="52">
        <v>14210318</v>
      </c>
      <c r="F1269" s="52" t="s">
        <v>1332</v>
      </c>
      <c r="G1269" s="25">
        <f t="shared" si="17"/>
        <v>-1.3921997737057823E-2</v>
      </c>
    </row>
    <row r="1270" spans="1:7">
      <c r="A1270" s="52">
        <v>264.2901</v>
      </c>
      <c r="B1270" s="52">
        <v>267.06490000000002</v>
      </c>
      <c r="C1270" s="52">
        <v>258.39249999999998</v>
      </c>
      <c r="D1270" s="52">
        <v>259.75</v>
      </c>
      <c r="E1270" s="52">
        <v>22039740</v>
      </c>
      <c r="F1270" s="52" t="s">
        <v>1333</v>
      </c>
      <c r="G1270" s="25">
        <f t="shared" si="17"/>
        <v>1.7478729547641958E-2</v>
      </c>
    </row>
    <row r="1271" spans="1:7">
      <c r="A1271" s="52">
        <v>253.917</v>
      </c>
      <c r="B1271" s="52">
        <v>264.13099999999997</v>
      </c>
      <c r="C1271" s="52">
        <v>253.6584</v>
      </c>
      <c r="D1271" s="52">
        <v>264.10109999999997</v>
      </c>
      <c r="E1271" s="52">
        <v>18391768</v>
      </c>
      <c r="F1271" s="52" t="s">
        <v>1334</v>
      </c>
      <c r="G1271" s="25">
        <f t="shared" si="17"/>
        <v>-3.8561369112055877E-2</v>
      </c>
    </row>
    <row r="1272" spans="1:7">
      <c r="A1272" s="52">
        <v>262.8381</v>
      </c>
      <c r="B1272" s="52">
        <v>264.00170000000003</v>
      </c>
      <c r="C1272" s="52">
        <v>254.21539999999999</v>
      </c>
      <c r="D1272" s="52">
        <v>259.24779999999998</v>
      </c>
      <c r="E1272" s="52">
        <v>26820055</v>
      </c>
      <c r="F1272" s="52" t="s">
        <v>1335</v>
      </c>
      <c r="G1272" s="25">
        <f t="shared" si="17"/>
        <v>1.3848912121915857E-2</v>
      </c>
    </row>
    <row r="1273" spans="1:7">
      <c r="A1273" s="52">
        <v>256.23430000000002</v>
      </c>
      <c r="B1273" s="52">
        <v>265.036</v>
      </c>
      <c r="C1273" s="52">
        <v>252.11689999999999</v>
      </c>
      <c r="D1273" s="52">
        <v>255.07069999999999</v>
      </c>
      <c r="E1273" s="52">
        <v>31626463</v>
      </c>
      <c r="F1273" s="52" t="s">
        <v>1336</v>
      </c>
      <c r="G1273" s="25">
        <f t="shared" si="17"/>
        <v>4.561872453402227E-3</v>
      </c>
    </row>
    <row r="1274" spans="1:7">
      <c r="A1274" s="52">
        <v>254.01650000000001</v>
      </c>
      <c r="B1274" s="52">
        <v>259.5659</v>
      </c>
      <c r="C1274" s="52">
        <v>253.70820000000001</v>
      </c>
      <c r="D1274" s="52">
        <v>258.8698</v>
      </c>
      <c r="E1274" s="52">
        <v>15513515</v>
      </c>
      <c r="F1274" s="52" t="s">
        <v>1337</v>
      </c>
      <c r="G1274" s="25">
        <f t="shared" si="17"/>
        <v>-1.8748034726337348E-2</v>
      </c>
    </row>
    <row r="1275" spans="1:7">
      <c r="A1275" s="52">
        <v>257.58690000000001</v>
      </c>
      <c r="B1275" s="52">
        <v>265.25479999999999</v>
      </c>
      <c r="C1275" s="52">
        <v>257.23880000000003</v>
      </c>
      <c r="D1275" s="52">
        <v>264.32990000000001</v>
      </c>
      <c r="E1275" s="52">
        <v>15191722</v>
      </c>
      <c r="F1275" s="52" t="s">
        <v>1338</v>
      </c>
      <c r="G1275" s="25">
        <f t="shared" si="17"/>
        <v>-2.55097890930992E-2</v>
      </c>
    </row>
    <row r="1276" spans="1:7">
      <c r="A1276" s="52">
        <v>263.46460000000002</v>
      </c>
      <c r="B1276" s="52">
        <v>265.19510000000002</v>
      </c>
      <c r="C1276" s="52">
        <v>256.49680000000001</v>
      </c>
      <c r="D1276" s="52">
        <v>259.39690000000002</v>
      </c>
      <c r="E1276" s="52">
        <v>22157255</v>
      </c>
      <c r="F1276" s="52" t="s">
        <v>1339</v>
      </c>
      <c r="G1276" s="25">
        <f t="shared" si="17"/>
        <v>1.568137475814102E-2</v>
      </c>
    </row>
    <row r="1277" spans="1:7">
      <c r="A1277" s="52">
        <v>256.21440000000001</v>
      </c>
      <c r="B1277" s="52">
        <v>264.10109999999997</v>
      </c>
      <c r="C1277" s="52">
        <v>255.07069999999999</v>
      </c>
      <c r="D1277" s="52">
        <v>255.07069999999999</v>
      </c>
      <c r="E1277" s="52">
        <v>26619517</v>
      </c>
      <c r="F1277" s="52" t="s">
        <v>1340</v>
      </c>
      <c r="G1277" s="25">
        <f t="shared" si="17"/>
        <v>4.4838548684738022E-3</v>
      </c>
    </row>
    <row r="1278" spans="1:7">
      <c r="A1278" s="52">
        <v>253.3004</v>
      </c>
      <c r="B1278" s="52">
        <v>265.48360000000002</v>
      </c>
      <c r="C1278" s="52">
        <v>252.65389999999999</v>
      </c>
      <c r="D1278" s="52">
        <v>260.8689</v>
      </c>
      <c r="E1278" s="52">
        <v>19053142</v>
      </c>
      <c r="F1278" s="52" t="s">
        <v>1341</v>
      </c>
      <c r="G1278" s="25">
        <f t="shared" si="17"/>
        <v>-2.9012657315609536E-2</v>
      </c>
    </row>
    <row r="1279" spans="1:7">
      <c r="A1279" s="52">
        <v>262.86790000000002</v>
      </c>
      <c r="B1279" s="52">
        <v>264.92660000000001</v>
      </c>
      <c r="C1279" s="52">
        <v>256.98020000000002</v>
      </c>
      <c r="D1279" s="52">
        <v>260.89370000000002</v>
      </c>
      <c r="E1279" s="52">
        <v>15736123</v>
      </c>
      <c r="F1279" s="52" t="s">
        <v>1342</v>
      </c>
      <c r="G1279" s="25">
        <f t="shared" si="17"/>
        <v>7.5670665868896592E-3</v>
      </c>
    </row>
    <row r="1280" spans="1:7">
      <c r="A1280" s="52">
        <v>264.40449999999998</v>
      </c>
      <c r="B1280" s="52">
        <v>266.00069999999999</v>
      </c>
      <c r="C1280" s="52">
        <v>253.56890000000001</v>
      </c>
      <c r="D1280" s="52">
        <v>258.08409999999998</v>
      </c>
      <c r="E1280" s="52">
        <v>21924557</v>
      </c>
      <c r="F1280" s="52" t="s">
        <v>1343</v>
      </c>
      <c r="G1280" s="25">
        <f t="shared" si="17"/>
        <v>2.4489691538533309E-2</v>
      </c>
    </row>
    <row r="1281" spans="1:7">
      <c r="A1281" s="52">
        <v>258.90960000000001</v>
      </c>
      <c r="B1281" s="52">
        <v>261.63470000000001</v>
      </c>
      <c r="C1281" s="52">
        <v>256.12490000000003</v>
      </c>
      <c r="D1281" s="52">
        <v>256.54259999999999</v>
      </c>
      <c r="E1281" s="52">
        <v>17434873</v>
      </c>
      <c r="F1281" s="52" t="s">
        <v>1344</v>
      </c>
      <c r="G1281" s="25">
        <f t="shared" si="17"/>
        <v>9.2265378147724508E-3</v>
      </c>
    </row>
    <row r="1282" spans="1:7">
      <c r="A1282" s="52">
        <v>260.13290000000001</v>
      </c>
      <c r="B1282" s="52">
        <v>268.79539999999997</v>
      </c>
      <c r="C1282" s="52">
        <v>258.73059999999998</v>
      </c>
      <c r="D1282" s="52">
        <v>268.38760000000002</v>
      </c>
      <c r="E1282" s="52">
        <v>25622587</v>
      </c>
      <c r="F1282" s="52" t="s">
        <v>1345</v>
      </c>
      <c r="G1282" s="25">
        <f t="shared" si="17"/>
        <v>-3.0756637042844037E-2</v>
      </c>
    </row>
    <row r="1283" spans="1:7">
      <c r="A1283" s="52">
        <v>267.92020000000002</v>
      </c>
      <c r="B1283" s="52">
        <v>270.46620000000001</v>
      </c>
      <c r="C1283" s="52">
        <v>264.57850000000002</v>
      </c>
      <c r="D1283" s="52">
        <v>268.0942</v>
      </c>
      <c r="E1283" s="52">
        <v>15249134</v>
      </c>
      <c r="F1283" s="52" t="s">
        <v>1346</v>
      </c>
      <c r="G1283" s="25">
        <f t="shared" si="17"/>
        <v>-6.4902560368695905E-4</v>
      </c>
    </row>
    <row r="1284" spans="1:7">
      <c r="A1284" s="52">
        <v>272.07740000000001</v>
      </c>
      <c r="B1284" s="52">
        <v>272.47519999999997</v>
      </c>
      <c r="C1284" s="52">
        <v>268.10910000000001</v>
      </c>
      <c r="D1284" s="52">
        <v>269.76010000000002</v>
      </c>
      <c r="E1284" s="52">
        <v>12763240</v>
      </c>
      <c r="F1284" s="52" t="s">
        <v>1347</v>
      </c>
      <c r="G1284" s="25">
        <f t="shared" ref="G1284:G1347" si="18">A1284/D1284-1</f>
        <v>8.5902251667313578E-3</v>
      </c>
    </row>
    <row r="1285" spans="1:7">
      <c r="A1285" s="52">
        <v>272.47519999999997</v>
      </c>
      <c r="B1285" s="52">
        <v>275.0908</v>
      </c>
      <c r="C1285" s="52">
        <v>268.57659999999998</v>
      </c>
      <c r="D1285" s="52">
        <v>269.32249999999999</v>
      </c>
      <c r="E1285" s="52">
        <v>15417243</v>
      </c>
      <c r="F1285" s="52" t="s">
        <v>1348</v>
      </c>
      <c r="G1285" s="25">
        <f t="shared" si="18"/>
        <v>1.1706040156318043E-2</v>
      </c>
    </row>
    <row r="1286" spans="1:7">
      <c r="A1286" s="52">
        <v>269.02409999999998</v>
      </c>
      <c r="B1286" s="52">
        <v>269.7004</v>
      </c>
      <c r="C1286" s="52">
        <v>266.8759</v>
      </c>
      <c r="D1286" s="52">
        <v>269.04399999999998</v>
      </c>
      <c r="E1286" s="52">
        <v>9097597</v>
      </c>
      <c r="F1286" s="52" t="s">
        <v>1349</v>
      </c>
      <c r="G1286" s="25">
        <f t="shared" si="18"/>
        <v>-7.3965596705360959E-5</v>
      </c>
    </row>
    <row r="1287" spans="1:7">
      <c r="A1287" s="52">
        <v>268.91469999999998</v>
      </c>
      <c r="B1287" s="52">
        <v>272.08730000000003</v>
      </c>
      <c r="C1287" s="52">
        <v>267.02510000000001</v>
      </c>
      <c r="D1287" s="52">
        <v>270.40649999999999</v>
      </c>
      <c r="E1287" s="52">
        <v>12828572</v>
      </c>
      <c r="F1287" s="52" t="s">
        <v>1350</v>
      </c>
      <c r="G1287" s="25">
        <f t="shared" si="18"/>
        <v>-5.5168792170307013E-3</v>
      </c>
    </row>
    <row r="1288" spans="1:7">
      <c r="A1288" s="52">
        <v>270.38670000000002</v>
      </c>
      <c r="B1288" s="52">
        <v>272.30599999999998</v>
      </c>
      <c r="C1288" s="52">
        <v>266.2593</v>
      </c>
      <c r="D1288" s="52">
        <v>270.95999999999998</v>
      </c>
      <c r="E1288" s="52">
        <v>14687152</v>
      </c>
      <c r="F1288" s="52" t="s">
        <v>1351</v>
      </c>
      <c r="G1288" s="25">
        <f t="shared" si="18"/>
        <v>-2.1158104517270404E-3</v>
      </c>
    </row>
    <row r="1289" spans="1:7">
      <c r="A1289" s="52">
        <v>267.97989999999999</v>
      </c>
      <c r="B1289" s="52">
        <v>271.89839999999998</v>
      </c>
      <c r="C1289" s="52">
        <v>264.3</v>
      </c>
      <c r="D1289" s="52">
        <v>264.98630000000003</v>
      </c>
      <c r="E1289" s="52">
        <v>14613375</v>
      </c>
      <c r="F1289" s="52" t="s">
        <v>1352</v>
      </c>
      <c r="G1289" s="25">
        <f t="shared" si="18"/>
        <v>1.1297187816879495E-2</v>
      </c>
    </row>
    <row r="1290" spans="1:7">
      <c r="A1290" s="52">
        <v>265.12549999999999</v>
      </c>
      <c r="B1290" s="52">
        <v>268.38760000000002</v>
      </c>
      <c r="C1290" s="52">
        <v>263.55410000000001</v>
      </c>
      <c r="D1290" s="52">
        <v>267.28370000000001</v>
      </c>
      <c r="E1290" s="52">
        <v>13755191</v>
      </c>
      <c r="F1290" s="52" t="s">
        <v>1353</v>
      </c>
      <c r="G1290" s="25">
        <f t="shared" si="18"/>
        <v>-8.0745664625265778E-3</v>
      </c>
    </row>
    <row r="1291" spans="1:7">
      <c r="A1291" s="52">
        <v>266.63720000000001</v>
      </c>
      <c r="B1291" s="52">
        <v>267.70139999999998</v>
      </c>
      <c r="C1291" s="52">
        <v>264.22050000000002</v>
      </c>
      <c r="D1291" s="52">
        <v>265.34429999999998</v>
      </c>
      <c r="E1291" s="52">
        <v>12454367</v>
      </c>
      <c r="F1291" s="52" t="s">
        <v>1354</v>
      </c>
      <c r="G1291" s="25">
        <f t="shared" si="18"/>
        <v>4.8725373034206321E-3</v>
      </c>
    </row>
    <row r="1292" spans="1:7">
      <c r="A1292" s="52">
        <v>265.036</v>
      </c>
      <c r="B1292" s="52">
        <v>266.69690000000003</v>
      </c>
      <c r="C1292" s="52">
        <v>262.55959999999999</v>
      </c>
      <c r="D1292" s="52">
        <v>265.5532</v>
      </c>
      <c r="E1292" s="52">
        <v>16059958</v>
      </c>
      <c r="F1292" s="52" t="s">
        <v>1355</v>
      </c>
      <c r="G1292" s="25">
        <f t="shared" si="18"/>
        <v>-1.9476323388307737E-3</v>
      </c>
    </row>
    <row r="1293" spans="1:7">
      <c r="A1293" s="52">
        <v>265.19510000000002</v>
      </c>
      <c r="B1293" s="52">
        <v>267.7312</v>
      </c>
      <c r="C1293" s="52">
        <v>262.40050000000002</v>
      </c>
      <c r="D1293" s="52">
        <v>264.17079999999999</v>
      </c>
      <c r="E1293" s="52">
        <v>14223377</v>
      </c>
      <c r="F1293" s="52" t="s">
        <v>1356</v>
      </c>
      <c r="G1293" s="25">
        <f t="shared" si="18"/>
        <v>3.8774156719820763E-3</v>
      </c>
    </row>
    <row r="1294" spans="1:7">
      <c r="A1294" s="52">
        <v>265.62279999999998</v>
      </c>
      <c r="B1294" s="52">
        <v>267.38310000000001</v>
      </c>
      <c r="C1294" s="52">
        <v>261.83359999999999</v>
      </c>
      <c r="D1294" s="52">
        <v>262.55959999999999</v>
      </c>
      <c r="E1294" s="52">
        <v>17320788</v>
      </c>
      <c r="F1294" s="52" t="s">
        <v>1357</v>
      </c>
      <c r="G1294" s="25">
        <f t="shared" si="18"/>
        <v>1.166668444040897E-2</v>
      </c>
    </row>
    <row r="1295" spans="1:7">
      <c r="A1295" s="52">
        <v>260.58049999999997</v>
      </c>
      <c r="B1295" s="52">
        <v>262.7287</v>
      </c>
      <c r="C1295" s="52">
        <v>253.51920000000001</v>
      </c>
      <c r="D1295" s="52">
        <v>258.10399999999998</v>
      </c>
      <c r="E1295" s="52">
        <v>22914255</v>
      </c>
      <c r="F1295" s="52" t="s">
        <v>1358</v>
      </c>
      <c r="G1295" s="25">
        <f t="shared" si="18"/>
        <v>9.5949694696710885E-3</v>
      </c>
    </row>
    <row r="1296" spans="1:7">
      <c r="A1296" s="52">
        <v>256.9205</v>
      </c>
      <c r="B1296" s="52">
        <v>265.10559999999998</v>
      </c>
      <c r="C1296" s="52">
        <v>253.45949999999999</v>
      </c>
      <c r="D1296" s="52">
        <v>263.85250000000002</v>
      </c>
      <c r="E1296" s="52">
        <v>30389499</v>
      </c>
      <c r="F1296" s="52" t="s">
        <v>1359</v>
      </c>
      <c r="G1296" s="25">
        <f t="shared" si="18"/>
        <v>-2.6272254384552052E-2</v>
      </c>
    </row>
    <row r="1297" spans="1:7">
      <c r="A1297" s="52">
        <v>263.55410000000001</v>
      </c>
      <c r="B1297" s="52">
        <v>285.22519999999997</v>
      </c>
      <c r="C1297" s="52">
        <v>263.25580000000002</v>
      </c>
      <c r="D1297" s="52">
        <v>275.66770000000002</v>
      </c>
      <c r="E1297" s="52">
        <v>37758844</v>
      </c>
      <c r="F1297" s="52" t="s">
        <v>1360</v>
      </c>
      <c r="G1297" s="25">
        <f t="shared" si="18"/>
        <v>-4.3942761520482931E-2</v>
      </c>
    </row>
    <row r="1298" spans="1:7">
      <c r="A1298" s="52">
        <v>270.65519999999998</v>
      </c>
      <c r="B1298" s="52">
        <v>281.90350000000001</v>
      </c>
      <c r="C1298" s="52">
        <v>266.65719999999999</v>
      </c>
      <c r="D1298" s="52">
        <v>280.98849999999999</v>
      </c>
      <c r="E1298" s="52">
        <v>35346194</v>
      </c>
      <c r="F1298" s="52" t="s">
        <v>1361</v>
      </c>
      <c r="G1298" s="25">
        <f t="shared" si="18"/>
        <v>-3.6774814627644981E-2</v>
      </c>
    </row>
    <row r="1299" spans="1:7">
      <c r="A1299" s="52">
        <v>280.5111</v>
      </c>
      <c r="B1299" s="52">
        <v>283.8329</v>
      </c>
      <c r="C1299" s="52">
        <v>276.29419999999999</v>
      </c>
      <c r="D1299" s="52">
        <v>276.62220000000002</v>
      </c>
      <c r="E1299" s="52">
        <v>19373636</v>
      </c>
      <c r="F1299" s="52" t="s">
        <v>1362</v>
      </c>
      <c r="G1299" s="25">
        <f t="shared" si="18"/>
        <v>1.405852458696355E-2</v>
      </c>
    </row>
    <row r="1300" spans="1:7">
      <c r="A1300" s="52">
        <v>276.4932</v>
      </c>
      <c r="B1300" s="52">
        <v>278.5718</v>
      </c>
      <c r="C1300" s="52">
        <v>270.02859999999998</v>
      </c>
      <c r="D1300" s="52">
        <v>276.62240000000003</v>
      </c>
      <c r="E1300" s="52">
        <v>19086990</v>
      </c>
      <c r="F1300" s="52" t="s">
        <v>1363</v>
      </c>
      <c r="G1300" s="25">
        <f t="shared" si="18"/>
        <v>-4.6706268183638322E-4</v>
      </c>
    </row>
    <row r="1301" spans="1:7">
      <c r="A1301" s="52">
        <v>273.00229999999999</v>
      </c>
      <c r="B1301" s="52">
        <v>276.95060000000001</v>
      </c>
      <c r="C1301" s="52">
        <v>270.51589999999999</v>
      </c>
      <c r="D1301" s="52">
        <v>270.52589999999998</v>
      </c>
      <c r="E1301" s="52">
        <v>21954042</v>
      </c>
      <c r="F1301" s="52" t="s">
        <v>1364</v>
      </c>
      <c r="G1301" s="25">
        <f t="shared" si="18"/>
        <v>9.1540218515122618E-3</v>
      </c>
    </row>
    <row r="1302" spans="1:7">
      <c r="A1302" s="52">
        <v>271.38119999999998</v>
      </c>
      <c r="B1302" s="52">
        <v>272.10719999999998</v>
      </c>
      <c r="C1302" s="52">
        <v>266.03070000000002</v>
      </c>
      <c r="D1302" s="52">
        <v>267.79090000000002</v>
      </c>
      <c r="E1302" s="52">
        <v>20838687</v>
      </c>
      <c r="F1302" s="52" t="s">
        <v>1365</v>
      </c>
      <c r="G1302" s="25">
        <f t="shared" si="18"/>
        <v>1.3407102332454013E-2</v>
      </c>
    </row>
    <row r="1303" spans="1:7">
      <c r="A1303" s="52">
        <v>266.0206</v>
      </c>
      <c r="B1303" s="52">
        <v>268.8451</v>
      </c>
      <c r="C1303" s="52">
        <v>262.16180000000003</v>
      </c>
      <c r="D1303" s="52">
        <v>267.46269999999998</v>
      </c>
      <c r="E1303" s="52">
        <v>25199919</v>
      </c>
      <c r="F1303" s="52" t="s">
        <v>1366</v>
      </c>
      <c r="G1303" s="25">
        <f t="shared" si="18"/>
        <v>-5.3917798631359926E-3</v>
      </c>
    </row>
    <row r="1304" spans="1:7">
      <c r="A1304" s="52">
        <v>259.67540000000002</v>
      </c>
      <c r="B1304" s="52">
        <v>260.76940000000002</v>
      </c>
      <c r="C1304" s="52">
        <v>251.34119999999999</v>
      </c>
      <c r="D1304" s="52">
        <v>255.4983</v>
      </c>
      <c r="E1304" s="52">
        <v>28028546</v>
      </c>
      <c r="F1304" s="52" t="s">
        <v>1367</v>
      </c>
      <c r="G1304" s="25">
        <f t="shared" si="18"/>
        <v>1.634883676329757E-2</v>
      </c>
    </row>
    <row r="1305" spans="1:7">
      <c r="A1305" s="52">
        <v>249.98859999999999</v>
      </c>
      <c r="B1305" s="52">
        <v>252.47489999999999</v>
      </c>
      <c r="C1305" s="52">
        <v>245.8115</v>
      </c>
      <c r="D1305" s="52">
        <v>246.54740000000001</v>
      </c>
      <c r="E1305" s="52">
        <v>24942930</v>
      </c>
      <c r="F1305" s="52" t="s">
        <v>1368</v>
      </c>
      <c r="G1305" s="25">
        <f t="shared" si="18"/>
        <v>1.3957559479434778E-2</v>
      </c>
    </row>
    <row r="1306" spans="1:7">
      <c r="A1306" s="52">
        <v>244.2998</v>
      </c>
      <c r="B1306" s="52">
        <v>253.63849999999999</v>
      </c>
      <c r="C1306" s="52">
        <v>243.27539999999999</v>
      </c>
      <c r="D1306" s="52">
        <v>252.01740000000001</v>
      </c>
      <c r="E1306" s="52">
        <v>29739404</v>
      </c>
      <c r="F1306" s="52" t="s">
        <v>1369</v>
      </c>
      <c r="G1306" s="25">
        <f t="shared" si="18"/>
        <v>-3.0623282360662363E-2</v>
      </c>
    </row>
    <row r="1307" spans="1:7">
      <c r="A1307" s="52">
        <v>250.267</v>
      </c>
      <c r="B1307" s="52">
        <v>252.56440000000001</v>
      </c>
      <c r="C1307" s="52">
        <v>247.84030000000001</v>
      </c>
      <c r="D1307" s="52">
        <v>250.17750000000001</v>
      </c>
      <c r="E1307" s="52">
        <v>19528938</v>
      </c>
      <c r="F1307" s="52" t="s">
        <v>1370</v>
      </c>
      <c r="G1307" s="25">
        <f t="shared" si="18"/>
        <v>3.5774600033966486E-4</v>
      </c>
    </row>
    <row r="1308" spans="1:7">
      <c r="A1308" s="52">
        <v>249.72</v>
      </c>
      <c r="B1308" s="52">
        <v>258.30290000000002</v>
      </c>
      <c r="C1308" s="52">
        <v>248.93430000000001</v>
      </c>
      <c r="D1308" s="52">
        <v>255.22980000000001</v>
      </c>
      <c r="E1308" s="52">
        <v>26449943</v>
      </c>
      <c r="F1308" s="52" t="s">
        <v>1371</v>
      </c>
      <c r="G1308" s="25">
        <f t="shared" si="18"/>
        <v>-2.1587604582223641E-2</v>
      </c>
    </row>
    <row r="1309" spans="1:7">
      <c r="A1309" s="52">
        <v>255.43870000000001</v>
      </c>
      <c r="B1309" s="52">
        <v>262.03250000000003</v>
      </c>
      <c r="C1309" s="52">
        <v>254.50380000000001</v>
      </c>
      <c r="D1309" s="52">
        <v>259.05880000000002</v>
      </c>
      <c r="E1309" s="52">
        <v>30412286</v>
      </c>
      <c r="F1309" s="52" t="s">
        <v>1372</v>
      </c>
      <c r="G1309" s="25">
        <f t="shared" si="18"/>
        <v>-1.3974047590740057E-2</v>
      </c>
    </row>
    <row r="1310" spans="1:7">
      <c r="A1310" s="52">
        <v>266.11009999999999</v>
      </c>
      <c r="B1310" s="52">
        <v>267.48259999999999</v>
      </c>
      <c r="C1310" s="52">
        <v>261.7441</v>
      </c>
      <c r="D1310" s="52">
        <v>266.84609999999998</v>
      </c>
      <c r="E1310" s="52">
        <v>18528251</v>
      </c>
      <c r="F1310" s="52" t="s">
        <v>1373</v>
      </c>
      <c r="G1310" s="25">
        <f t="shared" si="18"/>
        <v>-2.7581441137793927E-3</v>
      </c>
    </row>
    <row r="1311" spans="1:7">
      <c r="A1311" s="52">
        <v>267.27370000000002</v>
      </c>
      <c r="B1311" s="52">
        <v>270.12810000000002</v>
      </c>
      <c r="C1311" s="52">
        <v>263.33530000000002</v>
      </c>
      <c r="D1311" s="52">
        <v>264.44920000000002</v>
      </c>
      <c r="E1311" s="52">
        <v>15789756</v>
      </c>
      <c r="F1311" s="52" t="s">
        <v>1374</v>
      </c>
      <c r="G1311" s="25">
        <f t="shared" si="18"/>
        <v>1.0680690280023608E-2</v>
      </c>
    </row>
    <row r="1312" spans="1:7">
      <c r="A1312" s="52">
        <v>261.8734</v>
      </c>
      <c r="B1312" s="52">
        <v>266.28910000000002</v>
      </c>
      <c r="C1312" s="52">
        <v>258.59140000000002</v>
      </c>
      <c r="D1312" s="52">
        <v>260.57049999999998</v>
      </c>
      <c r="E1312" s="52">
        <v>24354149</v>
      </c>
      <c r="F1312" s="52" t="s">
        <v>1375</v>
      </c>
      <c r="G1312" s="25">
        <f t="shared" si="18"/>
        <v>5.0001822923164685E-3</v>
      </c>
    </row>
    <row r="1313" spans="1:7">
      <c r="A1313" s="52">
        <v>269.49160000000001</v>
      </c>
      <c r="B1313" s="52">
        <v>270.91379999999998</v>
      </c>
      <c r="C1313" s="52">
        <v>266.74770000000001</v>
      </c>
      <c r="D1313" s="52">
        <v>266.82619999999997</v>
      </c>
      <c r="E1313" s="52">
        <v>9871557</v>
      </c>
      <c r="F1313" s="52" t="s">
        <v>1376</v>
      </c>
      <c r="G1313" s="25">
        <f t="shared" si="18"/>
        <v>9.9892739168794265E-3</v>
      </c>
    </row>
    <row r="1314" spans="1:7">
      <c r="A1314" s="52">
        <v>267.4726</v>
      </c>
      <c r="B1314" s="52">
        <v>273.49959999999999</v>
      </c>
      <c r="C1314" s="52">
        <v>263.75299999999999</v>
      </c>
      <c r="D1314" s="52">
        <v>273.2808</v>
      </c>
      <c r="E1314" s="52">
        <v>15106113</v>
      </c>
      <c r="F1314" s="52" t="s">
        <v>1377</v>
      </c>
      <c r="G1314" s="25">
        <f t="shared" si="18"/>
        <v>-2.1253597032795613E-2</v>
      </c>
    </row>
    <row r="1315" spans="1:7">
      <c r="A1315" s="52">
        <v>271.6696</v>
      </c>
      <c r="B1315" s="52">
        <v>275.57819999999998</v>
      </c>
      <c r="C1315" s="52">
        <v>268.33789999999999</v>
      </c>
      <c r="D1315" s="52">
        <v>270.51589999999999</v>
      </c>
      <c r="E1315" s="52">
        <v>12900408</v>
      </c>
      <c r="F1315" s="52" t="s">
        <v>1378</v>
      </c>
      <c r="G1315" s="25">
        <f t="shared" si="18"/>
        <v>4.2648140090841835E-3</v>
      </c>
    </row>
    <row r="1316" spans="1:7">
      <c r="A1316" s="52">
        <v>270.38670000000002</v>
      </c>
      <c r="B1316" s="52">
        <v>276.56279999999998</v>
      </c>
      <c r="C1316" s="52">
        <v>270.22750000000002</v>
      </c>
      <c r="D1316" s="52">
        <v>276.43349999999998</v>
      </c>
      <c r="E1316" s="52">
        <v>11803795</v>
      </c>
      <c r="F1316" s="52" t="s">
        <v>1379</v>
      </c>
      <c r="G1316" s="25">
        <f t="shared" si="18"/>
        <v>-2.1874338674581661E-2</v>
      </c>
    </row>
    <row r="1317" spans="1:7">
      <c r="A1317" s="52">
        <v>275.26990000000001</v>
      </c>
      <c r="B1317" s="52">
        <v>278.97949999999997</v>
      </c>
      <c r="C1317" s="52">
        <v>274.77260000000001</v>
      </c>
      <c r="D1317" s="52">
        <v>275.43889999999999</v>
      </c>
      <c r="E1317" s="52">
        <v>16382995</v>
      </c>
      <c r="F1317" s="52" t="s">
        <v>1380</v>
      </c>
      <c r="G1317" s="25">
        <f t="shared" si="18"/>
        <v>-6.1356620288555153E-4</v>
      </c>
    </row>
    <row r="1318" spans="1:7">
      <c r="A1318" s="52">
        <v>275.48869999999999</v>
      </c>
      <c r="B1318" s="52">
        <v>275.78699999999998</v>
      </c>
      <c r="C1318" s="52">
        <v>264.21050000000002</v>
      </c>
      <c r="D1318" s="52">
        <v>267.27370000000002</v>
      </c>
      <c r="E1318" s="52">
        <v>23299707</v>
      </c>
      <c r="F1318" s="52" t="s">
        <v>1381</v>
      </c>
      <c r="G1318" s="25">
        <f t="shared" si="18"/>
        <v>3.0736282694481254E-2</v>
      </c>
    </row>
    <row r="1319" spans="1:7">
      <c r="A1319" s="52">
        <v>265.94099999999997</v>
      </c>
      <c r="B1319" s="52">
        <v>268.92469999999997</v>
      </c>
      <c r="C1319" s="52">
        <v>264.74759999999998</v>
      </c>
      <c r="D1319" s="52">
        <v>267.40800000000002</v>
      </c>
      <c r="E1319" s="52">
        <v>6702033</v>
      </c>
      <c r="F1319" s="52" t="s">
        <v>1382</v>
      </c>
      <c r="G1319" s="25">
        <f t="shared" si="18"/>
        <v>-5.485998922994284E-3</v>
      </c>
    </row>
    <row r="1320" spans="1:7">
      <c r="A1320" s="52">
        <v>266.6472</v>
      </c>
      <c r="B1320" s="52">
        <v>270.68490000000003</v>
      </c>
      <c r="C1320" s="52">
        <v>264.7774</v>
      </c>
      <c r="D1320" s="52">
        <v>265.43380000000002</v>
      </c>
      <c r="E1320" s="52">
        <v>14329038</v>
      </c>
      <c r="F1320" s="52" t="s">
        <v>1383</v>
      </c>
      <c r="G1320" s="25">
        <f t="shared" si="18"/>
        <v>4.5713846541020065E-3</v>
      </c>
    </row>
    <row r="1321" spans="1:7">
      <c r="A1321" s="52">
        <v>265.6327</v>
      </c>
      <c r="B1321" s="52">
        <v>270.01870000000002</v>
      </c>
      <c r="C1321" s="52">
        <v>263.18619999999999</v>
      </c>
      <c r="D1321" s="52">
        <v>270.01870000000002</v>
      </c>
      <c r="E1321" s="52">
        <v>17334999</v>
      </c>
      <c r="F1321" s="52" t="s">
        <v>1384</v>
      </c>
      <c r="G1321" s="25">
        <f t="shared" si="18"/>
        <v>-1.62433194441719E-2</v>
      </c>
    </row>
    <row r="1322" spans="1:7">
      <c r="A1322" s="52">
        <v>271.30160000000001</v>
      </c>
      <c r="B1322" s="52">
        <v>273.17140000000001</v>
      </c>
      <c r="C1322" s="52">
        <v>266.32889999999998</v>
      </c>
      <c r="D1322" s="52">
        <v>271.48860000000002</v>
      </c>
      <c r="E1322" s="52">
        <v>16553740</v>
      </c>
      <c r="F1322" s="52" t="s">
        <v>1385</v>
      </c>
      <c r="G1322" s="25">
        <f t="shared" si="18"/>
        <v>-6.8879503596108727E-4</v>
      </c>
    </row>
    <row r="1323" spans="1:7">
      <c r="A1323" s="52">
        <v>274.89190000000002</v>
      </c>
      <c r="B1323" s="52">
        <v>276.48320000000001</v>
      </c>
      <c r="C1323" s="52">
        <v>269.66059999999999</v>
      </c>
      <c r="D1323" s="52">
        <v>274.27030000000002</v>
      </c>
      <c r="E1323" s="52">
        <v>26693249</v>
      </c>
      <c r="F1323" s="52" t="s">
        <v>1386</v>
      </c>
      <c r="G1323" s="25">
        <f t="shared" si="18"/>
        <v>2.2663773656863562E-3</v>
      </c>
    </row>
    <row r="1324" spans="1:7">
      <c r="A1324" s="52">
        <v>272.98239999999998</v>
      </c>
      <c r="B1324" s="52">
        <v>278.90989999999999</v>
      </c>
      <c r="C1324" s="52">
        <v>272.11720000000003</v>
      </c>
      <c r="D1324" s="52">
        <v>275.55829999999997</v>
      </c>
      <c r="E1324" s="52">
        <v>16377844</v>
      </c>
      <c r="F1324" s="52" t="s">
        <v>1387</v>
      </c>
      <c r="G1324" s="25">
        <f t="shared" si="18"/>
        <v>-9.3479310911701585E-3</v>
      </c>
    </row>
    <row r="1325" spans="1:7">
      <c r="A1325" s="52">
        <v>274.16590000000002</v>
      </c>
      <c r="B1325" s="52">
        <v>276.34399999999999</v>
      </c>
      <c r="C1325" s="52">
        <v>271.02319999999997</v>
      </c>
      <c r="D1325" s="52">
        <v>273.26089999999999</v>
      </c>
      <c r="E1325" s="52">
        <v>15884999</v>
      </c>
      <c r="F1325" s="52" t="s">
        <v>1388</v>
      </c>
      <c r="G1325" s="25">
        <f t="shared" si="18"/>
        <v>3.3118532508675802E-3</v>
      </c>
    </row>
    <row r="1326" spans="1:7">
      <c r="A1326" s="52">
        <v>274.04660000000001</v>
      </c>
      <c r="B1326" s="52">
        <v>274.57369999999997</v>
      </c>
      <c r="C1326" s="52">
        <v>266.01069999999999</v>
      </c>
      <c r="D1326" s="52">
        <v>273.33049999999997</v>
      </c>
      <c r="E1326" s="52">
        <v>23979461</v>
      </c>
      <c r="F1326" s="52" t="s">
        <v>1389</v>
      </c>
      <c r="G1326" s="25">
        <f t="shared" si="18"/>
        <v>2.619905206334705E-3</v>
      </c>
    </row>
    <row r="1327" spans="1:7">
      <c r="A1327" s="52">
        <v>272.69400000000002</v>
      </c>
      <c r="B1327" s="52">
        <v>275.70749999999998</v>
      </c>
      <c r="C1327" s="52">
        <v>270.07830000000001</v>
      </c>
      <c r="D1327" s="52">
        <v>271.88069999999999</v>
      </c>
      <c r="E1327" s="52">
        <v>16376880</v>
      </c>
      <c r="F1327" s="52" t="s">
        <v>1390</v>
      </c>
      <c r="G1327" s="25">
        <f t="shared" si="18"/>
        <v>2.9913855599166261E-3</v>
      </c>
    </row>
    <row r="1328" spans="1:7">
      <c r="A1328" s="52">
        <v>272.0575</v>
      </c>
      <c r="B1328" s="52">
        <v>274.97149999999999</v>
      </c>
      <c r="C1328" s="52">
        <v>268.77550000000002</v>
      </c>
      <c r="D1328" s="52">
        <v>273.03210000000001</v>
      </c>
      <c r="E1328" s="52">
        <v>14391401</v>
      </c>
      <c r="F1328" s="52" t="s">
        <v>1391</v>
      </c>
      <c r="G1328" s="25">
        <f t="shared" si="18"/>
        <v>-3.5695436543908832E-3</v>
      </c>
    </row>
    <row r="1329" spans="1:7">
      <c r="A1329" s="52">
        <v>275.608</v>
      </c>
      <c r="B1329" s="52">
        <v>277.20920000000001</v>
      </c>
      <c r="C1329" s="52">
        <v>270.37670000000003</v>
      </c>
      <c r="D1329" s="52">
        <v>274.0317</v>
      </c>
      <c r="E1329" s="52">
        <v>20065091</v>
      </c>
      <c r="F1329" s="52" t="s">
        <v>1392</v>
      </c>
      <c r="G1329" s="25">
        <f t="shared" si="18"/>
        <v>5.7522542100056917E-3</v>
      </c>
    </row>
    <row r="1330" spans="1:7">
      <c r="A1330" s="52">
        <v>276.40359999999998</v>
      </c>
      <c r="B1330" s="52">
        <v>286.0607</v>
      </c>
      <c r="C1330" s="52">
        <v>270.26729999999998</v>
      </c>
      <c r="D1330" s="52">
        <v>282.1123</v>
      </c>
      <c r="E1330" s="52">
        <v>25189707</v>
      </c>
      <c r="F1330" s="52" t="s">
        <v>1393</v>
      </c>
      <c r="G1330" s="25">
        <f t="shared" si="18"/>
        <v>-2.0235558676456211E-2</v>
      </c>
    </row>
    <row r="1331" spans="1:7">
      <c r="A1331" s="52">
        <v>281.8537</v>
      </c>
      <c r="B1331" s="52">
        <v>284.86439999999999</v>
      </c>
      <c r="C1331" s="52">
        <v>280.0138</v>
      </c>
      <c r="D1331" s="52">
        <v>284.4495</v>
      </c>
      <c r="E1331" s="52">
        <v>10747650</v>
      </c>
      <c r="F1331" s="52" t="s">
        <v>1394</v>
      </c>
      <c r="G1331" s="25">
        <f t="shared" si="18"/>
        <v>-9.1256971799915654E-3</v>
      </c>
    </row>
    <row r="1332" spans="1:7">
      <c r="A1332" s="52">
        <v>284.02190000000002</v>
      </c>
      <c r="B1332" s="52">
        <v>286.916</v>
      </c>
      <c r="C1332" s="52">
        <v>276.68209999999999</v>
      </c>
      <c r="D1332" s="52">
        <v>277.66669999999999</v>
      </c>
      <c r="E1332" s="52">
        <v>13007665</v>
      </c>
      <c r="F1332" s="52" t="s">
        <v>1395</v>
      </c>
      <c r="G1332" s="25">
        <f t="shared" si="18"/>
        <v>2.2887872402416409E-2</v>
      </c>
    </row>
    <row r="1333" spans="1:7">
      <c r="A1333" s="52">
        <v>278.1739</v>
      </c>
      <c r="B1333" s="52">
        <v>281.91340000000002</v>
      </c>
      <c r="C1333" s="52">
        <v>277.77609999999999</v>
      </c>
      <c r="D1333" s="52">
        <v>278.77069999999998</v>
      </c>
      <c r="E1333" s="52">
        <v>10880299</v>
      </c>
      <c r="F1333" s="52" t="s">
        <v>1396</v>
      </c>
      <c r="G1333" s="25">
        <f t="shared" si="18"/>
        <v>-2.1408275690377732E-3</v>
      </c>
    </row>
    <row r="1334" spans="1:7">
      <c r="A1334" s="52">
        <v>280.31220000000002</v>
      </c>
      <c r="B1334" s="52">
        <v>285.08600000000001</v>
      </c>
      <c r="C1334" s="52">
        <v>279.53649999999999</v>
      </c>
      <c r="D1334" s="52">
        <v>284.68819999999999</v>
      </c>
      <c r="E1334" s="52">
        <v>12921694</v>
      </c>
      <c r="F1334" s="52" t="s">
        <v>1397</v>
      </c>
      <c r="G1334" s="25">
        <f t="shared" si="18"/>
        <v>-1.5371202599896883E-2</v>
      </c>
    </row>
    <row r="1335" spans="1:7">
      <c r="A1335" s="52">
        <v>285.9513</v>
      </c>
      <c r="B1335" s="52">
        <v>290.18799999999999</v>
      </c>
      <c r="C1335" s="52">
        <v>279.2928</v>
      </c>
      <c r="D1335" s="52">
        <v>283.80309999999997</v>
      </c>
      <c r="E1335" s="52">
        <v>17361624</v>
      </c>
      <c r="F1335" s="52" t="s">
        <v>1398</v>
      </c>
      <c r="G1335" s="25">
        <f t="shared" si="18"/>
        <v>7.5693323998224926E-3</v>
      </c>
    </row>
    <row r="1336" spans="1:7">
      <c r="A1336" s="52">
        <v>284.98660000000001</v>
      </c>
      <c r="B1336" s="52">
        <v>287.72160000000002</v>
      </c>
      <c r="C1336" s="52">
        <v>277.43799999999999</v>
      </c>
      <c r="D1336" s="52">
        <v>277.63690000000003</v>
      </c>
      <c r="E1336" s="52">
        <v>20777906</v>
      </c>
      <c r="F1336" s="52" t="s">
        <v>1399</v>
      </c>
      <c r="G1336" s="25">
        <f t="shared" si="18"/>
        <v>2.6472345714852796E-2</v>
      </c>
    </row>
    <row r="1337" spans="1:7">
      <c r="A1337" s="52">
        <v>275.4588</v>
      </c>
      <c r="B1337" s="52">
        <v>276.1848</v>
      </c>
      <c r="C1337" s="52">
        <v>269.53129999999999</v>
      </c>
      <c r="D1337" s="52">
        <v>274.524</v>
      </c>
      <c r="E1337" s="52">
        <v>16693336</v>
      </c>
      <c r="F1337" s="52" t="s">
        <v>1400</v>
      </c>
      <c r="G1337" s="25">
        <f t="shared" si="18"/>
        <v>3.4051667613761438E-3</v>
      </c>
    </row>
    <row r="1338" spans="1:7">
      <c r="A1338" s="52">
        <v>276.29419999999999</v>
      </c>
      <c r="B1338" s="52">
        <v>277.60700000000003</v>
      </c>
      <c r="C1338" s="52">
        <v>273.32060000000001</v>
      </c>
      <c r="D1338" s="52">
        <v>275.87650000000002</v>
      </c>
      <c r="E1338" s="52">
        <v>7808426</v>
      </c>
      <c r="F1338" s="52" t="s">
        <v>1401</v>
      </c>
      <c r="G1338" s="25">
        <f t="shared" si="18"/>
        <v>1.5140832945175209E-3</v>
      </c>
    </row>
    <row r="1339" spans="1:7">
      <c r="A1339" s="52">
        <v>274.08640000000003</v>
      </c>
      <c r="B1339" s="52">
        <v>278.65129999999999</v>
      </c>
      <c r="C1339" s="52">
        <v>271.16239999999999</v>
      </c>
      <c r="D1339" s="52">
        <v>276.62240000000003</v>
      </c>
      <c r="E1339" s="52">
        <v>12467009</v>
      </c>
      <c r="F1339" s="52" t="s">
        <v>1402</v>
      </c>
      <c r="G1339" s="25">
        <f t="shared" si="18"/>
        <v>-9.1677318973445443E-3</v>
      </c>
    </row>
    <row r="1340" spans="1:7">
      <c r="A1340" s="52">
        <v>275.40910000000002</v>
      </c>
      <c r="B1340" s="52">
        <v>276.30410000000001</v>
      </c>
      <c r="C1340" s="52">
        <v>266.4085</v>
      </c>
      <c r="D1340" s="52">
        <v>267.02510000000001</v>
      </c>
      <c r="E1340" s="52">
        <v>16930424</v>
      </c>
      <c r="F1340" s="52" t="s">
        <v>1403</v>
      </c>
      <c r="G1340" s="25">
        <f t="shared" si="18"/>
        <v>3.1397797435521957E-2</v>
      </c>
    </row>
    <row r="1341" spans="1:7">
      <c r="A1341" s="52">
        <v>266.96539999999999</v>
      </c>
      <c r="B1341" s="52">
        <v>269.46879999999999</v>
      </c>
      <c r="C1341" s="52">
        <v>263.08670000000001</v>
      </c>
      <c r="D1341" s="52">
        <v>269.41199999999998</v>
      </c>
      <c r="E1341" s="52">
        <v>20990786</v>
      </c>
      <c r="F1341" s="52" t="s">
        <v>1404</v>
      </c>
      <c r="G1341" s="25">
        <f t="shared" si="18"/>
        <v>-9.0812584443157318E-3</v>
      </c>
    </row>
    <row r="1342" spans="1:7">
      <c r="A1342" s="52">
        <v>268.2285</v>
      </c>
      <c r="B1342" s="52">
        <v>271.51049999999998</v>
      </c>
      <c r="C1342" s="52">
        <v>267.94009999999997</v>
      </c>
      <c r="D1342" s="52">
        <v>271.0729</v>
      </c>
      <c r="E1342" s="52">
        <v>18122412</v>
      </c>
      <c r="F1342" s="52" t="s">
        <v>1405</v>
      </c>
      <c r="G1342" s="25">
        <f t="shared" si="18"/>
        <v>-1.0493118271874491E-2</v>
      </c>
    </row>
    <row r="1343" spans="1:7">
      <c r="A1343" s="52">
        <v>271.45080000000002</v>
      </c>
      <c r="B1343" s="52">
        <v>271.97789999999998</v>
      </c>
      <c r="C1343" s="52">
        <v>267.72129999999999</v>
      </c>
      <c r="D1343" s="52">
        <v>269.54629999999997</v>
      </c>
      <c r="E1343" s="52">
        <v>12963658</v>
      </c>
      <c r="F1343" s="52" t="s">
        <v>1406</v>
      </c>
      <c r="G1343" s="25">
        <f t="shared" si="18"/>
        <v>7.0655764890856787E-3</v>
      </c>
    </row>
    <row r="1344" spans="1:7">
      <c r="A1344" s="52">
        <v>270.48610000000002</v>
      </c>
      <c r="B1344" s="52">
        <v>275.87540000000001</v>
      </c>
      <c r="C1344" s="52">
        <v>270.35680000000002</v>
      </c>
      <c r="D1344" s="52">
        <v>273.0222</v>
      </c>
      <c r="E1344" s="52">
        <v>12152945</v>
      </c>
      <c r="F1344" s="52" t="s">
        <v>1407</v>
      </c>
      <c r="G1344" s="25">
        <f t="shared" si="18"/>
        <v>-9.2889882214705066E-3</v>
      </c>
    </row>
    <row r="1345" spans="1:7">
      <c r="A1345" s="52">
        <v>273.49959999999999</v>
      </c>
      <c r="B1345" s="52">
        <v>276.16500000000002</v>
      </c>
      <c r="C1345" s="52">
        <v>271.7989</v>
      </c>
      <c r="D1345" s="52">
        <v>276.16500000000002</v>
      </c>
      <c r="E1345" s="52">
        <v>15040297</v>
      </c>
      <c r="F1345" s="52" t="s">
        <v>1408</v>
      </c>
      <c r="G1345" s="25">
        <f t="shared" si="18"/>
        <v>-9.6514764723988344E-3</v>
      </c>
    </row>
    <row r="1346" spans="1:7">
      <c r="A1346" s="52">
        <v>277.43799999999999</v>
      </c>
      <c r="B1346" s="52">
        <v>277.88549999999998</v>
      </c>
      <c r="C1346" s="52">
        <v>273.13159999999999</v>
      </c>
      <c r="D1346" s="52">
        <v>273.54930000000002</v>
      </c>
      <c r="E1346" s="52">
        <v>12970352</v>
      </c>
      <c r="F1346" s="52" t="s">
        <v>1409</v>
      </c>
      <c r="G1346" s="25">
        <f t="shared" si="18"/>
        <v>1.4215719067824262E-2</v>
      </c>
    </row>
    <row r="1347" spans="1:7">
      <c r="A1347" s="52">
        <v>275.43889999999999</v>
      </c>
      <c r="B1347" s="52">
        <v>276.24450000000002</v>
      </c>
      <c r="C1347" s="52">
        <v>271.60989999999998</v>
      </c>
      <c r="D1347" s="52">
        <v>276.2047</v>
      </c>
      <c r="E1347" s="52">
        <v>10400101</v>
      </c>
      <c r="F1347" s="52" t="s">
        <v>1410</v>
      </c>
      <c r="G1347" s="25">
        <f t="shared" si="18"/>
        <v>-2.7725813499915875E-3</v>
      </c>
    </row>
    <row r="1348" spans="1:7">
      <c r="A1348" s="52">
        <v>273.57909999999998</v>
      </c>
      <c r="B1348" s="52">
        <v>278.22370000000001</v>
      </c>
      <c r="C1348" s="52">
        <v>272.93270000000001</v>
      </c>
      <c r="D1348" s="52">
        <v>275.66770000000002</v>
      </c>
      <c r="E1348" s="52">
        <v>12914206</v>
      </c>
      <c r="F1348" s="52" t="s">
        <v>1411</v>
      </c>
      <c r="G1348" s="25">
        <f t="shared" ref="G1348:G1411" si="19">A1348/D1348-1</f>
        <v>-7.5765133165766052E-3</v>
      </c>
    </row>
    <row r="1349" spans="1:7">
      <c r="A1349" s="52">
        <v>274.97149999999999</v>
      </c>
      <c r="B1349" s="52">
        <v>276.88099999999997</v>
      </c>
      <c r="C1349" s="52">
        <v>270.99329999999998</v>
      </c>
      <c r="D1349" s="52">
        <v>271.97789999999998</v>
      </c>
      <c r="E1349" s="52">
        <v>14956950</v>
      </c>
      <c r="F1349" s="52" t="s">
        <v>1412</v>
      </c>
      <c r="G1349" s="25">
        <f t="shared" si="19"/>
        <v>1.1006776653544437E-2</v>
      </c>
    </row>
    <row r="1350" spans="1:7">
      <c r="A1350" s="52">
        <v>270.9436</v>
      </c>
      <c r="B1350" s="52">
        <v>272.505</v>
      </c>
      <c r="C1350" s="52">
        <v>262.55959999999999</v>
      </c>
      <c r="D1350" s="52">
        <v>271.60989999999998</v>
      </c>
      <c r="E1350" s="52">
        <v>29067691</v>
      </c>
      <c r="F1350" s="52" t="s">
        <v>1413</v>
      </c>
      <c r="G1350" s="25">
        <f t="shared" si="19"/>
        <v>-2.4531506399434466E-3</v>
      </c>
    </row>
    <row r="1351" spans="1:7">
      <c r="A1351" s="52">
        <v>277.24900000000002</v>
      </c>
      <c r="B1351" s="52">
        <v>290.9837</v>
      </c>
      <c r="C1351" s="52">
        <v>277.01029999999997</v>
      </c>
      <c r="D1351" s="52">
        <v>288.28840000000002</v>
      </c>
      <c r="E1351" s="52">
        <v>25117650</v>
      </c>
      <c r="F1351" s="52" t="s">
        <v>1414</v>
      </c>
      <c r="G1351" s="25">
        <f t="shared" si="19"/>
        <v>-3.8292903911499754E-2</v>
      </c>
    </row>
    <row r="1352" spans="1:7">
      <c r="A1352" s="52">
        <v>291.8091</v>
      </c>
      <c r="B1352" s="52">
        <v>292.99259999999998</v>
      </c>
      <c r="C1352" s="52">
        <v>286.48829999999998</v>
      </c>
      <c r="D1352" s="52">
        <v>292.34620000000001</v>
      </c>
      <c r="E1352" s="52">
        <v>13890974</v>
      </c>
      <c r="F1352" s="52" t="s">
        <v>1415</v>
      </c>
      <c r="G1352" s="25">
        <f t="shared" si="19"/>
        <v>-1.837205340791237E-3</v>
      </c>
    </row>
    <row r="1353" spans="1:7">
      <c r="A1353" s="52">
        <v>293.07220000000001</v>
      </c>
      <c r="B1353" s="52">
        <v>295.75749999999999</v>
      </c>
      <c r="C1353" s="52">
        <v>287.37349999999998</v>
      </c>
      <c r="D1353" s="52">
        <v>290.3039</v>
      </c>
      <c r="E1353" s="52">
        <v>23823633</v>
      </c>
      <c r="F1353" s="52" t="s">
        <v>1416</v>
      </c>
      <c r="G1353" s="25">
        <f t="shared" si="19"/>
        <v>9.5358691357574354E-3</v>
      </c>
    </row>
    <row r="1354" spans="1:7">
      <c r="A1354" s="52">
        <v>285.81200000000001</v>
      </c>
      <c r="B1354" s="52">
        <v>287.36349999999999</v>
      </c>
      <c r="C1354" s="52">
        <v>277.09980000000002</v>
      </c>
      <c r="D1354" s="52">
        <v>279.46679999999998</v>
      </c>
      <c r="E1354" s="52">
        <v>35364424</v>
      </c>
      <c r="F1354" s="52" t="s">
        <v>1417</v>
      </c>
      <c r="G1354" s="25">
        <f t="shared" si="19"/>
        <v>2.270466474014099E-2</v>
      </c>
    </row>
    <row r="1355" spans="1:7">
      <c r="A1355" s="52">
        <v>263.85250000000002</v>
      </c>
      <c r="B1355" s="52">
        <v>268.57659999999998</v>
      </c>
      <c r="C1355" s="52">
        <v>259.45659999999998</v>
      </c>
      <c r="D1355" s="52">
        <v>261.7242</v>
      </c>
      <c r="E1355" s="52">
        <v>17961859</v>
      </c>
      <c r="F1355" s="52" t="s">
        <v>1418</v>
      </c>
      <c r="G1355" s="25">
        <f t="shared" si="19"/>
        <v>8.1318426037790825E-3</v>
      </c>
    </row>
    <row r="1356" spans="1:7">
      <c r="A1356" s="52">
        <v>259.93400000000003</v>
      </c>
      <c r="B1356" s="52">
        <v>268.99430000000001</v>
      </c>
      <c r="C1356" s="52">
        <v>255.9359</v>
      </c>
      <c r="D1356" s="52">
        <v>263.15629999999999</v>
      </c>
      <c r="E1356" s="52">
        <v>27165679</v>
      </c>
      <c r="F1356" s="52" t="s">
        <v>1419</v>
      </c>
      <c r="G1356" s="25">
        <f t="shared" si="19"/>
        <v>-1.2244814203573928E-2</v>
      </c>
    </row>
    <row r="1357" spans="1:7">
      <c r="A1357" s="52">
        <v>261.67439999999999</v>
      </c>
      <c r="B1357" s="52">
        <v>275.19029999999998</v>
      </c>
      <c r="C1357" s="52">
        <v>257.68630000000002</v>
      </c>
      <c r="D1357" s="52">
        <v>273.00229999999999</v>
      </c>
      <c r="E1357" s="52">
        <v>47299002</v>
      </c>
      <c r="F1357" s="52" t="s">
        <v>1420</v>
      </c>
      <c r="G1357" s="25">
        <f t="shared" si="19"/>
        <v>-4.1493789612761511E-2</v>
      </c>
    </row>
    <row r="1358" spans="1:7">
      <c r="A1358" s="52">
        <v>279.2978</v>
      </c>
      <c r="B1358" s="52">
        <v>282.05270000000002</v>
      </c>
      <c r="C1358" s="52">
        <v>272.28620000000001</v>
      </c>
      <c r="D1358" s="52">
        <v>275.04109999999997</v>
      </c>
      <c r="E1358" s="52">
        <v>32368118</v>
      </c>
      <c r="F1358" s="52" t="s">
        <v>1421</v>
      </c>
      <c r="G1358" s="25">
        <f t="shared" si="19"/>
        <v>1.5476596043282331E-2</v>
      </c>
    </row>
    <row r="1359" spans="1:7">
      <c r="A1359" s="52">
        <v>266.20960000000002</v>
      </c>
      <c r="B1359" s="52">
        <v>277.26889999999997</v>
      </c>
      <c r="C1359" s="52">
        <v>265.80180000000001</v>
      </c>
      <c r="D1359" s="52">
        <v>277.26889999999997</v>
      </c>
      <c r="E1359" s="52">
        <v>23121808</v>
      </c>
      <c r="F1359" s="52" t="s">
        <v>1422</v>
      </c>
      <c r="G1359" s="25">
        <f t="shared" si="19"/>
        <v>-3.9886550565173207E-2</v>
      </c>
    </row>
    <row r="1360" spans="1:7">
      <c r="A1360" s="52">
        <v>281.74430000000001</v>
      </c>
      <c r="B1360" s="52">
        <v>282.95769999999999</v>
      </c>
      <c r="C1360" s="52">
        <v>274.80239999999998</v>
      </c>
      <c r="D1360" s="52">
        <v>277.23910000000001</v>
      </c>
      <c r="E1360" s="52">
        <v>16287249</v>
      </c>
      <c r="F1360" s="52" t="s">
        <v>1423</v>
      </c>
      <c r="G1360" s="25">
        <f t="shared" si="19"/>
        <v>1.6250233102040879E-2</v>
      </c>
    </row>
    <row r="1361" spans="1:7">
      <c r="A1361" s="52">
        <v>275.59809999999999</v>
      </c>
      <c r="B1361" s="52">
        <v>283.67380000000003</v>
      </c>
      <c r="C1361" s="52">
        <v>272.7636</v>
      </c>
      <c r="D1361" s="52">
        <v>281.61509999999998</v>
      </c>
      <c r="E1361" s="52">
        <v>21322925</v>
      </c>
      <c r="F1361" s="52" t="s">
        <v>1424</v>
      </c>
      <c r="G1361" s="25">
        <f t="shared" si="19"/>
        <v>-2.1366041806707092E-2</v>
      </c>
    </row>
    <row r="1362" spans="1:7">
      <c r="A1362" s="52">
        <v>283.2362</v>
      </c>
      <c r="B1362" s="52">
        <v>283.68369999999999</v>
      </c>
      <c r="C1362" s="52">
        <v>275.30959999999999</v>
      </c>
      <c r="D1362" s="52">
        <v>277.28120000000001</v>
      </c>
      <c r="E1362" s="52">
        <v>17535155</v>
      </c>
      <c r="F1362" s="52" t="s">
        <v>1425</v>
      </c>
      <c r="G1362" s="25">
        <f t="shared" si="19"/>
        <v>2.1476392918091669E-2</v>
      </c>
    </row>
    <row r="1363" spans="1:7">
      <c r="A1363" s="52">
        <v>276.6026</v>
      </c>
      <c r="B1363" s="52">
        <v>280.90890000000002</v>
      </c>
      <c r="C1363" s="52">
        <v>273.5394</v>
      </c>
      <c r="D1363" s="52">
        <v>278.34300000000002</v>
      </c>
      <c r="E1363" s="52">
        <v>16720026</v>
      </c>
      <c r="F1363" s="52" t="s">
        <v>1426</v>
      </c>
      <c r="G1363" s="25">
        <f t="shared" si="19"/>
        <v>-6.2527169715064224E-3</v>
      </c>
    </row>
    <row r="1364" spans="1:7">
      <c r="A1364" s="52">
        <v>277.20920000000001</v>
      </c>
      <c r="B1364" s="52">
        <v>281.50569999999999</v>
      </c>
      <c r="C1364" s="52">
        <v>274.8621</v>
      </c>
      <c r="D1364" s="52">
        <v>278.03469999999999</v>
      </c>
      <c r="E1364" s="52">
        <v>28998638</v>
      </c>
      <c r="F1364" s="52" t="s">
        <v>1427</v>
      </c>
      <c r="G1364" s="25">
        <f t="shared" si="19"/>
        <v>-2.9690538627011875E-3</v>
      </c>
    </row>
    <row r="1365" spans="1:7">
      <c r="A1365" s="52">
        <v>266.10019999999997</v>
      </c>
      <c r="B1365" s="52">
        <v>268.2285</v>
      </c>
      <c r="C1365" s="52">
        <v>261.44569999999999</v>
      </c>
      <c r="D1365" s="52">
        <v>261.62470000000002</v>
      </c>
      <c r="E1365" s="52">
        <v>18763246</v>
      </c>
      <c r="F1365" s="52" t="s">
        <v>1428</v>
      </c>
      <c r="G1365" s="25">
        <f t="shared" si="19"/>
        <v>1.7106565244030758E-2</v>
      </c>
    </row>
    <row r="1366" spans="1:7">
      <c r="A1366" s="52">
        <v>259.97379999999998</v>
      </c>
      <c r="B1366" s="52">
        <v>267.08479999999997</v>
      </c>
      <c r="C1366" s="52">
        <v>258.46210000000002</v>
      </c>
      <c r="D1366" s="52">
        <v>264.08120000000002</v>
      </c>
      <c r="E1366" s="52">
        <v>13586955</v>
      </c>
      <c r="F1366" s="52" t="s">
        <v>1429</v>
      </c>
      <c r="G1366" s="25">
        <f t="shared" si="19"/>
        <v>-1.5553549438581893E-2</v>
      </c>
    </row>
    <row r="1367" spans="1:7">
      <c r="A1367" s="52">
        <v>264.47910000000002</v>
      </c>
      <c r="B1367" s="52">
        <v>269.88940000000002</v>
      </c>
      <c r="C1367" s="52">
        <v>263.85250000000002</v>
      </c>
      <c r="D1367" s="52">
        <v>265.9162</v>
      </c>
      <c r="E1367" s="52">
        <v>16622702</v>
      </c>
      <c r="F1367" s="52" t="s">
        <v>1430</v>
      </c>
      <c r="G1367" s="25">
        <f t="shared" si="19"/>
        <v>-5.4043341473741791E-3</v>
      </c>
    </row>
    <row r="1368" spans="1:7">
      <c r="A1368" s="52">
        <v>265.26479999999998</v>
      </c>
      <c r="B1368" s="52">
        <v>267.57209999999998</v>
      </c>
      <c r="C1368" s="52">
        <v>262.23140000000001</v>
      </c>
      <c r="D1368" s="52">
        <v>266.14</v>
      </c>
      <c r="E1368" s="52">
        <v>15416064</v>
      </c>
      <c r="F1368" s="52" t="s">
        <v>1431</v>
      </c>
      <c r="G1368" s="25">
        <f t="shared" si="19"/>
        <v>-3.2884947771849582E-3</v>
      </c>
    </row>
    <row r="1369" spans="1:7">
      <c r="A1369" s="52">
        <v>270.33690000000001</v>
      </c>
      <c r="B1369" s="52">
        <v>277.22910000000002</v>
      </c>
      <c r="C1369" s="52">
        <v>270.01870000000002</v>
      </c>
      <c r="D1369" s="52">
        <v>276.1053</v>
      </c>
      <c r="E1369" s="52">
        <v>15601154</v>
      </c>
      <c r="F1369" s="52" t="s">
        <v>1432</v>
      </c>
      <c r="G1369" s="25">
        <f t="shared" si="19"/>
        <v>-2.0892029236671661E-2</v>
      </c>
    </row>
    <row r="1370" spans="1:7">
      <c r="A1370" s="52">
        <v>274.63339999999999</v>
      </c>
      <c r="B1370" s="52">
        <v>277.5772</v>
      </c>
      <c r="C1370" s="52">
        <v>271.89839999999998</v>
      </c>
      <c r="D1370" s="52">
        <v>276.06549999999999</v>
      </c>
      <c r="E1370" s="52">
        <v>18063343</v>
      </c>
      <c r="F1370" s="52" t="s">
        <v>1433</v>
      </c>
      <c r="G1370" s="25">
        <f t="shared" si="19"/>
        <v>-5.1875370156719836E-3</v>
      </c>
    </row>
    <row r="1371" spans="1:7">
      <c r="A1371" s="52">
        <v>274.24549999999999</v>
      </c>
      <c r="B1371" s="52">
        <v>278.65129999999999</v>
      </c>
      <c r="C1371" s="52">
        <v>266.4085</v>
      </c>
      <c r="D1371" s="52">
        <v>268.72579999999999</v>
      </c>
      <c r="E1371" s="52">
        <v>31019256</v>
      </c>
      <c r="F1371" s="52" t="s">
        <v>1434</v>
      </c>
      <c r="G1371" s="25">
        <f t="shared" si="19"/>
        <v>2.0540268184149113E-2</v>
      </c>
    </row>
    <row r="1372" spans="1:7">
      <c r="A1372" s="52">
        <v>263.00709999999998</v>
      </c>
      <c r="B1372" s="52">
        <v>263.30549999999999</v>
      </c>
      <c r="C1372" s="52">
        <v>260.7396</v>
      </c>
      <c r="D1372" s="52">
        <v>263.07679999999999</v>
      </c>
      <c r="E1372" s="52">
        <v>14107803</v>
      </c>
      <c r="F1372" s="52" t="s">
        <v>1435</v>
      </c>
      <c r="G1372" s="25">
        <f t="shared" si="19"/>
        <v>-2.6494164441714929E-4</v>
      </c>
    </row>
    <row r="1373" spans="1:7">
      <c r="A1373" s="52">
        <v>262.32089999999999</v>
      </c>
      <c r="B1373" s="52">
        <v>263.17619999999999</v>
      </c>
      <c r="C1373" s="52">
        <v>257.73489999999998</v>
      </c>
      <c r="D1373" s="52">
        <v>258.33280000000002</v>
      </c>
      <c r="E1373" s="52">
        <v>16312762</v>
      </c>
      <c r="F1373" s="52" t="s">
        <v>1436</v>
      </c>
      <c r="G1373" s="25">
        <f t="shared" si="19"/>
        <v>1.5437838323278941E-2</v>
      </c>
    </row>
    <row r="1374" spans="1:7">
      <c r="A1374" s="52">
        <v>256.71170000000001</v>
      </c>
      <c r="B1374" s="52">
        <v>258.7604</v>
      </c>
      <c r="C1374" s="52">
        <v>253.4297</v>
      </c>
      <c r="D1374" s="52">
        <v>257.79570000000001</v>
      </c>
      <c r="E1374" s="52">
        <v>23133417</v>
      </c>
      <c r="F1374" s="52" t="s">
        <v>1437</v>
      </c>
      <c r="G1374" s="25">
        <f t="shared" si="19"/>
        <v>-4.2048800658815999E-3</v>
      </c>
    </row>
    <row r="1375" spans="1:7">
      <c r="A1375" s="52">
        <v>257.24869999999999</v>
      </c>
      <c r="B1375" s="52">
        <v>264.24040000000002</v>
      </c>
      <c r="C1375" s="52">
        <v>256.83100000000002</v>
      </c>
      <c r="D1375" s="52">
        <v>260.35169999999999</v>
      </c>
      <c r="E1375" s="52">
        <v>18696917</v>
      </c>
      <c r="F1375" s="52" t="s">
        <v>1438</v>
      </c>
      <c r="G1375" s="25">
        <f t="shared" si="19"/>
        <v>-1.1918493330368096E-2</v>
      </c>
    </row>
    <row r="1376" spans="1:7">
      <c r="A1376" s="52">
        <v>263.20600000000002</v>
      </c>
      <c r="B1376" s="52">
        <v>263.41989999999998</v>
      </c>
      <c r="C1376" s="52">
        <v>259.4169</v>
      </c>
      <c r="D1376" s="52">
        <v>260.76940000000002</v>
      </c>
      <c r="E1376" s="52">
        <v>12822252</v>
      </c>
      <c r="F1376" s="52" t="s">
        <v>1439</v>
      </c>
      <c r="G1376" s="25">
        <f t="shared" si="19"/>
        <v>9.3438877414298016E-3</v>
      </c>
    </row>
    <row r="1377" spans="1:7">
      <c r="A1377" s="52">
        <v>258.52170000000001</v>
      </c>
      <c r="B1377" s="52">
        <v>263.70330000000001</v>
      </c>
      <c r="C1377" s="52">
        <v>257.76589999999999</v>
      </c>
      <c r="D1377" s="52">
        <v>259.78480000000002</v>
      </c>
      <c r="E1377" s="52">
        <v>16367597</v>
      </c>
      <c r="F1377" s="52" t="s">
        <v>1440</v>
      </c>
      <c r="G1377" s="25">
        <f t="shared" si="19"/>
        <v>-4.8621012468782476E-3</v>
      </c>
    </row>
    <row r="1378" spans="1:7">
      <c r="A1378" s="52">
        <v>265.17520000000002</v>
      </c>
      <c r="B1378" s="52">
        <v>266.86599999999999</v>
      </c>
      <c r="C1378" s="52">
        <v>263.35520000000002</v>
      </c>
      <c r="D1378" s="52">
        <v>263.90219999999999</v>
      </c>
      <c r="E1378" s="52">
        <v>20009801</v>
      </c>
      <c r="F1378" s="52" t="s">
        <v>1441</v>
      </c>
      <c r="G1378" s="25">
        <f t="shared" si="19"/>
        <v>4.8237566795579223E-3</v>
      </c>
    </row>
    <row r="1379" spans="1:7">
      <c r="A1379" s="52">
        <v>260.47109999999998</v>
      </c>
      <c r="B1379" s="52">
        <v>264.63319999999999</v>
      </c>
      <c r="C1379" s="52">
        <v>258.68090000000001</v>
      </c>
      <c r="D1379" s="52">
        <v>260.55059999999997</v>
      </c>
      <c r="E1379" s="52">
        <v>20142546</v>
      </c>
      <c r="F1379" s="52" t="s">
        <v>1442</v>
      </c>
      <c r="G1379" s="25">
        <f t="shared" si="19"/>
        <v>-3.0512307398256056E-4</v>
      </c>
    </row>
    <row r="1380" spans="1:7">
      <c r="A1380" s="52">
        <v>260.36169999999998</v>
      </c>
      <c r="B1380" s="52">
        <v>261.89319999999998</v>
      </c>
      <c r="C1380" s="52">
        <v>255.4983</v>
      </c>
      <c r="D1380" s="52">
        <v>256.40339999999998</v>
      </c>
      <c r="E1380" s="52">
        <v>20215504</v>
      </c>
      <c r="F1380" s="52" t="s">
        <v>1443</v>
      </c>
      <c r="G1380" s="25">
        <f t="shared" si="19"/>
        <v>1.5437782806312361E-2</v>
      </c>
    </row>
    <row r="1381" spans="1:7">
      <c r="A1381" s="52">
        <v>255.4188</v>
      </c>
      <c r="B1381" s="52">
        <v>258.18360000000001</v>
      </c>
      <c r="C1381" s="52">
        <v>253.43049999999999</v>
      </c>
      <c r="D1381" s="52">
        <v>257.98469999999998</v>
      </c>
      <c r="E1381" s="52">
        <v>18826254</v>
      </c>
      <c r="F1381" s="52" t="s">
        <v>1444</v>
      </c>
      <c r="G1381" s="25">
        <f t="shared" si="19"/>
        <v>-9.9459386545014405E-3</v>
      </c>
    </row>
    <row r="1382" spans="1:7">
      <c r="A1382" s="52">
        <v>253.4297</v>
      </c>
      <c r="B1382" s="52">
        <v>254.3546</v>
      </c>
      <c r="C1382" s="52">
        <v>245.2645</v>
      </c>
      <c r="D1382" s="52">
        <v>248.0393</v>
      </c>
      <c r="E1382" s="52">
        <v>18351311</v>
      </c>
      <c r="F1382" s="52" t="s">
        <v>1445</v>
      </c>
      <c r="G1382" s="25">
        <f t="shared" si="19"/>
        <v>2.1732040043654477E-2</v>
      </c>
    </row>
    <row r="1383" spans="1:7">
      <c r="A1383" s="52">
        <v>248.16849999999999</v>
      </c>
      <c r="B1383" s="52">
        <v>250.8638</v>
      </c>
      <c r="C1383" s="52">
        <v>244.2799</v>
      </c>
      <c r="D1383" s="52">
        <v>245.1551</v>
      </c>
      <c r="E1383" s="52">
        <v>20006750</v>
      </c>
      <c r="F1383" s="52" t="s">
        <v>1446</v>
      </c>
      <c r="G1383" s="25">
        <f t="shared" si="19"/>
        <v>1.2291810368211697E-2</v>
      </c>
    </row>
    <row r="1384" spans="1:7">
      <c r="A1384" s="52">
        <v>247.66130000000001</v>
      </c>
      <c r="B1384" s="52">
        <v>256.58449999999999</v>
      </c>
      <c r="C1384" s="52">
        <v>246.7961</v>
      </c>
      <c r="D1384" s="52">
        <v>253.8673</v>
      </c>
      <c r="E1384" s="52">
        <v>19641266</v>
      </c>
      <c r="F1384" s="52" t="s">
        <v>1447</v>
      </c>
      <c r="G1384" s="25">
        <f t="shared" si="19"/>
        <v>-2.4445842375130589E-2</v>
      </c>
    </row>
    <row r="1385" spans="1:7">
      <c r="A1385" s="52">
        <v>253.36009999999999</v>
      </c>
      <c r="B1385" s="52">
        <v>253.92699999999999</v>
      </c>
      <c r="C1385" s="52">
        <v>246.8657</v>
      </c>
      <c r="D1385" s="52">
        <v>251.92789999999999</v>
      </c>
      <c r="E1385" s="52">
        <v>30293103</v>
      </c>
      <c r="F1385" s="52" t="s">
        <v>1448</v>
      </c>
      <c r="G1385" s="25">
        <f t="shared" si="19"/>
        <v>5.68495986351647E-3</v>
      </c>
    </row>
    <row r="1386" spans="1:7">
      <c r="A1386" s="52">
        <v>246.7961</v>
      </c>
      <c r="B1386" s="52">
        <v>248.58629999999999</v>
      </c>
      <c r="C1386" s="52">
        <v>242.798</v>
      </c>
      <c r="D1386" s="52">
        <v>246.18940000000001</v>
      </c>
      <c r="E1386" s="52">
        <v>24709378</v>
      </c>
      <c r="F1386" s="52" t="s">
        <v>1449</v>
      </c>
      <c r="G1386" s="25">
        <f t="shared" si="19"/>
        <v>2.4643628035974086E-3</v>
      </c>
    </row>
    <row r="1387" spans="1:7">
      <c r="A1387" s="52">
        <v>251.15219999999999</v>
      </c>
      <c r="B1387" s="52">
        <v>257.78579999999999</v>
      </c>
      <c r="C1387" s="52">
        <v>248.6857</v>
      </c>
      <c r="D1387" s="52">
        <v>256.99509999999998</v>
      </c>
      <c r="E1387" s="52">
        <v>28130767</v>
      </c>
      <c r="F1387" s="52" t="s">
        <v>1450</v>
      </c>
      <c r="G1387" s="25">
        <f t="shared" si="19"/>
        <v>-2.2735452932760136E-2</v>
      </c>
    </row>
    <row r="1388" spans="1:7">
      <c r="A1388" s="52">
        <v>253.4297</v>
      </c>
      <c r="B1388" s="52">
        <v>260.07319999999999</v>
      </c>
      <c r="C1388" s="52">
        <v>248.82490000000001</v>
      </c>
      <c r="D1388" s="52">
        <v>256.87079999999997</v>
      </c>
      <c r="E1388" s="52">
        <v>31281441</v>
      </c>
      <c r="F1388" s="52" t="s">
        <v>1451</v>
      </c>
      <c r="G1388" s="25">
        <f t="shared" si="19"/>
        <v>-1.3396228765589435E-2</v>
      </c>
    </row>
    <row r="1389" spans="1:7">
      <c r="A1389" s="52">
        <v>262.0822</v>
      </c>
      <c r="B1389" s="52">
        <v>270.95350000000002</v>
      </c>
      <c r="C1389" s="52">
        <v>260.36169999999998</v>
      </c>
      <c r="D1389" s="52">
        <v>265.83159999999998</v>
      </c>
      <c r="E1389" s="52">
        <v>29207594</v>
      </c>
      <c r="F1389" s="52" t="s">
        <v>1452</v>
      </c>
      <c r="G1389" s="25">
        <f t="shared" si="19"/>
        <v>-1.4104417984919682E-2</v>
      </c>
    </row>
    <row r="1390" spans="1:7">
      <c r="A1390" s="52">
        <v>270.93369999999999</v>
      </c>
      <c r="B1390" s="52">
        <v>273.0222</v>
      </c>
      <c r="C1390" s="52">
        <v>267.83069999999998</v>
      </c>
      <c r="D1390" s="52">
        <v>269.19319999999999</v>
      </c>
      <c r="E1390" s="52">
        <v>18478530</v>
      </c>
      <c r="F1390" s="52" t="s">
        <v>1453</v>
      </c>
      <c r="G1390" s="25">
        <f t="shared" si="19"/>
        <v>6.4656165163161639E-3</v>
      </c>
    </row>
    <row r="1391" spans="1:7">
      <c r="A1391" s="52">
        <v>264.6979</v>
      </c>
      <c r="B1391" s="52">
        <v>275.13060000000002</v>
      </c>
      <c r="C1391" s="52">
        <v>264.25029999999998</v>
      </c>
      <c r="D1391" s="52">
        <v>269.4717</v>
      </c>
      <c r="E1391" s="52">
        <v>24093830</v>
      </c>
      <c r="F1391" s="52" t="s">
        <v>1454</v>
      </c>
      <c r="G1391" s="25">
        <f t="shared" si="19"/>
        <v>-1.7715403881001235E-2</v>
      </c>
    </row>
    <row r="1392" spans="1:7">
      <c r="A1392" s="52">
        <v>265.15539999999999</v>
      </c>
      <c r="B1392" s="52">
        <v>269.90929999999997</v>
      </c>
      <c r="C1392" s="52">
        <v>261.20699999999999</v>
      </c>
      <c r="D1392" s="52">
        <v>268.5865</v>
      </c>
      <c r="E1392" s="52">
        <v>18913883</v>
      </c>
      <c r="F1392" s="52" t="s">
        <v>1455</v>
      </c>
      <c r="G1392" s="25">
        <f t="shared" si="19"/>
        <v>-1.2774655464813045E-2</v>
      </c>
    </row>
    <row r="1393" spans="1:7">
      <c r="A1393" s="52">
        <v>266.62729999999999</v>
      </c>
      <c r="B1393" s="52">
        <v>277.63690000000003</v>
      </c>
      <c r="C1393" s="52">
        <v>265.57499999999999</v>
      </c>
      <c r="D1393" s="52">
        <v>274.0068</v>
      </c>
      <c r="E1393" s="52">
        <v>24814669</v>
      </c>
      <c r="F1393" s="52" t="s">
        <v>1456</v>
      </c>
      <c r="G1393" s="25">
        <f t="shared" si="19"/>
        <v>-2.6931813371055102E-2</v>
      </c>
    </row>
    <row r="1394" spans="1:7">
      <c r="A1394" s="52">
        <v>272.22660000000002</v>
      </c>
      <c r="B1394" s="52">
        <v>276.9606</v>
      </c>
      <c r="C1394" s="52">
        <v>269.86950000000002</v>
      </c>
      <c r="D1394" s="52">
        <v>274.2654</v>
      </c>
      <c r="E1394" s="52">
        <v>22918769</v>
      </c>
      <c r="F1394" s="52" t="s">
        <v>1457</v>
      </c>
      <c r="G1394" s="25">
        <f t="shared" si="19"/>
        <v>-7.4336755565957979E-3</v>
      </c>
    </row>
    <row r="1395" spans="1:7">
      <c r="A1395" s="52">
        <v>269.68049999999999</v>
      </c>
      <c r="B1395" s="52">
        <v>277.77609999999999</v>
      </c>
      <c r="C1395" s="52">
        <v>267.95</v>
      </c>
      <c r="D1395" s="52">
        <v>269.79989999999998</v>
      </c>
      <c r="E1395" s="52">
        <v>24863997</v>
      </c>
      <c r="F1395" s="52" t="s">
        <v>1458</v>
      </c>
      <c r="G1395" s="25">
        <f t="shared" si="19"/>
        <v>-4.425502010934057E-4</v>
      </c>
    </row>
    <row r="1396" spans="1:7">
      <c r="A1396" s="52">
        <v>281.18740000000003</v>
      </c>
      <c r="B1396" s="52">
        <v>287.42320000000001</v>
      </c>
      <c r="C1396" s="52">
        <v>269.66059999999999</v>
      </c>
      <c r="D1396" s="52">
        <v>285.68270000000001</v>
      </c>
      <c r="E1396" s="52">
        <v>30333671</v>
      </c>
      <c r="F1396" s="52" t="s">
        <v>1459</v>
      </c>
      <c r="G1396" s="25">
        <f t="shared" si="19"/>
        <v>-1.5735289536258135E-2</v>
      </c>
    </row>
    <row r="1397" spans="1:7">
      <c r="A1397" s="52">
        <v>289.53160000000003</v>
      </c>
      <c r="B1397" s="52">
        <v>295.97629999999998</v>
      </c>
      <c r="C1397" s="52">
        <v>282.08249999999998</v>
      </c>
      <c r="D1397" s="52">
        <v>294.37509999999997</v>
      </c>
      <c r="E1397" s="52">
        <v>32294092</v>
      </c>
      <c r="F1397" s="52" t="s">
        <v>1460</v>
      </c>
      <c r="G1397" s="25">
        <f t="shared" si="19"/>
        <v>-1.6453497595414701E-2</v>
      </c>
    </row>
    <row r="1398" spans="1:7">
      <c r="A1398" s="52">
        <v>300.84949999999998</v>
      </c>
      <c r="B1398" s="52">
        <v>301.94349999999997</v>
      </c>
      <c r="C1398" s="52">
        <v>291.4511</v>
      </c>
      <c r="D1398" s="52">
        <v>297.24930000000001</v>
      </c>
      <c r="E1398" s="52">
        <v>24341369</v>
      </c>
      <c r="F1398" s="52" t="s">
        <v>1461</v>
      </c>
      <c r="G1398" s="25">
        <f t="shared" si="19"/>
        <v>1.2111719018345735E-2</v>
      </c>
    </row>
    <row r="1399" spans="1:7">
      <c r="A1399" s="52">
        <v>293.82810000000001</v>
      </c>
      <c r="B1399" s="52">
        <v>299.84500000000003</v>
      </c>
      <c r="C1399" s="52">
        <v>291.11290000000002</v>
      </c>
      <c r="D1399" s="52">
        <v>293.10199999999998</v>
      </c>
      <c r="E1399" s="52">
        <v>17320872</v>
      </c>
      <c r="F1399" s="52" t="s">
        <v>1462</v>
      </c>
      <c r="G1399" s="25">
        <f t="shared" si="19"/>
        <v>2.4772945936910595E-3</v>
      </c>
    </row>
    <row r="1400" spans="1:7">
      <c r="A1400" s="52">
        <v>291.6003</v>
      </c>
      <c r="B1400" s="52">
        <v>295.2602</v>
      </c>
      <c r="C1400" s="52">
        <v>289.95929999999998</v>
      </c>
      <c r="D1400" s="52">
        <v>292.34620000000001</v>
      </c>
      <c r="E1400" s="52">
        <v>17345134</v>
      </c>
      <c r="F1400" s="52" t="s">
        <v>1463</v>
      </c>
      <c r="G1400" s="25">
        <f t="shared" si="19"/>
        <v>-2.5514270409535689E-3</v>
      </c>
    </row>
    <row r="1401" spans="1:7">
      <c r="A1401" s="52">
        <v>292.05779999999999</v>
      </c>
      <c r="B1401" s="52">
        <v>295.60829999999999</v>
      </c>
      <c r="C1401" s="52">
        <v>289.39240000000001</v>
      </c>
      <c r="D1401" s="52">
        <v>293.39049999999997</v>
      </c>
      <c r="E1401" s="52">
        <v>17172415</v>
      </c>
      <c r="F1401" s="52" t="s">
        <v>1464</v>
      </c>
      <c r="G1401" s="25">
        <f t="shared" si="19"/>
        <v>-4.5424102007391998E-3</v>
      </c>
    </row>
    <row r="1402" spans="1:7">
      <c r="A1402" s="52">
        <v>291.62020000000001</v>
      </c>
      <c r="B1402" s="52">
        <v>299.5865</v>
      </c>
      <c r="C1402" s="52">
        <v>290.42669999999998</v>
      </c>
      <c r="D1402" s="52">
        <v>298.52229999999997</v>
      </c>
      <c r="E1402" s="52">
        <v>30301309</v>
      </c>
      <c r="F1402" s="52" t="s">
        <v>1465</v>
      </c>
      <c r="G1402" s="25">
        <f t="shared" si="19"/>
        <v>-2.3120885776372391E-2</v>
      </c>
    </row>
    <row r="1403" spans="1:7">
      <c r="A1403" s="52">
        <v>302.2518</v>
      </c>
      <c r="B1403" s="52">
        <v>303.0077</v>
      </c>
      <c r="C1403" s="52">
        <v>282.45049999999998</v>
      </c>
      <c r="D1403" s="52">
        <v>282.45049999999998</v>
      </c>
      <c r="E1403" s="52">
        <v>69015151</v>
      </c>
      <c r="F1403" s="52" t="s">
        <v>1466</v>
      </c>
      <c r="G1403" s="25">
        <f t="shared" si="19"/>
        <v>7.0105381296899916E-2</v>
      </c>
    </row>
    <row r="1404" spans="1:7">
      <c r="A1404" s="52">
        <v>279.2878</v>
      </c>
      <c r="B1404" s="52">
        <v>281.54539999999997</v>
      </c>
      <c r="C1404" s="52">
        <v>268.78550000000001</v>
      </c>
      <c r="D1404" s="52">
        <v>270.9237</v>
      </c>
      <c r="E1404" s="52">
        <v>42127240</v>
      </c>
      <c r="F1404" s="52" t="s">
        <v>1467</v>
      </c>
      <c r="G1404" s="25">
        <f t="shared" si="19"/>
        <v>3.0872529793443793E-2</v>
      </c>
    </row>
    <row r="1405" spans="1:7">
      <c r="A1405" s="52">
        <v>269.90929999999997</v>
      </c>
      <c r="B1405" s="52">
        <v>275.73509999999999</v>
      </c>
      <c r="C1405" s="52">
        <v>267.30369999999999</v>
      </c>
      <c r="D1405" s="52">
        <v>269.59100000000001</v>
      </c>
      <c r="E1405" s="52">
        <v>23685603</v>
      </c>
      <c r="F1405" s="52" t="s">
        <v>1468</v>
      </c>
      <c r="G1405" s="25">
        <f t="shared" si="19"/>
        <v>1.1806773965004069E-3</v>
      </c>
    </row>
    <row r="1406" spans="1:7">
      <c r="A1406" s="52">
        <v>265.5532</v>
      </c>
      <c r="B1406" s="52">
        <v>269.01420000000002</v>
      </c>
      <c r="C1406" s="52">
        <v>264.96640000000002</v>
      </c>
      <c r="D1406" s="52">
        <v>267.22399999999999</v>
      </c>
      <c r="E1406" s="52">
        <v>15538615</v>
      </c>
      <c r="F1406" s="52" t="s">
        <v>1469</v>
      </c>
      <c r="G1406" s="25">
        <f t="shared" si="19"/>
        <v>-6.2524324162499534E-3</v>
      </c>
    </row>
    <row r="1407" spans="1:7">
      <c r="A1407" s="52">
        <v>267.54230000000001</v>
      </c>
      <c r="B1407" s="52">
        <v>268.15890000000002</v>
      </c>
      <c r="C1407" s="52">
        <v>260.0335</v>
      </c>
      <c r="D1407" s="52">
        <v>260.07319999999999</v>
      </c>
      <c r="E1407" s="52">
        <v>20299688</v>
      </c>
      <c r="F1407" s="52" t="s">
        <v>1470</v>
      </c>
      <c r="G1407" s="25">
        <f t="shared" si="19"/>
        <v>2.8719222126693644E-2</v>
      </c>
    </row>
    <row r="1408" spans="1:7">
      <c r="A1408" s="52">
        <v>261.15730000000002</v>
      </c>
      <c r="B1408" s="52">
        <v>266.44630000000001</v>
      </c>
      <c r="C1408" s="52">
        <v>259.92410000000001</v>
      </c>
      <c r="D1408" s="52">
        <v>259.96179999999998</v>
      </c>
      <c r="E1408" s="52">
        <v>23291463</v>
      </c>
      <c r="F1408" s="52" t="s">
        <v>1471</v>
      </c>
      <c r="G1408" s="25">
        <f t="shared" si="19"/>
        <v>4.5987525859569889E-3</v>
      </c>
    </row>
    <row r="1409" spans="1:7">
      <c r="A1409" s="52">
        <v>260.90870000000001</v>
      </c>
      <c r="B1409" s="52">
        <v>263.70330000000001</v>
      </c>
      <c r="C1409" s="52">
        <v>257.84550000000002</v>
      </c>
      <c r="D1409" s="52">
        <v>259.52620000000002</v>
      </c>
      <c r="E1409" s="52">
        <v>18690383</v>
      </c>
      <c r="F1409" s="52" t="s">
        <v>1472</v>
      </c>
      <c r="G1409" s="25">
        <f t="shared" si="19"/>
        <v>5.3270151529980492E-3</v>
      </c>
    </row>
    <row r="1410" spans="1:7">
      <c r="A1410" s="52">
        <v>259.73509999999999</v>
      </c>
      <c r="B1410" s="52">
        <v>262.65640000000002</v>
      </c>
      <c r="C1410" s="52">
        <v>257.98469999999998</v>
      </c>
      <c r="D1410" s="52">
        <v>261.06779999999998</v>
      </c>
      <c r="E1410" s="52">
        <v>13351062</v>
      </c>
      <c r="F1410" s="52" t="s">
        <v>1473</v>
      </c>
      <c r="G1410" s="25">
        <f t="shared" si="19"/>
        <v>-5.1048041926272658E-3</v>
      </c>
    </row>
    <row r="1411" spans="1:7">
      <c r="A1411" s="52">
        <v>259.81470000000002</v>
      </c>
      <c r="B1411" s="52">
        <v>261.21699999999998</v>
      </c>
      <c r="C1411" s="52">
        <v>257.26870000000002</v>
      </c>
      <c r="D1411" s="52">
        <v>260.87380000000002</v>
      </c>
      <c r="E1411" s="52">
        <v>14792708</v>
      </c>
      <c r="F1411" s="52" t="s">
        <v>1474</v>
      </c>
      <c r="G1411" s="25">
        <f t="shared" si="19"/>
        <v>-4.0598174289637745E-3</v>
      </c>
    </row>
    <row r="1412" spans="1:7">
      <c r="A1412" s="52">
        <v>259.87430000000001</v>
      </c>
      <c r="B1412" s="52">
        <v>263.7133</v>
      </c>
      <c r="C1412" s="52">
        <v>258.15379999999999</v>
      </c>
      <c r="D1412" s="52">
        <v>260.12299999999999</v>
      </c>
      <c r="E1412" s="52">
        <v>17373970</v>
      </c>
      <c r="F1412" s="52" t="s">
        <v>1475</v>
      </c>
      <c r="G1412" s="25">
        <f t="shared" ref="G1412:G1448" si="20">A1412/D1412-1</f>
        <v>-9.5608615924003271E-4</v>
      </c>
    </row>
    <row r="1413" spans="1:7">
      <c r="A1413" s="52">
        <v>258.47199999999998</v>
      </c>
      <c r="B1413" s="52">
        <v>262.45749999999998</v>
      </c>
      <c r="C1413" s="52">
        <v>256.70420000000001</v>
      </c>
      <c r="D1413" s="52">
        <v>257.55700000000002</v>
      </c>
      <c r="E1413" s="52">
        <v>21428329</v>
      </c>
      <c r="F1413" s="52" t="s">
        <v>1476</v>
      </c>
      <c r="G1413" s="25">
        <f t="shared" si="20"/>
        <v>3.552611654895621E-3</v>
      </c>
    </row>
    <row r="1414" spans="1:7">
      <c r="A1414" s="52">
        <v>254.73249999999999</v>
      </c>
      <c r="B1414" s="52">
        <v>264.46409999999997</v>
      </c>
      <c r="C1414" s="52">
        <v>253.738</v>
      </c>
      <c r="D1414" s="52">
        <v>258.7654</v>
      </c>
      <c r="E1414" s="52">
        <v>28238283</v>
      </c>
      <c r="F1414" s="52" t="s">
        <v>1477</v>
      </c>
      <c r="G1414" s="25">
        <f t="shared" si="20"/>
        <v>-1.5585159376021673E-2</v>
      </c>
    </row>
    <row r="1415" spans="1:7">
      <c r="A1415" s="52">
        <v>261.565</v>
      </c>
      <c r="B1415" s="52">
        <v>272.36579999999998</v>
      </c>
      <c r="C1415" s="52">
        <v>258.2731</v>
      </c>
      <c r="D1415" s="52">
        <v>266.57760000000002</v>
      </c>
      <c r="E1415" s="52">
        <v>30248826</v>
      </c>
      <c r="F1415" s="52" t="s">
        <v>1478</v>
      </c>
      <c r="G1415" s="25">
        <f t="shared" si="20"/>
        <v>-1.8803530379146727E-2</v>
      </c>
    </row>
    <row r="1416" spans="1:7">
      <c r="A1416" s="52">
        <v>266.97539999999998</v>
      </c>
      <c r="B1416" s="52">
        <v>277.36840000000001</v>
      </c>
      <c r="C1416" s="52">
        <v>261.99270000000001</v>
      </c>
      <c r="D1416" s="52">
        <v>262.63920000000002</v>
      </c>
      <c r="E1416" s="52">
        <v>72766364</v>
      </c>
      <c r="F1416" s="52" t="s">
        <v>1479</v>
      </c>
      <c r="G1416" s="25">
        <f t="shared" si="20"/>
        <v>1.6510102071586985E-2</v>
      </c>
    </row>
    <row r="1417" spans="1:7">
      <c r="A1417" s="52">
        <v>263.83260000000001</v>
      </c>
      <c r="B1417" s="52">
        <v>265.1454</v>
      </c>
      <c r="C1417" s="52">
        <v>247.3083</v>
      </c>
      <c r="D1417" s="52">
        <v>247.68119999999999</v>
      </c>
      <c r="E1417" s="52">
        <v>45241611</v>
      </c>
      <c r="F1417" s="52" t="s">
        <v>1480</v>
      </c>
      <c r="G1417" s="25">
        <f t="shared" si="20"/>
        <v>6.5210439871900006E-2</v>
      </c>
    </row>
    <row r="1418" spans="1:7">
      <c r="A1418" s="52">
        <v>247.76079999999999</v>
      </c>
      <c r="B1418" s="52">
        <v>250.89340000000001</v>
      </c>
      <c r="C1418" s="52">
        <v>246.41810000000001</v>
      </c>
      <c r="D1418" s="52">
        <v>248.82490000000001</v>
      </c>
      <c r="E1418" s="52">
        <v>13088361</v>
      </c>
      <c r="F1418" s="52" t="s">
        <v>1481</v>
      </c>
      <c r="G1418" s="25">
        <f t="shared" si="20"/>
        <v>-4.2765012665534341E-3</v>
      </c>
    </row>
    <row r="1419" spans="1:7">
      <c r="A1419" s="52">
        <v>248.46690000000001</v>
      </c>
      <c r="B1419" s="52">
        <v>251.42070000000001</v>
      </c>
      <c r="C1419" s="52">
        <v>246.08</v>
      </c>
      <c r="D1419" s="52">
        <v>250.1875</v>
      </c>
      <c r="E1419" s="52">
        <v>17183533</v>
      </c>
      <c r="F1419" s="52" t="s">
        <v>1482</v>
      </c>
      <c r="G1419" s="25">
        <f t="shared" si="20"/>
        <v>-6.8772420684486413E-3</v>
      </c>
    </row>
    <row r="1420" spans="1:7">
      <c r="A1420" s="52">
        <v>250.58529999999999</v>
      </c>
      <c r="B1420" s="52">
        <v>254.00649999999999</v>
      </c>
      <c r="C1420" s="52">
        <v>248.96420000000001</v>
      </c>
      <c r="D1420" s="52">
        <v>251.2715</v>
      </c>
      <c r="E1420" s="52">
        <v>23134103</v>
      </c>
      <c r="F1420" s="52" t="s">
        <v>1483</v>
      </c>
      <c r="G1420" s="25">
        <f t="shared" si="20"/>
        <v>-2.7309105887456386E-3</v>
      </c>
    </row>
    <row r="1421" spans="1:7">
      <c r="A1421" s="52">
        <v>252.286</v>
      </c>
      <c r="B1421" s="52">
        <v>254.45410000000001</v>
      </c>
      <c r="C1421" s="52">
        <v>247.6414</v>
      </c>
      <c r="D1421" s="52">
        <v>254.42420000000001</v>
      </c>
      <c r="E1421" s="52">
        <v>53030037</v>
      </c>
      <c r="F1421" s="52" t="s">
        <v>1484</v>
      </c>
      <c r="G1421" s="25">
        <f t="shared" si="20"/>
        <v>-8.4040747696171314E-3</v>
      </c>
    </row>
    <row r="1422" spans="1:7">
      <c r="A1422" s="52">
        <v>233.22049999999999</v>
      </c>
      <c r="B1422" s="52">
        <v>233.6114</v>
      </c>
      <c r="C1422" s="52">
        <v>227.75059999999999</v>
      </c>
      <c r="D1422" s="52">
        <v>228.9639</v>
      </c>
      <c r="E1422" s="52">
        <v>20615306</v>
      </c>
      <c r="F1422" s="52" t="s">
        <v>1485</v>
      </c>
      <c r="G1422" s="25">
        <f t="shared" si="20"/>
        <v>1.8590703599999703E-2</v>
      </c>
    </row>
    <row r="1423" spans="1:7">
      <c r="A1423" s="52">
        <v>232.0172</v>
      </c>
      <c r="B1423" s="52">
        <v>232.42490000000001</v>
      </c>
      <c r="C1423" s="52">
        <v>229.05340000000001</v>
      </c>
      <c r="D1423" s="52">
        <v>229.87889999999999</v>
      </c>
      <c r="E1423" s="52">
        <v>13588317</v>
      </c>
      <c r="F1423" s="52" t="s">
        <v>1486</v>
      </c>
      <c r="G1423" s="25">
        <f t="shared" si="20"/>
        <v>9.301854150163491E-3</v>
      </c>
    </row>
    <row r="1424" spans="1:7">
      <c r="A1424" s="52">
        <v>228.86439999999999</v>
      </c>
      <c r="B1424" s="52">
        <v>233.678</v>
      </c>
      <c r="C1424" s="52">
        <v>228.57599999999999</v>
      </c>
      <c r="D1424" s="52">
        <v>233.34979999999999</v>
      </c>
      <c r="E1424" s="52">
        <v>14170112</v>
      </c>
      <c r="F1424" s="52" t="s">
        <v>1487</v>
      </c>
      <c r="G1424" s="25">
        <f t="shared" si="20"/>
        <v>-1.9221786348220582E-2</v>
      </c>
    </row>
    <row r="1425" spans="1:7">
      <c r="A1425" s="52">
        <v>232.226</v>
      </c>
      <c r="B1425" s="52">
        <v>233.66810000000001</v>
      </c>
      <c r="C1425" s="52">
        <v>229.57060000000001</v>
      </c>
      <c r="D1425" s="52">
        <v>230.19710000000001</v>
      </c>
      <c r="E1425" s="52">
        <v>13163083</v>
      </c>
      <c r="F1425" s="52" t="s">
        <v>1488</v>
      </c>
      <c r="G1425" s="25">
        <f t="shared" si="20"/>
        <v>8.8137513461290506E-3</v>
      </c>
    </row>
    <row r="1426" spans="1:7">
      <c r="A1426" s="52">
        <v>229.4512</v>
      </c>
      <c r="B1426" s="52">
        <v>232.21610000000001</v>
      </c>
      <c r="C1426" s="52">
        <v>225.66200000000001</v>
      </c>
      <c r="D1426" s="52">
        <v>228.9341</v>
      </c>
      <c r="E1426" s="52">
        <v>18325813</v>
      </c>
      <c r="F1426" s="52" t="s">
        <v>1489</v>
      </c>
      <c r="G1426" s="25">
        <f t="shared" si="20"/>
        <v>2.2587286035589127E-3</v>
      </c>
    </row>
    <row r="1427" spans="1:7">
      <c r="A1427" s="52">
        <v>231.33090000000001</v>
      </c>
      <c r="B1427" s="52">
        <v>241.09729999999999</v>
      </c>
      <c r="C1427" s="52">
        <v>230.48560000000001</v>
      </c>
      <c r="D1427" s="52">
        <v>238.32259999999999</v>
      </c>
      <c r="E1427" s="52">
        <v>21771802</v>
      </c>
      <c r="F1427" s="52" t="s">
        <v>1490</v>
      </c>
      <c r="G1427" s="25">
        <f t="shared" si="20"/>
        <v>-2.9337125392220331E-2</v>
      </c>
    </row>
    <row r="1428" spans="1:7">
      <c r="A1428" s="52">
        <v>238.56120000000001</v>
      </c>
      <c r="B1428" s="52">
        <v>240.58019999999999</v>
      </c>
      <c r="C1428" s="52">
        <v>236.82079999999999</v>
      </c>
      <c r="D1428" s="52">
        <v>238.94909999999999</v>
      </c>
      <c r="E1428" s="52">
        <v>15427885</v>
      </c>
      <c r="F1428" s="52" t="s">
        <v>1491</v>
      </c>
      <c r="G1428" s="25">
        <f t="shared" si="20"/>
        <v>-1.6233582800687651E-3</v>
      </c>
    </row>
    <row r="1429" spans="1:7">
      <c r="A1429" s="52">
        <v>240.43100000000001</v>
      </c>
      <c r="B1429" s="52">
        <v>245.56280000000001</v>
      </c>
      <c r="C1429" s="52">
        <v>238.77010000000001</v>
      </c>
      <c r="D1429" s="52">
        <v>244.8766</v>
      </c>
      <c r="E1429" s="52">
        <v>19409687</v>
      </c>
      <c r="F1429" s="52" t="s">
        <v>1492</v>
      </c>
      <c r="G1429" s="25">
        <f t="shared" si="20"/>
        <v>-1.8154450037283998E-2</v>
      </c>
    </row>
    <row r="1430" spans="1:7">
      <c r="A1430" s="52">
        <v>244.08099999999999</v>
      </c>
      <c r="B1430" s="52">
        <v>244.70750000000001</v>
      </c>
      <c r="C1430" s="52">
        <v>234.3494</v>
      </c>
      <c r="D1430" s="52">
        <v>238.75020000000001</v>
      </c>
      <c r="E1430" s="52">
        <v>20872223</v>
      </c>
      <c r="F1430" s="52" t="s">
        <v>1493</v>
      </c>
      <c r="G1430" s="25">
        <f t="shared" si="20"/>
        <v>2.2327939411150188E-2</v>
      </c>
    </row>
    <row r="1431" spans="1:7">
      <c r="A1431" s="52">
        <v>240.70949999999999</v>
      </c>
      <c r="B1431" s="52">
        <v>242.8278</v>
      </c>
      <c r="C1431" s="52">
        <v>236.56219999999999</v>
      </c>
      <c r="D1431" s="52">
        <v>239.68510000000001</v>
      </c>
      <c r="E1431" s="52">
        <v>18152413</v>
      </c>
      <c r="F1431" s="52" t="s">
        <v>1494</v>
      </c>
      <c r="G1431" s="25">
        <f t="shared" si="20"/>
        <v>4.2739411002186145E-3</v>
      </c>
    </row>
    <row r="1432" spans="1:7">
      <c r="A1432" s="52">
        <v>239.6155</v>
      </c>
      <c r="B1432" s="52">
        <v>240.4409</v>
      </c>
      <c r="C1432" s="52">
        <v>235.0412</v>
      </c>
      <c r="D1432" s="52">
        <v>236.70150000000001</v>
      </c>
      <c r="E1432" s="52">
        <v>18880705</v>
      </c>
      <c r="F1432" s="52" t="s">
        <v>1495</v>
      </c>
      <c r="G1432" s="25">
        <f t="shared" si="20"/>
        <v>1.2310864105212538E-2</v>
      </c>
    </row>
    <row r="1433" spans="1:7">
      <c r="A1433" s="52">
        <v>238.96899999999999</v>
      </c>
      <c r="B1433" s="52">
        <v>243.48419999999999</v>
      </c>
      <c r="C1433" s="52">
        <v>236.75120000000001</v>
      </c>
      <c r="D1433" s="52">
        <v>240.2321</v>
      </c>
      <c r="E1433" s="52">
        <v>19133562</v>
      </c>
      <c r="F1433" s="52" t="s">
        <v>1496</v>
      </c>
      <c r="G1433" s="25">
        <f t="shared" si="20"/>
        <v>-5.2578319050617939E-3</v>
      </c>
    </row>
    <row r="1434" spans="1:7">
      <c r="A1434" s="52">
        <v>238.422</v>
      </c>
      <c r="B1434" s="52">
        <v>239.0187</v>
      </c>
      <c r="C1434" s="52">
        <v>230.76400000000001</v>
      </c>
      <c r="D1434" s="52">
        <v>235.4682</v>
      </c>
      <c r="E1434" s="52">
        <v>23378056</v>
      </c>
      <c r="F1434" s="52" t="s">
        <v>1497</v>
      </c>
      <c r="G1434" s="25">
        <f t="shared" si="20"/>
        <v>1.2544369048559378E-2</v>
      </c>
    </row>
    <row r="1435" spans="1:7">
      <c r="A1435" s="52">
        <v>237.696</v>
      </c>
      <c r="B1435" s="52">
        <v>248.7852</v>
      </c>
      <c r="C1435" s="52">
        <v>237.11920000000001</v>
      </c>
      <c r="D1435" s="52">
        <v>245.65729999999999</v>
      </c>
      <c r="E1435" s="52">
        <v>24674874</v>
      </c>
      <c r="F1435" s="52" t="s">
        <v>1498</v>
      </c>
      <c r="G1435" s="25">
        <f t="shared" si="20"/>
        <v>-3.2408155589107257E-2</v>
      </c>
    </row>
    <row r="1436" spans="1:7">
      <c r="A1436" s="52">
        <v>243.7329</v>
      </c>
      <c r="B1436" s="52">
        <v>244.1506</v>
      </c>
      <c r="C1436" s="52">
        <v>238.01429999999999</v>
      </c>
      <c r="D1436" s="52">
        <v>242.3554</v>
      </c>
      <c r="E1436" s="52">
        <v>22982716</v>
      </c>
      <c r="F1436" s="52" t="s">
        <v>1499</v>
      </c>
      <c r="G1436" s="25">
        <f t="shared" si="20"/>
        <v>5.68380155754733E-3</v>
      </c>
    </row>
    <row r="1437" spans="1:7">
      <c r="A1437" s="52">
        <v>243.166</v>
      </c>
      <c r="B1437" s="52">
        <v>245.1799</v>
      </c>
      <c r="C1437" s="52">
        <v>237.93469999999999</v>
      </c>
      <c r="D1437" s="52">
        <v>243.66329999999999</v>
      </c>
      <c r="E1437" s="52">
        <v>22174896</v>
      </c>
      <c r="F1437" s="52" t="s">
        <v>1500</v>
      </c>
      <c r="G1437" s="25">
        <f t="shared" si="20"/>
        <v>-2.0409310716877904E-3</v>
      </c>
    </row>
    <row r="1438" spans="1:7">
      <c r="A1438" s="52">
        <v>242.251</v>
      </c>
      <c r="B1438" s="52">
        <v>245.64240000000001</v>
      </c>
      <c r="C1438" s="52">
        <v>235.29910000000001</v>
      </c>
      <c r="D1438" s="52">
        <v>236.8109</v>
      </c>
      <c r="E1438" s="52">
        <v>29791339</v>
      </c>
      <c r="F1438" s="52" t="s">
        <v>1501</v>
      </c>
      <c r="G1438" s="25">
        <f t="shared" si="20"/>
        <v>2.2972337844246127E-2</v>
      </c>
    </row>
    <row r="1439" spans="1:7">
      <c r="A1439" s="52">
        <v>239.54580000000001</v>
      </c>
      <c r="B1439" s="52">
        <v>246.2988</v>
      </c>
      <c r="C1439" s="52">
        <v>237.517</v>
      </c>
      <c r="D1439" s="52">
        <v>238.10380000000001</v>
      </c>
      <c r="E1439" s="52">
        <v>27887786</v>
      </c>
      <c r="F1439" s="52" t="s">
        <v>1502</v>
      </c>
      <c r="G1439" s="25">
        <f t="shared" si="20"/>
        <v>6.0561822196874004E-3</v>
      </c>
    </row>
    <row r="1440" spans="1:7">
      <c r="A1440" s="52">
        <v>238.96899999999999</v>
      </c>
      <c r="B1440" s="52">
        <v>239.08840000000001</v>
      </c>
      <c r="C1440" s="52">
        <v>231.0027</v>
      </c>
      <c r="D1440" s="52">
        <v>232.4846</v>
      </c>
      <c r="E1440" s="52">
        <v>26206158</v>
      </c>
      <c r="F1440" s="52" t="s">
        <v>1503</v>
      </c>
      <c r="G1440" s="25">
        <f t="shared" si="20"/>
        <v>2.789173992599947E-2</v>
      </c>
    </row>
    <row r="1441" spans="1:7">
      <c r="A1441" s="52">
        <v>232.1464</v>
      </c>
      <c r="B1441" s="52">
        <v>238.69049999999999</v>
      </c>
      <c r="C1441" s="52">
        <v>231.3409</v>
      </c>
      <c r="D1441" s="52">
        <v>237.696</v>
      </c>
      <c r="E1441" s="52">
        <v>30633620</v>
      </c>
      <c r="F1441" s="52" t="s">
        <v>1504</v>
      </c>
      <c r="G1441" s="25">
        <f t="shared" si="20"/>
        <v>-2.3347469036079649E-2</v>
      </c>
    </row>
    <row r="1442" spans="1:7">
      <c r="A1442" s="52">
        <v>236.25389999999999</v>
      </c>
      <c r="B1442" s="52">
        <v>237.696</v>
      </c>
      <c r="C1442" s="52">
        <v>226.3184</v>
      </c>
      <c r="D1442" s="52">
        <v>227.2533</v>
      </c>
      <c r="E1442" s="52">
        <v>43399739</v>
      </c>
      <c r="F1442" s="52" t="s">
        <v>1505</v>
      </c>
      <c r="G1442" s="25">
        <f t="shared" si="20"/>
        <v>3.9606025523061694E-2</v>
      </c>
    </row>
    <row r="1443" spans="1:7">
      <c r="A1443" s="52">
        <v>225.83109999999999</v>
      </c>
      <c r="B1443" s="52">
        <v>226.2587</v>
      </c>
      <c r="C1443" s="52">
        <v>217.27799999999999</v>
      </c>
      <c r="D1443" s="52">
        <v>219.38640000000001</v>
      </c>
      <c r="E1443" s="52">
        <v>33927068</v>
      </c>
      <c r="F1443" s="52" t="s">
        <v>1506</v>
      </c>
      <c r="G1443" s="25">
        <f t="shared" si="20"/>
        <v>2.9376023308646193E-2</v>
      </c>
    </row>
    <row r="1444" spans="1:7">
      <c r="A1444" s="52">
        <v>219.43620000000001</v>
      </c>
      <c r="B1444" s="52">
        <v>219.54560000000001</v>
      </c>
      <c r="C1444" s="52">
        <v>205.98</v>
      </c>
      <c r="D1444" s="52">
        <v>208.60560000000001</v>
      </c>
      <c r="E1444" s="52">
        <v>58514281</v>
      </c>
      <c r="F1444" s="52" t="s">
        <v>1507</v>
      </c>
      <c r="G1444" s="25">
        <f t="shared" si="20"/>
        <v>5.1919028060608108E-2</v>
      </c>
    </row>
    <row r="1445" spans="1:7">
      <c r="A1445" s="52">
        <v>214.90100000000001</v>
      </c>
      <c r="B1445" s="52">
        <v>231.81819999999999</v>
      </c>
      <c r="C1445" s="52">
        <v>214.22479999999999</v>
      </c>
      <c r="D1445" s="52">
        <v>231.3707</v>
      </c>
      <c r="E1445" s="52">
        <v>76343939</v>
      </c>
      <c r="F1445" s="52" t="s">
        <v>1508</v>
      </c>
      <c r="G1445" s="25">
        <f t="shared" si="20"/>
        <v>-7.1183170557032494E-2</v>
      </c>
    </row>
    <row r="1446" spans="1:7">
      <c r="A1446" s="52">
        <v>234.39410000000001</v>
      </c>
      <c r="B1446" s="52">
        <v>236.00530000000001</v>
      </c>
      <c r="C1446" s="52">
        <v>231.47020000000001</v>
      </c>
      <c r="D1446" s="52">
        <v>233.3399</v>
      </c>
      <c r="E1446" s="52">
        <v>18704339</v>
      </c>
      <c r="F1446" s="52" t="s">
        <v>1509</v>
      </c>
      <c r="G1446" s="25">
        <f t="shared" si="20"/>
        <v>4.5178728541497293E-3</v>
      </c>
    </row>
    <row r="1447" spans="1:7">
      <c r="A1447" s="52">
        <v>232.7432</v>
      </c>
      <c r="B1447" s="52">
        <v>241.893</v>
      </c>
      <c r="C1447" s="52">
        <v>231.41050000000001</v>
      </c>
      <c r="D1447" s="52">
        <v>239.88399999999999</v>
      </c>
      <c r="E1447" s="52">
        <v>20834904</v>
      </c>
      <c r="F1447" s="52" t="s">
        <v>1510</v>
      </c>
      <c r="G1447" s="25">
        <f t="shared" si="20"/>
        <v>-2.9767721065181441E-2</v>
      </c>
    </row>
    <row r="1448" spans="1:7">
      <c r="A1448" s="52">
        <v>240.91829999999999</v>
      </c>
      <c r="B1448" s="52">
        <v>243.8475</v>
      </c>
      <c r="C1448" s="52">
        <v>238.5513</v>
      </c>
      <c r="D1448" s="52">
        <v>239.96360000000001</v>
      </c>
      <c r="E1448" s="52">
        <v>24017915</v>
      </c>
      <c r="F1448" s="52" t="s">
        <v>1511</v>
      </c>
      <c r="G1448" s="25">
        <f t="shared" si="20"/>
        <v>3.978520075544667E-3</v>
      </c>
    </row>
    <row r="1449" spans="1:7">
      <c r="G1449" s="25"/>
    </row>
    <row r="1450" spans="1:7">
      <c r="G1450" s="25"/>
    </row>
    <row r="1451" spans="1:7">
      <c r="G1451" s="25"/>
    </row>
    <row r="1452" spans="1:7">
      <c r="G1452" s="25"/>
    </row>
    <row r="1453" spans="1:7">
      <c r="G1453" s="25"/>
    </row>
    <row r="1454" spans="1:7">
      <c r="G1454" s="25"/>
    </row>
    <row r="1455" spans="1:7">
      <c r="G1455" s="25"/>
    </row>
    <row r="1456" spans="1:7">
      <c r="G1456" s="25"/>
    </row>
    <row r="1457" spans="7:7">
      <c r="G1457" s="25"/>
    </row>
    <row r="1458" spans="7:7">
      <c r="G1458" s="25"/>
    </row>
    <row r="1459" spans="7:7">
      <c r="G1459" s="25"/>
    </row>
    <row r="1460" spans="7:7">
      <c r="G1460" s="25"/>
    </row>
    <row r="1461" spans="7:7">
      <c r="G1461" s="25"/>
    </row>
    <row r="1462" spans="7:7">
      <c r="G1462" s="25"/>
    </row>
    <row r="1463" spans="7:7">
      <c r="G1463" s="25"/>
    </row>
    <row r="1464" spans="7:7">
      <c r="G1464" s="25"/>
    </row>
    <row r="1465" spans="7:7">
      <c r="G1465" s="25"/>
    </row>
    <row r="1466" spans="7:7">
      <c r="G1466" s="25"/>
    </row>
    <row r="1467" spans="7:7">
      <c r="G1467" s="25"/>
    </row>
    <row r="1468" spans="7:7">
      <c r="G1468" s="25"/>
    </row>
    <row r="1469" spans="7:7">
      <c r="G1469" s="25"/>
    </row>
    <row r="1470" spans="7:7">
      <c r="G1470" s="25"/>
    </row>
    <row r="1471" spans="7:7">
      <c r="G1471" s="25"/>
    </row>
    <row r="1472" spans="7:7">
      <c r="G1472" s="25"/>
    </row>
    <row r="1473" spans="7:7">
      <c r="G1473" s="25"/>
    </row>
    <row r="1474" spans="7:7">
      <c r="G1474" s="25"/>
    </row>
    <row r="1475" spans="7:7">
      <c r="G1475" s="25"/>
    </row>
    <row r="1476" spans="7:7">
      <c r="G1476" s="25"/>
    </row>
    <row r="1477" spans="7:7">
      <c r="G1477" s="25"/>
    </row>
    <row r="1478" spans="7:7">
      <c r="G1478" s="25"/>
    </row>
    <row r="1479" spans="7:7">
      <c r="G1479" s="25"/>
    </row>
    <row r="1480" spans="7:7">
      <c r="G1480" s="25"/>
    </row>
    <row r="1481" spans="7:7">
      <c r="G1481" s="25"/>
    </row>
    <row r="1482" spans="7:7">
      <c r="G1482" s="25"/>
    </row>
    <row r="1483" spans="7:7">
      <c r="G1483" s="25"/>
    </row>
    <row r="1484" spans="7:7">
      <c r="G1484" s="25"/>
    </row>
    <row r="1485" spans="7:7">
      <c r="G1485" s="25"/>
    </row>
    <row r="1486" spans="7:7">
      <c r="G1486" s="25"/>
    </row>
    <row r="1487" spans="7:7">
      <c r="G1487" s="25"/>
    </row>
    <row r="1488" spans="7:7">
      <c r="G1488" s="25"/>
    </row>
    <row r="1489" spans="7:7">
      <c r="G1489" s="25"/>
    </row>
    <row r="1490" spans="7:7">
      <c r="G1490" s="25"/>
    </row>
    <row r="1491" spans="7:7">
      <c r="G1491" s="25"/>
    </row>
    <row r="1492" spans="7:7">
      <c r="G1492" s="25"/>
    </row>
    <row r="1493" spans="7:7">
      <c r="G1493" s="25"/>
    </row>
    <row r="1494" spans="7:7">
      <c r="G1494" s="25"/>
    </row>
    <row r="1495" spans="7:7">
      <c r="G1495" s="25"/>
    </row>
    <row r="1496" spans="7:7">
      <c r="G1496" s="25"/>
    </row>
    <row r="1497" spans="7:7">
      <c r="G1497" s="25"/>
    </row>
    <row r="1498" spans="7:7">
      <c r="G1498" s="25"/>
    </row>
    <row r="1499" spans="7:7">
      <c r="G1499" s="25"/>
    </row>
    <row r="1500" spans="7:7">
      <c r="G1500" s="25"/>
    </row>
    <row r="1501" spans="7:7">
      <c r="G1501" s="25"/>
    </row>
    <row r="1502" spans="7:7">
      <c r="G1502" s="25"/>
    </row>
    <row r="1503" spans="7:7">
      <c r="G1503" s="25"/>
    </row>
    <row r="1504" spans="7:7">
      <c r="G1504" s="25"/>
    </row>
    <row r="1505" spans="7:7">
      <c r="G1505" s="25"/>
    </row>
    <row r="1506" spans="7:7">
      <c r="G1506" s="25"/>
    </row>
    <row r="1507" spans="7:7">
      <c r="G1507" s="25"/>
    </row>
    <row r="1508" spans="7:7">
      <c r="G1508" s="25"/>
    </row>
    <row r="1509" spans="7:7">
      <c r="G1509" s="25"/>
    </row>
    <row r="1510" spans="7:7">
      <c r="G1510" s="25"/>
    </row>
    <row r="1511" spans="7:7">
      <c r="G1511" s="25"/>
    </row>
    <row r="1512" spans="7:7">
      <c r="G1512" s="25"/>
    </row>
    <row r="1513" spans="7:7">
      <c r="G1513" s="25"/>
    </row>
    <row r="1514" spans="7:7">
      <c r="G1514" s="25"/>
    </row>
    <row r="1515" spans="7:7">
      <c r="G1515" s="25"/>
    </row>
    <row r="1516" spans="7:7">
      <c r="G1516" s="25"/>
    </row>
    <row r="1517" spans="7:7">
      <c r="G1517" s="25"/>
    </row>
    <row r="1518" spans="7:7">
      <c r="G1518" s="25"/>
    </row>
    <row r="1519" spans="7:7">
      <c r="G1519" s="25"/>
    </row>
    <row r="1520" spans="7:7">
      <c r="G1520" s="25"/>
    </row>
    <row r="1521" spans="7:7">
      <c r="G1521" s="25"/>
    </row>
    <row r="1522" spans="7:7">
      <c r="G1522" s="25"/>
    </row>
    <row r="1523" spans="7:7">
      <c r="G1523" s="25"/>
    </row>
    <row r="1524" spans="7:7">
      <c r="G1524" s="25"/>
    </row>
    <row r="1525" spans="7:7">
      <c r="G1525" s="25"/>
    </row>
    <row r="1526" spans="7:7">
      <c r="G1526" s="25"/>
    </row>
    <row r="1527" spans="7:7">
      <c r="G1527" s="25"/>
    </row>
    <row r="1528" spans="7:7">
      <c r="G1528" s="25"/>
    </row>
    <row r="1529" spans="7:7">
      <c r="G1529" s="25"/>
    </row>
    <row r="1530" spans="7:7">
      <c r="G1530" s="25"/>
    </row>
    <row r="1531" spans="7:7">
      <c r="G1531" s="25"/>
    </row>
    <row r="1532" spans="7:7">
      <c r="G1532" s="25"/>
    </row>
    <row r="1533" spans="7:7">
      <c r="G1533" s="25"/>
    </row>
    <row r="1534" spans="7:7">
      <c r="G1534" s="25"/>
    </row>
    <row r="1535" spans="7:7">
      <c r="G1535" s="25"/>
    </row>
    <row r="1536" spans="7:7">
      <c r="G1536" s="25"/>
    </row>
    <row r="1537" spans="7:7">
      <c r="G1537" s="25"/>
    </row>
    <row r="1538" spans="7:7">
      <c r="G1538" s="25"/>
    </row>
    <row r="1539" spans="7:7">
      <c r="G1539" s="25"/>
    </row>
    <row r="1540" spans="7:7">
      <c r="G1540" s="25"/>
    </row>
    <row r="1541" spans="7:7">
      <c r="G1541" s="25"/>
    </row>
    <row r="1542" spans="7:7">
      <c r="G1542" s="25"/>
    </row>
    <row r="1543" spans="7:7">
      <c r="G1543" s="25"/>
    </row>
    <row r="1544" spans="7:7">
      <c r="G1544" s="25"/>
    </row>
    <row r="1545" spans="7:7">
      <c r="G1545" s="25"/>
    </row>
    <row r="1546" spans="7:7">
      <c r="G1546" s="25"/>
    </row>
    <row r="1547" spans="7:7">
      <c r="G1547" s="25"/>
    </row>
    <row r="1548" spans="7:7">
      <c r="G1548" s="25"/>
    </row>
    <row r="1549" spans="7:7">
      <c r="G1549" s="25"/>
    </row>
    <row r="1550" spans="7:7">
      <c r="G1550" s="25"/>
    </row>
    <row r="1551" spans="7:7">
      <c r="G1551" s="25"/>
    </row>
    <row r="1552" spans="7:7">
      <c r="G1552" s="25"/>
    </row>
    <row r="1553" spans="7:7">
      <c r="G1553" s="25"/>
    </row>
    <row r="1554" spans="7:7">
      <c r="G1554" s="25"/>
    </row>
    <row r="1555" spans="7:7">
      <c r="G1555" s="25"/>
    </row>
    <row r="1556" spans="7:7">
      <c r="G1556" s="25"/>
    </row>
    <row r="1557" spans="7:7">
      <c r="G1557" s="25"/>
    </row>
    <row r="1558" spans="7:7">
      <c r="G1558" s="25"/>
    </row>
    <row r="1559" spans="7:7">
      <c r="G1559" s="25"/>
    </row>
    <row r="1560" spans="7:7">
      <c r="G1560" s="25"/>
    </row>
    <row r="1561" spans="7:7">
      <c r="G1561" s="25"/>
    </row>
    <row r="1562" spans="7:7">
      <c r="G1562" s="25"/>
    </row>
    <row r="1563" spans="7:7">
      <c r="G1563" s="25"/>
    </row>
    <row r="1564" spans="7:7">
      <c r="G1564" s="25"/>
    </row>
    <row r="1565" spans="7:7">
      <c r="G1565" s="25"/>
    </row>
    <row r="1566" spans="7:7">
      <c r="G1566" s="25"/>
    </row>
    <row r="1567" spans="7:7">
      <c r="G1567" s="25"/>
    </row>
    <row r="1568" spans="7:7">
      <c r="G1568" s="25"/>
    </row>
    <row r="1569" spans="7:7">
      <c r="G1569" s="25"/>
    </row>
    <row r="1570" spans="7:7">
      <c r="G1570" s="25"/>
    </row>
    <row r="1571" spans="7:7">
      <c r="G1571" s="25"/>
    </row>
    <row r="1572" spans="7:7">
      <c r="G1572" s="25"/>
    </row>
    <row r="1573" spans="7:7">
      <c r="G1573" s="25"/>
    </row>
    <row r="1574" spans="7:7">
      <c r="G1574" s="25"/>
    </row>
    <row r="1575" spans="7:7">
      <c r="G1575" s="25"/>
    </row>
    <row r="1576" spans="7:7">
      <c r="G1576" s="25"/>
    </row>
    <row r="1577" spans="7:7">
      <c r="G1577" s="25"/>
    </row>
    <row r="1578" spans="7:7">
      <c r="G1578" s="25"/>
    </row>
    <row r="1579" spans="7:7">
      <c r="G1579" s="25"/>
    </row>
    <row r="1580" spans="7:7">
      <c r="G1580" s="25"/>
    </row>
    <row r="1581" spans="7:7">
      <c r="G1581" s="25"/>
    </row>
    <row r="1582" spans="7:7">
      <c r="G1582" s="25"/>
    </row>
    <row r="1583" spans="7:7">
      <c r="G1583" s="25"/>
    </row>
    <row r="1584" spans="7:7">
      <c r="G1584" s="25"/>
    </row>
    <row r="1585" spans="7:7">
      <c r="G1585" s="25"/>
    </row>
    <row r="1586" spans="7:7">
      <c r="G1586" s="25"/>
    </row>
    <row r="1587" spans="7:7">
      <c r="G1587" s="25"/>
    </row>
    <row r="1588" spans="7:7">
      <c r="G1588" s="25"/>
    </row>
    <row r="1589" spans="7:7">
      <c r="G1589" s="25"/>
    </row>
    <row r="1590" spans="7:7">
      <c r="G1590" s="25"/>
    </row>
    <row r="1591" spans="7:7">
      <c r="G1591" s="25"/>
    </row>
    <row r="1592" spans="7:7">
      <c r="G1592" s="25"/>
    </row>
    <row r="1593" spans="7:7">
      <c r="G1593" s="25"/>
    </row>
    <row r="1594" spans="7:7">
      <c r="G1594" s="25"/>
    </row>
    <row r="1595" spans="7:7">
      <c r="G1595" s="25"/>
    </row>
    <row r="1596" spans="7:7">
      <c r="G1596" s="25"/>
    </row>
    <row r="1597" spans="7:7">
      <c r="G1597" s="25"/>
    </row>
    <row r="1598" spans="7:7">
      <c r="G1598" s="25"/>
    </row>
    <row r="1599" spans="7:7">
      <c r="G1599" s="25"/>
    </row>
    <row r="1600" spans="7:7">
      <c r="G1600" s="25"/>
    </row>
    <row r="1601" spans="7:7">
      <c r="G1601" s="25"/>
    </row>
    <row r="1602" spans="7:7">
      <c r="G1602" s="25"/>
    </row>
    <row r="1603" spans="7:7">
      <c r="G1603" s="25"/>
    </row>
    <row r="1604" spans="7:7">
      <c r="G1604" s="25"/>
    </row>
    <row r="1605" spans="7:7">
      <c r="G1605" s="25"/>
    </row>
    <row r="1606" spans="7:7">
      <c r="G1606" s="25"/>
    </row>
    <row r="1607" spans="7:7">
      <c r="G1607" s="25"/>
    </row>
    <row r="1608" spans="7:7">
      <c r="G1608" s="25"/>
    </row>
    <row r="1609" spans="7:7">
      <c r="G1609" s="25"/>
    </row>
    <row r="1610" spans="7:7">
      <c r="G1610" s="25"/>
    </row>
    <row r="1611" spans="7:7">
      <c r="G1611" s="25"/>
    </row>
    <row r="1612" spans="7:7">
      <c r="G1612" s="25"/>
    </row>
    <row r="1613" spans="7:7">
      <c r="G1613" s="25"/>
    </row>
    <row r="1614" spans="7:7">
      <c r="G1614" s="25"/>
    </row>
    <row r="1615" spans="7:7">
      <c r="G1615" s="25"/>
    </row>
    <row r="1616" spans="7:7">
      <c r="G1616" s="25"/>
    </row>
    <row r="1617" spans="7:7">
      <c r="G1617" s="25"/>
    </row>
    <row r="1618" spans="7:7">
      <c r="G1618" s="25"/>
    </row>
    <row r="1619" spans="7:7">
      <c r="G1619" s="25"/>
    </row>
    <row r="1620" spans="7:7">
      <c r="G1620" s="25"/>
    </row>
    <row r="1621" spans="7:7">
      <c r="G1621" s="25"/>
    </row>
    <row r="1622" spans="7:7">
      <c r="G1622" s="25"/>
    </row>
    <row r="1623" spans="7:7">
      <c r="G1623" s="25"/>
    </row>
    <row r="1624" spans="7:7">
      <c r="G1624" s="25"/>
    </row>
    <row r="1625" spans="7:7">
      <c r="G1625" s="25"/>
    </row>
    <row r="1626" spans="7:7">
      <c r="G1626" s="25"/>
    </row>
    <row r="1627" spans="7:7">
      <c r="G1627" s="25"/>
    </row>
    <row r="1628" spans="7:7">
      <c r="G1628" s="25"/>
    </row>
  </sheetData>
  <sortState xmlns:xlrd2="http://schemas.microsoft.com/office/spreadsheetml/2017/richdata2" ref="I216:I264">
    <sortCondition ref="I216"/>
  </sortState>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963948-7FD9-4D33-AAA7-BDE5D55568DA}">
  <dimension ref="A1"/>
  <sheetViews>
    <sheetView workbookViewId="0">
      <selection sqref="A1:XFD1048576"/>
    </sheetView>
  </sheetViews>
  <sheetFormatPr defaultColWidth="9.140625" defaultRowHeight="14.25"/>
  <cols>
    <col min="1" max="1" width="3" style="1" customWidth="1"/>
    <col min="2" max="16384" width="9.140625" style="1"/>
  </cols>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D36E60-677E-467E-9C59-7853ADE8E695}">
  <dimension ref="A1"/>
  <sheetViews>
    <sheetView workbookViewId="0">
      <selection activeCell="N18" sqref="N18"/>
    </sheetView>
  </sheetViews>
  <sheetFormatPr defaultColWidth="9.140625" defaultRowHeight="14.25"/>
  <cols>
    <col min="1" max="1" width="3" style="1" customWidth="1"/>
    <col min="2" max="16384" width="9.140625" style="1"/>
  </cols>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0CC31F-8910-447E-89B3-28B6120F3B0A}">
  <dimension ref="B2:Z8"/>
  <sheetViews>
    <sheetView workbookViewId="0">
      <selection activeCell="B10" sqref="B10"/>
    </sheetView>
  </sheetViews>
  <sheetFormatPr defaultColWidth="9.140625" defaultRowHeight="14.25"/>
  <cols>
    <col min="1" max="1" width="3.140625" style="1" customWidth="1"/>
    <col min="2" max="16384" width="9.140625" style="1"/>
  </cols>
  <sheetData>
    <row r="2" spans="2:26" ht="15">
      <c r="B2" s="3" t="s">
        <v>10</v>
      </c>
      <c r="C2" s="4"/>
      <c r="D2" s="4"/>
      <c r="E2" s="4"/>
      <c r="F2" s="4"/>
      <c r="G2" s="3" t="s">
        <v>10</v>
      </c>
      <c r="H2" s="5"/>
      <c r="I2" s="5"/>
      <c r="J2" s="5"/>
      <c r="K2" s="5"/>
      <c r="L2" s="5"/>
      <c r="M2" s="5"/>
      <c r="N2" s="5"/>
      <c r="O2" s="5"/>
      <c r="P2" s="5"/>
      <c r="Q2" s="5"/>
      <c r="R2" s="5"/>
      <c r="S2" s="5"/>
      <c r="T2" s="5"/>
      <c r="U2" s="5"/>
      <c r="V2" s="5"/>
      <c r="W2" s="5"/>
      <c r="X2" s="5"/>
      <c r="Y2" s="5"/>
      <c r="Z2" s="6"/>
    </row>
    <row r="3" spans="2:26" ht="15">
      <c r="B3" s="7" t="s">
        <v>11</v>
      </c>
      <c r="C3" s="8"/>
      <c r="D3" s="8"/>
      <c r="E3" s="8"/>
      <c r="F3" s="9"/>
      <c r="G3" s="10" t="s">
        <v>12</v>
      </c>
      <c r="H3" s="10"/>
      <c r="I3" s="10"/>
      <c r="J3" s="10"/>
      <c r="K3" s="10"/>
      <c r="L3" s="10"/>
      <c r="M3" s="10"/>
      <c r="N3" s="10"/>
      <c r="O3" s="10"/>
      <c r="P3" s="10"/>
      <c r="Q3" s="10"/>
      <c r="R3" s="10"/>
      <c r="S3" s="10"/>
      <c r="T3" s="10"/>
      <c r="U3" s="10"/>
      <c r="V3" s="10"/>
      <c r="W3" s="10"/>
      <c r="X3" s="10"/>
      <c r="Y3" s="10"/>
      <c r="Z3" s="11"/>
    </row>
    <row r="4" spans="2:26" ht="15">
      <c r="B4" s="12" t="s">
        <v>11</v>
      </c>
      <c r="C4" s="13"/>
      <c r="D4" s="13"/>
      <c r="E4" s="13"/>
      <c r="F4" s="14"/>
      <c r="G4" s="15" t="s">
        <v>13</v>
      </c>
      <c r="H4" s="15"/>
      <c r="I4" s="15"/>
      <c r="J4" s="15"/>
      <c r="K4" s="15"/>
      <c r="L4" s="15"/>
      <c r="M4" s="15"/>
      <c r="N4" s="15"/>
      <c r="O4" s="15"/>
      <c r="P4" s="15"/>
      <c r="Q4" s="15"/>
      <c r="R4" s="15"/>
      <c r="S4" s="15"/>
      <c r="T4" s="15"/>
      <c r="U4" s="15"/>
      <c r="V4" s="15"/>
      <c r="W4" s="15"/>
      <c r="X4" s="15"/>
      <c r="Y4" s="15"/>
      <c r="Z4" s="16"/>
    </row>
    <row r="5" spans="2:26" ht="15">
      <c r="B5" s="12" t="s">
        <v>11</v>
      </c>
      <c r="C5" s="13"/>
      <c r="D5" s="13"/>
      <c r="E5" s="13"/>
      <c r="F5" s="14"/>
      <c r="G5" s="17" t="s">
        <v>12</v>
      </c>
      <c r="H5" s="17"/>
      <c r="I5" s="17"/>
      <c r="J5" s="17"/>
      <c r="K5" s="17"/>
      <c r="L5" s="17"/>
      <c r="M5" s="17"/>
      <c r="N5" s="17"/>
      <c r="O5" s="17"/>
      <c r="P5" s="17"/>
      <c r="Q5" s="17"/>
      <c r="R5" s="17"/>
      <c r="S5" s="17"/>
      <c r="T5" s="17"/>
      <c r="U5" s="17"/>
      <c r="V5" s="17"/>
      <c r="W5" s="17"/>
      <c r="X5" s="17"/>
      <c r="Y5" s="17"/>
      <c r="Z5" s="18"/>
    </row>
    <row r="6" spans="2:26" ht="15">
      <c r="B6" s="12" t="s">
        <v>11</v>
      </c>
      <c r="C6" s="13"/>
      <c r="D6" s="13"/>
      <c r="E6" s="13"/>
      <c r="F6" s="14"/>
      <c r="G6" s="15" t="s">
        <v>13</v>
      </c>
      <c r="H6" s="15"/>
      <c r="I6" s="15"/>
      <c r="J6" s="15"/>
      <c r="K6" s="15"/>
      <c r="L6" s="15"/>
      <c r="M6" s="15"/>
      <c r="N6" s="15"/>
      <c r="O6" s="15"/>
      <c r="P6" s="15"/>
      <c r="Q6" s="15"/>
      <c r="R6" s="15"/>
      <c r="S6" s="15"/>
      <c r="T6" s="15"/>
      <c r="U6" s="15"/>
      <c r="V6" s="15"/>
      <c r="W6" s="15"/>
      <c r="X6" s="15"/>
      <c r="Y6" s="15"/>
      <c r="Z6" s="16"/>
    </row>
    <row r="7" spans="2:26" ht="15">
      <c r="B7" s="12" t="s">
        <v>11</v>
      </c>
      <c r="C7" s="13"/>
      <c r="D7" s="13"/>
      <c r="E7" s="13"/>
      <c r="F7" s="14"/>
      <c r="G7" s="17" t="s">
        <v>12</v>
      </c>
      <c r="H7" s="17"/>
      <c r="I7" s="17"/>
      <c r="J7" s="17"/>
      <c r="K7" s="17"/>
      <c r="L7" s="17"/>
      <c r="M7" s="17"/>
      <c r="N7" s="17"/>
      <c r="O7" s="17"/>
      <c r="P7" s="17"/>
      <c r="Q7" s="17"/>
      <c r="R7" s="17"/>
      <c r="S7" s="17"/>
      <c r="T7" s="17"/>
      <c r="U7" s="17"/>
      <c r="V7" s="17"/>
      <c r="W7" s="17"/>
      <c r="X7" s="17"/>
      <c r="Y7" s="17"/>
      <c r="Z7" s="18"/>
    </row>
    <row r="8" spans="2:26" ht="15">
      <c r="B8" s="19" t="s">
        <v>11</v>
      </c>
      <c r="C8" s="20"/>
      <c r="D8" s="20"/>
      <c r="E8" s="20"/>
      <c r="F8" s="21"/>
      <c r="G8" s="22" t="s">
        <v>13</v>
      </c>
      <c r="H8" s="22"/>
      <c r="I8" s="22"/>
      <c r="J8" s="22"/>
      <c r="K8" s="22"/>
      <c r="L8" s="22"/>
      <c r="M8" s="22"/>
      <c r="N8" s="22"/>
      <c r="O8" s="22"/>
      <c r="P8" s="22"/>
      <c r="Q8" s="22"/>
      <c r="R8" s="22"/>
      <c r="S8" s="22"/>
      <c r="T8" s="22"/>
      <c r="U8" s="22"/>
      <c r="V8" s="22"/>
      <c r="W8" s="22"/>
      <c r="X8" s="22"/>
      <c r="Y8" s="22"/>
      <c r="Z8" s="23"/>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Main</vt:lpstr>
      <vt:lpstr>Model</vt:lpstr>
      <vt:lpstr>Notes | Quant Analysis</vt:lpstr>
      <vt:lpstr>Product Lines</vt:lpstr>
      <vt:lpstr>Management</vt:lpstr>
      <vt:lpstr>Table Formatting</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Jacob H</cp:lastModifiedBy>
  <dcterms:created xsi:type="dcterms:W3CDTF">2015-06-05T18:17:20Z</dcterms:created>
  <dcterms:modified xsi:type="dcterms:W3CDTF">2026-01-10T10:00:48Z</dcterms:modified>
</cp:coreProperties>
</file>