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euphrasia\"/>
    </mc:Choice>
  </mc:AlternateContent>
  <xr:revisionPtr revIDLastSave="0" documentId="13_ncr:1_{47787F15-3E6B-4E16-8F22-65B581F073F2}" xr6:coauthVersionLast="47" xr6:coauthVersionMax="47" xr10:uidLastSave="{00000000-0000-0000-0000-000000000000}"/>
  <bookViews>
    <workbookView xWindow="-108" yWindow="-108" windowWidth="23256" windowHeight="12576" activeTab="5" xr2:uid="{3F7773C3-DBDF-4D16-BEB7-6F6C92088B4D}"/>
  </bookViews>
  <sheets>
    <sheet name="E022" sheetId="1" r:id="rId1"/>
    <sheet name="Sheet2" sheetId="2" r:id="rId2"/>
    <sheet name="E034" sheetId="5" r:id="rId3"/>
    <sheet name="E035" sheetId="6" r:id="rId4"/>
    <sheet name="E023" sheetId="3" r:id="rId5"/>
    <sheet name="E03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C46" i="3" s="1"/>
  <c r="D46" i="3" s="1"/>
  <c r="E34" i="3"/>
  <c r="F34" i="3" s="1"/>
  <c r="C14" i="3"/>
  <c r="B31" i="3" s="1"/>
  <c r="C13" i="3"/>
  <c r="D13" i="3" s="1"/>
  <c r="C9" i="3"/>
  <c r="C8" i="3"/>
  <c r="D8" i="3" s="1"/>
  <c r="C5" i="3"/>
  <c r="D15" i="1"/>
  <c r="E15" i="1" s="1"/>
  <c r="D18" i="1"/>
  <c r="E18" i="1" s="1"/>
  <c r="C32" i="3"/>
  <c r="B32" i="3"/>
  <c r="F35" i="3"/>
  <c r="E37" i="3"/>
  <c r="G35" i="3" s="1"/>
  <c r="E35" i="3"/>
  <c r="E36" i="3"/>
  <c r="C45" i="3"/>
  <c r="B37" i="3"/>
  <c r="G34" i="3"/>
  <c r="G24" i="4"/>
  <c r="H24" i="4" s="1"/>
  <c r="D24" i="4"/>
  <c r="G23" i="4"/>
  <c r="D23" i="4"/>
  <c r="G18" i="4"/>
  <c r="D18" i="4"/>
  <c r="G17" i="4"/>
  <c r="H17" i="4" s="1"/>
  <c r="D17" i="4"/>
  <c r="G12" i="4"/>
  <c r="D12" i="4"/>
  <c r="G11" i="4"/>
  <c r="E11" i="4"/>
  <c r="D11" i="4"/>
  <c r="E7" i="4"/>
  <c r="D7" i="4"/>
  <c r="G6" i="4"/>
  <c r="H6" i="4" s="1"/>
  <c r="E6" i="4"/>
  <c r="D6" i="4"/>
  <c r="G4" i="4"/>
  <c r="G3" i="4"/>
  <c r="D3" i="4"/>
  <c r="G18" i="2"/>
  <c r="F18" i="2"/>
  <c r="E18" i="2"/>
  <c r="C18" i="2"/>
  <c r="G25" i="3"/>
  <c r="G19" i="3"/>
  <c r="H19" i="3" s="1"/>
  <c r="G13" i="3"/>
  <c r="G8" i="3"/>
  <c r="H8" i="3" s="1"/>
  <c r="G5" i="3"/>
  <c r="O18" i="2"/>
  <c r="O19" i="2"/>
  <c r="O20" i="2"/>
  <c r="O21" i="2"/>
  <c r="O17" i="2"/>
  <c r="N18" i="2"/>
  <c r="N19" i="2"/>
  <c r="N20" i="2"/>
  <c r="N21" i="2"/>
  <c r="N17" i="2"/>
  <c r="M18" i="2"/>
  <c r="M19" i="2"/>
  <c r="M20" i="2"/>
  <c r="M21" i="2"/>
  <c r="M17" i="2"/>
  <c r="L18" i="2"/>
  <c r="L19" i="2"/>
  <c r="L20" i="2"/>
  <c r="L21" i="2"/>
  <c r="L17" i="2"/>
  <c r="K18" i="2"/>
  <c r="K19" i="2"/>
  <c r="K20" i="2"/>
  <c r="K21" i="2"/>
  <c r="K17" i="2"/>
  <c r="G26" i="3"/>
  <c r="D26" i="3"/>
  <c r="D25" i="3"/>
  <c r="G20" i="3"/>
  <c r="D20" i="3"/>
  <c r="D19" i="3"/>
  <c r="G14" i="3"/>
  <c r="E13" i="3"/>
  <c r="E9" i="3"/>
  <c r="E8" i="3"/>
  <c r="G6" i="3"/>
  <c r="D9" i="3"/>
  <c r="I36" i="1"/>
  <c r="I35" i="1"/>
  <c r="G17" i="2" s="1"/>
  <c r="H36" i="1"/>
  <c r="H35" i="1"/>
  <c r="F17" i="2"/>
  <c r="I29" i="1"/>
  <c r="I30" i="1"/>
  <c r="H30" i="1"/>
  <c r="H29" i="1"/>
  <c r="E17" i="2"/>
  <c r="D17" i="2"/>
  <c r="N10" i="2"/>
  <c r="K10" i="2"/>
  <c r="O9" i="2"/>
  <c r="N8" i="2"/>
  <c r="L7" i="2"/>
  <c r="M7" i="2"/>
  <c r="K6" i="2"/>
  <c r="K4" i="2"/>
  <c r="K5" i="2"/>
  <c r="L5" i="2"/>
  <c r="M5" i="2"/>
  <c r="N5" i="2"/>
  <c r="O5" i="2"/>
  <c r="I6" i="2"/>
  <c r="J6" i="2"/>
  <c r="J7" i="2"/>
  <c r="J8" i="2"/>
  <c r="J9" i="2"/>
  <c r="J10" i="2"/>
  <c r="G7" i="2"/>
  <c r="O7" i="2" s="1"/>
  <c r="G8" i="2"/>
  <c r="O8" i="2" s="1"/>
  <c r="G9" i="2"/>
  <c r="G10" i="2"/>
  <c r="O10" i="2" s="1"/>
  <c r="G6" i="2"/>
  <c r="O6" i="2" s="1"/>
  <c r="F7" i="2"/>
  <c r="N7" i="2" s="1"/>
  <c r="F8" i="2"/>
  <c r="F9" i="2"/>
  <c r="N9" i="2" s="1"/>
  <c r="F10" i="2"/>
  <c r="F6" i="2"/>
  <c r="N6" i="2" s="1"/>
  <c r="E7" i="2"/>
  <c r="E8" i="2"/>
  <c r="M8" i="2" s="1"/>
  <c r="E9" i="2"/>
  <c r="M9" i="2" s="1"/>
  <c r="E10" i="2"/>
  <c r="M10" i="2" s="1"/>
  <c r="E6" i="2"/>
  <c r="M6" i="2" s="1"/>
  <c r="D8" i="2"/>
  <c r="L8" i="2" s="1"/>
  <c r="D9" i="2"/>
  <c r="L9" i="2" s="1"/>
  <c r="D10" i="2"/>
  <c r="L10" i="2" s="1"/>
  <c r="D6" i="2"/>
  <c r="L6" i="2" s="1"/>
  <c r="C10" i="2"/>
  <c r="C9" i="2"/>
  <c r="K9" i="2" s="1"/>
  <c r="C8" i="2"/>
  <c r="K8" i="2" s="1"/>
  <c r="C7" i="2"/>
  <c r="K7" i="2" s="1"/>
  <c r="D4" i="1"/>
  <c r="D3" i="1"/>
  <c r="F23" i="1"/>
  <c r="C38" i="1"/>
  <c r="C32" i="1"/>
  <c r="C21" i="1"/>
  <c r="C26" i="1"/>
  <c r="E35" i="1"/>
  <c r="E36" i="1"/>
  <c r="E23" i="1"/>
  <c r="E24" i="1"/>
  <c r="E29" i="1"/>
  <c r="E30" i="1"/>
  <c r="C11" i="1"/>
  <c r="E11" i="1" s="1"/>
  <c r="C10" i="1"/>
  <c r="E10" i="1" s="1"/>
  <c r="C9" i="1"/>
  <c r="E9" i="1" s="1"/>
  <c r="C8" i="1"/>
  <c r="E8" i="1" s="1"/>
  <c r="C7" i="1"/>
  <c r="E7" i="1" s="1"/>
  <c r="F18" i="1"/>
  <c r="H24" i="1"/>
  <c r="C16" i="1"/>
  <c r="H16" i="1" s="1"/>
  <c r="C19" i="1"/>
  <c r="F19" i="1" s="1"/>
  <c r="C4" i="1"/>
  <c r="H18" i="1" s="1"/>
  <c r="H18" i="4" l="1"/>
  <c r="B33" i="3"/>
  <c r="C33" i="3" s="1"/>
  <c r="C31" i="3"/>
  <c r="D14" i="3"/>
  <c r="E40" i="3"/>
  <c r="F40" i="3" s="1"/>
  <c r="F38" i="3"/>
  <c r="H11" i="4"/>
  <c r="H23" i="4"/>
  <c r="G7" i="4"/>
  <c r="H7" i="4" s="1"/>
  <c r="H12" i="4"/>
  <c r="H20" i="3"/>
  <c r="G9" i="3"/>
  <c r="H9" i="3" s="1"/>
  <c r="H13" i="3"/>
  <c r="H25" i="3"/>
  <c r="H14" i="3"/>
  <c r="H26" i="3"/>
  <c r="D5" i="3"/>
  <c r="H23" i="1"/>
  <c r="H15" i="1"/>
  <c r="I18" i="1" s="1"/>
  <c r="D19" i="1"/>
  <c r="E19" i="1" s="1"/>
  <c r="L28" i="2" l="1"/>
  <c r="K29" i="2"/>
  <c r="I23" i="1"/>
  <c r="I24" i="1"/>
  <c r="H19" i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Sampson</author>
  </authors>
  <commentList>
    <comment ref="B13" authorId="0" shapeId="0" xr:uid="{839B7190-F22D-4481-B821-E0D13FFF9F5C}">
      <text>
        <r>
          <rPr>
            <b/>
            <sz val="9"/>
            <color indexed="81"/>
            <rFont val="Tahoma"/>
            <charset val="1"/>
          </rPr>
          <t>Jacob Sampson:</t>
        </r>
        <r>
          <rPr>
            <sz val="9"/>
            <color indexed="81"/>
            <rFont val="Tahoma"/>
            <charset val="1"/>
          </rPr>
          <t xml:space="preserve">
E023 and E033 share 251534220 kmers. Of these, there are 95039615 kmers where the coverage difference between E023(n) and E033(n) is higher than 10%. These kmers make up ~~~~Mb of E023's genome and ~~~~~Mb of E033's genome. The calculated difference between E023 and E033 based on shared kmers is </t>
        </r>
      </text>
    </comment>
  </commentList>
</comments>
</file>

<file path=xl/sharedStrings.xml><?xml version="1.0" encoding="utf-8"?>
<sst xmlns="http://schemas.openxmlformats.org/spreadsheetml/2006/main" count="159" uniqueCount="66">
  <si>
    <t xml:space="preserve">E022 </t>
  </si>
  <si>
    <t>joined kmer file</t>
  </si>
  <si>
    <t>joined private kmer file</t>
  </si>
  <si>
    <t>From private kmer file</t>
  </si>
  <si>
    <t>where cov != 0</t>
  </si>
  <si>
    <t>shared kmers</t>
  </si>
  <si>
    <t>where cov !=0 and E023_cov !=0</t>
  </si>
  <si>
    <t>where cov !=0 and E023 cov == 0</t>
  </si>
  <si>
    <t>where cov ! = 0 and E033_cov != 0</t>
  </si>
  <si>
    <t>where cov !=0 and E033 cov == 0</t>
  </si>
  <si>
    <t>where cov ==0 and E023_cov !=0</t>
  </si>
  <si>
    <t>where cov ==0 and E023_cov==0</t>
  </si>
  <si>
    <t>where cov ==0 and E033 cov != 0</t>
  </si>
  <si>
    <t>where cov == 0 and E033 cov == 0</t>
  </si>
  <si>
    <t>where cov ==0</t>
  </si>
  <si>
    <t>--</t>
  </si>
  <si>
    <t>Percentage of total (E022)</t>
  </si>
  <si>
    <t>where cov !=0 and E034_cov !=0</t>
  </si>
  <si>
    <t>where cov !=0 and E034 cov == 0</t>
  </si>
  <si>
    <t>where cov ==0 and E034_cov !=0</t>
  </si>
  <si>
    <t>where cov ==0 and E034_cov==0</t>
  </si>
  <si>
    <t>where cov !=0 and E035_cov !=0</t>
  </si>
  <si>
    <t>where cov !=0 and E035 cov == 0</t>
  </si>
  <si>
    <t>where cov ==0 and E035_cov !=0</t>
  </si>
  <si>
    <t>where cov ==0 and E035_cov==0</t>
  </si>
  <si>
    <t xml:space="preserve">Percentage of private kmers REF has that that are shared by COMP </t>
  </si>
  <si>
    <t>TOTAL kmers in common</t>
  </si>
  <si>
    <t>Shared kmer stats</t>
  </si>
  <si>
    <t xml:space="preserve"> </t>
  </si>
  <si>
    <t>E022</t>
  </si>
  <si>
    <t>E023</t>
  </si>
  <si>
    <t>E033</t>
  </si>
  <si>
    <t>E034</t>
  </si>
  <si>
    <t>E035</t>
  </si>
  <si>
    <t xml:space="preserve">Percentage of genome size </t>
  </si>
  <si>
    <t>Percentage</t>
  </si>
  <si>
    <t>Genome size made up of shared kmers (Mb)</t>
  </si>
  <si>
    <t>Estimated genome size (Mb)</t>
  </si>
  <si>
    <t>(Sum of kmer counts/sequencing depth)</t>
  </si>
  <si>
    <t>(Sum of kmer counts/sequencing depth)/1e06 (Mb)</t>
  </si>
  <si>
    <t>A</t>
  </si>
  <si>
    <t>B</t>
  </si>
  <si>
    <t>[(Genome size A - Genome Size B) / Genome size A] (%)</t>
  </si>
  <si>
    <t>[Number of shared kmers (A &amp; B) / Total number of kmers A] (%)</t>
  </si>
  <si>
    <t>Difference in genome size (Mb) from shared kmers between all 5 populations → [A - B]</t>
  </si>
  <si>
    <t>Genome size A- Genome Size B (Mb)</t>
  </si>
  <si>
    <t>where cov !=0 and E022_cov !=0</t>
  </si>
  <si>
    <t>where cov !=0 and E022 cov == 0</t>
  </si>
  <si>
    <t>where cov ==0 and E022_cov !=0</t>
  </si>
  <si>
    <t>where cov ==0 and E022_cov==0</t>
  </si>
  <si>
    <t>Difference in genome size (Mb) from unique kmers between A &amp; B</t>
  </si>
  <si>
    <t>where cov ! = 0 and E023_cov != 0</t>
  </si>
  <si>
    <t>where cov ==0 and E023 cov != 0</t>
  </si>
  <si>
    <t>where cov == 0 and E023 cov == 0</t>
  </si>
  <si>
    <t>kmers shared between E023 and E033</t>
  </si>
  <si>
    <t>kmers where difference between the two kmers is greater than 10%</t>
  </si>
  <si>
    <t>percentage where difference is greater than 10%</t>
  </si>
  <si>
    <t>E023 cov where difference is greater than 10%</t>
  </si>
  <si>
    <t>E033 cov where difference is greater than 10%</t>
  </si>
  <si>
    <t>Difference (in Mb)</t>
  </si>
  <si>
    <t>E023 cov - E033 cov for shared kmers</t>
  </si>
  <si>
    <t>private kmers E023 (compared to E033) genome size</t>
  </si>
  <si>
    <t>private kmers E033 (compared to E023) genome size</t>
  </si>
  <si>
    <t>Difference</t>
  </si>
  <si>
    <t>Mb</t>
  </si>
  <si>
    <t>Number of unique kmers (compared to all populations)/ Total number of kmers (A)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</si>
</sst>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 applyAlignment="1">
      <alignment horizontal="right"/>
    </xf>
    <xf numFmtId="9" fontId="0" fillId="0" borderId="0" xfId="1" applyFont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2" borderId="4" xfId="0" applyFill="1" applyBorder="1"/>
    <xf numFmtId="0" fontId="0" fillId="4" borderId="0" xfId="0" applyFill="1" applyBorder="1"/>
    <xf numFmtId="0" fontId="0" fillId="0" borderId="0" xfId="0" applyBorder="1"/>
    <xf numFmtId="0" fontId="0" fillId="4" borderId="5" xfId="0" applyFill="1" applyBorder="1"/>
    <xf numFmtId="0" fontId="0" fillId="4" borderId="8" xfId="0" applyFill="1" applyBorder="1"/>
    <xf numFmtId="0" fontId="0" fillId="4" borderId="6" xfId="0" applyFill="1" applyBorder="1"/>
    <xf numFmtId="2" fontId="0" fillId="0" borderId="1" xfId="0" applyNumberFormat="1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1" xfId="1" applyNumberFormat="1" applyFont="1" applyBorder="1"/>
    <xf numFmtId="11" fontId="0" fillId="2" borderId="4" xfId="0" applyNumberForma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'E022'!$B$7:$B$11</c:f>
              <c:strCache>
                <c:ptCount val="5"/>
                <c:pt idx="0">
                  <c:v>E022</c:v>
                </c:pt>
                <c:pt idx="1">
                  <c:v>E023</c:v>
                </c:pt>
                <c:pt idx="2">
                  <c:v>E033</c:v>
                </c:pt>
                <c:pt idx="3">
                  <c:v>E034</c:v>
                </c:pt>
                <c:pt idx="4">
                  <c:v>E035</c:v>
                </c:pt>
              </c:strCache>
            </c:strRef>
          </c:cat>
          <c:val>
            <c:numRef>
              <c:f>'E022'!$C$7:$C$11</c:f>
              <c:numCache>
                <c:formatCode>0.00</c:formatCode>
                <c:ptCount val="5"/>
                <c:pt idx="0" formatCode="General">
                  <c:v>1606.97</c:v>
                </c:pt>
                <c:pt idx="1">
                  <c:v>1636.84</c:v>
                </c:pt>
                <c:pt idx="2">
                  <c:v>1459.28</c:v>
                </c:pt>
                <c:pt idx="3">
                  <c:v>1631.87</c:v>
                </c:pt>
                <c:pt idx="4">
                  <c:v>1602.52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C-4D8D-A110-85458AE1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97144"/>
        <c:axId val="625898424"/>
      </c:barChart>
      <c:catAx>
        <c:axId val="6258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8424"/>
        <c:crosses val="autoZero"/>
        <c:auto val="1"/>
        <c:lblAlgn val="ctr"/>
        <c:lblOffset val="100"/>
        <c:noMultiLvlLbl val="0"/>
      </c:catAx>
      <c:valAx>
        <c:axId val="625898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'E022'!$B$7:$B$11</c:f>
              <c:strCache>
                <c:ptCount val="5"/>
                <c:pt idx="0">
                  <c:v>E022</c:v>
                </c:pt>
                <c:pt idx="1">
                  <c:v>E023</c:v>
                </c:pt>
                <c:pt idx="2">
                  <c:v>E033</c:v>
                </c:pt>
                <c:pt idx="3">
                  <c:v>E034</c:v>
                </c:pt>
                <c:pt idx="4">
                  <c:v>E035</c:v>
                </c:pt>
              </c:strCache>
            </c:strRef>
          </c:cat>
          <c:val>
            <c:numRef>
              <c:f>'E022'!$D$7:$D$11</c:f>
              <c:numCache>
                <c:formatCode>General</c:formatCode>
                <c:ptCount val="5"/>
                <c:pt idx="0">
                  <c:v>2061.4490000000001</c:v>
                </c:pt>
                <c:pt idx="1">
                  <c:v>2136.2829999999999</c:v>
                </c:pt>
                <c:pt idx="2">
                  <c:v>1867.0429999999999</c:v>
                </c:pt>
                <c:pt idx="3">
                  <c:v>2041.1110000000001</c:v>
                </c:pt>
                <c:pt idx="4">
                  <c:v>2026.173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8-4643-937B-1773E7AB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17288"/>
        <c:axId val="707617608"/>
      </c:barChart>
      <c:catAx>
        <c:axId val="70761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7608"/>
        <c:crosses val="autoZero"/>
        <c:auto val="1"/>
        <c:lblAlgn val="ctr"/>
        <c:lblOffset val="100"/>
        <c:noMultiLvlLbl val="0"/>
      </c:catAx>
      <c:valAx>
        <c:axId val="707617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1857133</xdr:colOff>
      <xdr:row>37</xdr:row>
      <xdr:rowOff>149476</xdr:rowOff>
    </xdr:from>
    <xdr:to>
      <xdr:col>5</xdr:col>
      <xdr:colOff>1579298</xdr:colOff>
      <xdr:row>60</xdr:row>
      <xdr:rowOff>93239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62609-2D87-4B96-8964-77A99BBD4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1239941</xdr:colOff>
      <xdr:row>38</xdr:row>
      <xdr:rowOff>9606</xdr:rowOff>
    </xdr:from>
    <xdr:to>
      <xdr:col>3</xdr:col>
      <xdr:colOff>1672698</xdr:colOff>
      <xdr:row>59</xdr:row>
      <xdr:rowOff>106734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11A2-47B8-4843-867B-9F1233EE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2415-1080-47C2-B5C0-5C2A1F8453DF}">
  <dimension ref="B2:J40"/>
  <sheetViews>
    <sheetView zoomScale="62" zoomScaleNormal="62" workbookViewId="0">
      <selection activeCell="C13" sqref="C13"/>
    </sheetView>
  </sheetViews>
  <sheetFormatPr defaultRowHeight="14.4" x14ac:dyDescent="0.3"/>
  <cols>
    <col min="2" max="2" width="31.44140625" customWidth="1"/>
    <col min="3" max="3" width="47.109375" customWidth="1"/>
    <col min="4" max="5" width="44.77734375" customWidth="1"/>
    <col min="6" max="7" width="62.109375" customWidth="1"/>
    <col min="8" max="8" width="32.109375" customWidth="1"/>
    <col min="9" max="9" width="27" customWidth="1"/>
  </cols>
  <sheetData>
    <row r="2" spans="2:10" x14ac:dyDescent="0.3">
      <c r="B2" t="s">
        <v>1</v>
      </c>
      <c r="C2">
        <v>717281565</v>
      </c>
    </row>
    <row r="3" spans="2:10" x14ac:dyDescent="0.3">
      <c r="B3" t="s">
        <v>2</v>
      </c>
      <c r="C3">
        <v>519099475</v>
      </c>
      <c r="D3">
        <f>C3/C2</f>
        <v>0.72370391256326239</v>
      </c>
    </row>
    <row r="4" spans="2:10" x14ac:dyDescent="0.3">
      <c r="B4" t="s">
        <v>5</v>
      </c>
      <c r="C4">
        <f>C2-C3</f>
        <v>198182090</v>
      </c>
      <c r="D4">
        <f>C4/C2</f>
        <v>0.27629608743673761</v>
      </c>
    </row>
    <row r="5" spans="2:10" x14ac:dyDescent="0.3">
      <c r="C5" t="s">
        <v>27</v>
      </c>
    </row>
    <row r="6" spans="2:10" x14ac:dyDescent="0.3">
      <c r="C6" t="s">
        <v>36</v>
      </c>
      <c r="D6" t="s">
        <v>37</v>
      </c>
      <c r="E6" t="s">
        <v>35</v>
      </c>
    </row>
    <row r="7" spans="2:10" x14ac:dyDescent="0.3">
      <c r="B7" t="s">
        <v>29</v>
      </c>
      <c r="C7" s="2">
        <f>1606970000/1000000</f>
        <v>1606.97</v>
      </c>
      <c r="D7">
        <v>2061.4490000000001</v>
      </c>
      <c r="E7" s="4">
        <f>C7/D7</f>
        <v>0.77953420142821872</v>
      </c>
    </row>
    <row r="8" spans="2:10" x14ac:dyDescent="0.3">
      <c r="B8" t="s">
        <v>30</v>
      </c>
      <c r="C8" s="5">
        <f>1636840000/1000000</f>
        <v>1636.84</v>
      </c>
      <c r="D8">
        <v>2136.2829999999999</v>
      </c>
      <c r="E8" s="4">
        <f>C8/D8</f>
        <v>0.76620934585913947</v>
      </c>
    </row>
    <row r="9" spans="2:10" x14ac:dyDescent="0.3">
      <c r="B9" t="s">
        <v>31</v>
      </c>
      <c r="C9" s="5">
        <f>1459280000/1000000</f>
        <v>1459.28</v>
      </c>
      <c r="D9">
        <v>1867.0429999999999</v>
      </c>
      <c r="E9" s="4">
        <f>C9/D9</f>
        <v>0.78159956680162168</v>
      </c>
    </row>
    <row r="10" spans="2:10" x14ac:dyDescent="0.3">
      <c r="B10" t="s">
        <v>32</v>
      </c>
      <c r="C10" s="5">
        <f>1631870000/1000000</f>
        <v>1631.87</v>
      </c>
      <c r="D10">
        <v>2041.1110000000001</v>
      </c>
      <c r="E10" s="4">
        <f>C10/D10</f>
        <v>0.79950086007081433</v>
      </c>
    </row>
    <row r="11" spans="2:10" x14ac:dyDescent="0.3">
      <c r="B11" t="s">
        <v>33</v>
      </c>
      <c r="C11" s="5">
        <f>1602520000/1000000</f>
        <v>1602.52</v>
      </c>
      <c r="D11">
        <v>2026.173</v>
      </c>
      <c r="E11" s="4">
        <f>C11/D11</f>
        <v>0.79090975943317776</v>
      </c>
    </row>
    <row r="12" spans="2:10" x14ac:dyDescent="0.3">
      <c r="B12" t="s">
        <v>28</v>
      </c>
    </row>
    <row r="13" spans="2:10" x14ac:dyDescent="0.3">
      <c r="C13" t="s">
        <v>3</v>
      </c>
      <c r="D13" t="s">
        <v>38</v>
      </c>
      <c r="E13" t="s">
        <v>39</v>
      </c>
      <c r="F13" t="s">
        <v>25</v>
      </c>
      <c r="G13" t="s">
        <v>34</v>
      </c>
      <c r="H13" t="s">
        <v>26</v>
      </c>
      <c r="I13" t="s">
        <v>16</v>
      </c>
      <c r="J13" t="s">
        <v>28</v>
      </c>
    </row>
    <row r="14" spans="2:10" x14ac:dyDescent="0.3">
      <c r="B14" t="s">
        <v>0</v>
      </c>
    </row>
    <row r="15" spans="2:10" x14ac:dyDescent="0.3">
      <c r="B15" t="s">
        <v>4</v>
      </c>
      <c r="C15">
        <v>229052602</v>
      </c>
      <c r="D15" s="2">
        <f>457917000</f>
        <v>457917000</v>
      </c>
      <c r="E15" s="2">
        <f>D15/1000000</f>
        <v>457.91699999999997</v>
      </c>
      <c r="H15">
        <f>C15+C4</f>
        <v>427234692</v>
      </c>
    </row>
    <row r="16" spans="2:10" x14ac:dyDescent="0.3">
      <c r="B16" t="s">
        <v>14</v>
      </c>
      <c r="C16">
        <f>C3-C15</f>
        <v>290046873</v>
      </c>
      <c r="D16" s="3" t="s">
        <v>15</v>
      </c>
      <c r="E16" s="2"/>
      <c r="H16">
        <f>C16</f>
        <v>290046873</v>
      </c>
    </row>
    <row r="17" spans="2:9" x14ac:dyDescent="0.3">
      <c r="E17" s="2"/>
    </row>
    <row r="18" spans="2:9" x14ac:dyDescent="0.3">
      <c r="B18" t="s">
        <v>6</v>
      </c>
      <c r="C18">
        <v>133936737</v>
      </c>
      <c r="D18" s="2">
        <f>310374000</f>
        <v>310374000</v>
      </c>
      <c r="E18" s="2">
        <f t="shared" ref="E18:E36" si="0">D18/1000000</f>
        <v>310.37400000000002</v>
      </c>
      <c r="F18" s="4">
        <f>C18/C15</f>
        <v>0.58474226370063243</v>
      </c>
      <c r="G18" s="4"/>
      <c r="H18">
        <f>C18+C4</f>
        <v>332118827</v>
      </c>
      <c r="I18" s="4">
        <f>H18/H15</f>
        <v>0.777368582699272</v>
      </c>
    </row>
    <row r="19" spans="2:9" x14ac:dyDescent="0.3">
      <c r="B19" t="s">
        <v>7</v>
      </c>
      <c r="C19">
        <f>C15-C18</f>
        <v>95115865</v>
      </c>
      <c r="D19">
        <f>D15-D18</f>
        <v>147543000</v>
      </c>
      <c r="E19" s="2">
        <f t="shared" si="0"/>
        <v>147.54300000000001</v>
      </c>
      <c r="F19" s="4">
        <f>C19/C15</f>
        <v>0.41525773629936757</v>
      </c>
      <c r="G19" s="4"/>
      <c r="H19">
        <f>H15-H18</f>
        <v>95115865</v>
      </c>
      <c r="I19" s="4">
        <f>H19/H15</f>
        <v>0.222631417300728</v>
      </c>
    </row>
    <row r="20" spans="2:9" x14ac:dyDescent="0.3">
      <c r="B20" t="s">
        <v>10</v>
      </c>
      <c r="C20">
        <v>69859112</v>
      </c>
      <c r="E20" s="2"/>
      <c r="I20" s="4"/>
    </row>
    <row r="21" spans="2:9" x14ac:dyDescent="0.3">
      <c r="B21" t="s">
        <v>11</v>
      </c>
      <c r="C21">
        <f>C16-C20</f>
        <v>220187761</v>
      </c>
      <c r="E21" s="2"/>
      <c r="I21" s="4"/>
    </row>
    <row r="22" spans="2:9" x14ac:dyDescent="0.3">
      <c r="E22" s="2"/>
      <c r="I22" s="4"/>
    </row>
    <row r="23" spans="2:9" x14ac:dyDescent="0.3">
      <c r="B23" t="s">
        <v>8</v>
      </c>
      <c r="C23">
        <v>53283118</v>
      </c>
      <c r="D23" s="1">
        <v>118420000</v>
      </c>
      <c r="E23" s="2">
        <f t="shared" si="0"/>
        <v>118.42</v>
      </c>
      <c r="F23">
        <f>C23/C15</f>
        <v>0.23262393674969037</v>
      </c>
      <c r="H23">
        <f>C23+C4</f>
        <v>251465208</v>
      </c>
      <c r="I23" s="4">
        <f>H23/H15</f>
        <v>0.58858798854284056</v>
      </c>
    </row>
    <row r="24" spans="2:9" x14ac:dyDescent="0.3">
      <c r="B24" t="s">
        <v>9</v>
      </c>
      <c r="C24">
        <v>175769484</v>
      </c>
      <c r="D24" s="1">
        <v>339497000</v>
      </c>
      <c r="E24" s="2">
        <f t="shared" si="0"/>
        <v>339.49700000000001</v>
      </c>
      <c r="H24">
        <f>C24</f>
        <v>175769484</v>
      </c>
      <c r="I24" s="4">
        <f>H24/H15</f>
        <v>0.4114120114571595</v>
      </c>
    </row>
    <row r="25" spans="2:9" x14ac:dyDescent="0.3">
      <c r="B25" t="s">
        <v>12</v>
      </c>
      <c r="C25">
        <v>151839021</v>
      </c>
      <c r="D25" t="s">
        <v>28</v>
      </c>
      <c r="E25" s="2"/>
      <c r="I25" s="4"/>
    </row>
    <row r="26" spans="2:9" x14ac:dyDescent="0.3">
      <c r="B26" t="s">
        <v>13</v>
      </c>
      <c r="C26">
        <f>C16-C25</f>
        <v>138207852</v>
      </c>
      <c r="E26" s="2"/>
      <c r="I26" s="4"/>
    </row>
    <row r="27" spans="2:9" x14ac:dyDescent="0.3">
      <c r="E27" s="2"/>
      <c r="I27" s="4"/>
    </row>
    <row r="28" spans="2:9" x14ac:dyDescent="0.3">
      <c r="D28" t="s">
        <v>28</v>
      </c>
      <c r="E28" s="2"/>
      <c r="I28" s="4"/>
    </row>
    <row r="29" spans="2:9" x14ac:dyDescent="0.3">
      <c r="B29" t="s">
        <v>17</v>
      </c>
      <c r="C29">
        <v>59535049</v>
      </c>
      <c r="D29" s="1">
        <v>132655000</v>
      </c>
      <c r="E29" s="2">
        <f t="shared" si="0"/>
        <v>132.655</v>
      </c>
      <c r="H29">
        <f>C4+C29</f>
        <v>257717139</v>
      </c>
      <c r="I29" s="4">
        <f>H29/H15</f>
        <v>0.60322147013286087</v>
      </c>
    </row>
    <row r="30" spans="2:9" x14ac:dyDescent="0.3">
      <c r="B30" t="s">
        <v>18</v>
      </c>
      <c r="C30">
        <v>169517553</v>
      </c>
      <c r="D30" s="1">
        <v>325262000</v>
      </c>
      <c r="E30" s="2">
        <f t="shared" si="0"/>
        <v>325.262</v>
      </c>
      <c r="H30">
        <f>C30</f>
        <v>169517553</v>
      </c>
      <c r="I30" s="4">
        <f>H30/H15</f>
        <v>0.39677852986713918</v>
      </c>
    </row>
    <row r="31" spans="2:9" x14ac:dyDescent="0.3">
      <c r="B31" t="s">
        <v>19</v>
      </c>
      <c r="C31">
        <v>129609755</v>
      </c>
      <c r="E31" s="2"/>
    </row>
    <row r="32" spans="2:9" x14ac:dyDescent="0.3">
      <c r="B32" t="s">
        <v>20</v>
      </c>
      <c r="C32">
        <f>C16-C31</f>
        <v>160437118</v>
      </c>
      <c r="E32" s="2"/>
    </row>
    <row r="33" spans="2:9" x14ac:dyDescent="0.3">
      <c r="E33" s="2"/>
      <c r="I33" s="4"/>
    </row>
    <row r="34" spans="2:9" x14ac:dyDescent="0.3">
      <c r="E34" s="2"/>
      <c r="I34" s="4"/>
    </row>
    <row r="35" spans="2:9" x14ac:dyDescent="0.3">
      <c r="B35" t="s">
        <v>21</v>
      </c>
      <c r="C35">
        <v>132149244</v>
      </c>
      <c r="D35" s="1">
        <v>300081000</v>
      </c>
      <c r="E35" s="2">
        <f t="shared" si="0"/>
        <v>300.08100000000002</v>
      </c>
      <c r="H35">
        <f>C35+C4</f>
        <v>330331334</v>
      </c>
      <c r="I35" s="4">
        <f>H35/H15</f>
        <v>0.77318471600148053</v>
      </c>
    </row>
    <row r="36" spans="2:9" x14ac:dyDescent="0.3">
      <c r="B36" t="s">
        <v>22</v>
      </c>
      <c r="C36">
        <v>96903358</v>
      </c>
      <c r="D36" s="1">
        <v>157836000</v>
      </c>
      <c r="E36" s="2">
        <f t="shared" si="0"/>
        <v>157.83600000000001</v>
      </c>
      <c r="H36">
        <f>C36</f>
        <v>96903358</v>
      </c>
      <c r="I36" s="4">
        <f>H36/H15</f>
        <v>0.2268152839985195</v>
      </c>
    </row>
    <row r="37" spans="2:9" x14ac:dyDescent="0.3">
      <c r="B37" t="s">
        <v>23</v>
      </c>
      <c r="C37">
        <v>66550575</v>
      </c>
      <c r="E37" s="2"/>
      <c r="I37" s="4"/>
    </row>
    <row r="38" spans="2:9" x14ac:dyDescent="0.3">
      <c r="B38" t="s">
        <v>24</v>
      </c>
      <c r="C38">
        <f>C16-C37</f>
        <v>223496298</v>
      </c>
      <c r="E38" s="2"/>
      <c r="I38" s="4"/>
    </row>
    <row r="39" spans="2:9" x14ac:dyDescent="0.3">
      <c r="I39" s="4"/>
    </row>
    <row r="40" spans="2:9" x14ac:dyDescent="0.3">
      <c r="I40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4D9-C772-42BF-8ACF-A1FF06E94D65}">
  <dimension ref="A2:R32"/>
  <sheetViews>
    <sheetView workbookViewId="0">
      <selection activeCell="M18" sqref="M18"/>
    </sheetView>
  </sheetViews>
  <sheetFormatPr defaultRowHeight="14.4" x14ac:dyDescent="0.3"/>
  <cols>
    <col min="1" max="1" width="4.33203125" customWidth="1"/>
    <col min="9" max="9" width="4.88671875" customWidth="1"/>
    <col min="11" max="11" width="11.21875" bestFit="1" customWidth="1"/>
    <col min="12" max="12" width="13.33203125" bestFit="1" customWidth="1"/>
    <col min="13" max="13" width="10.5546875" bestFit="1" customWidth="1"/>
    <col min="14" max="14" width="10.21875" bestFit="1" customWidth="1"/>
    <col min="15" max="15" width="18.33203125" customWidth="1"/>
  </cols>
  <sheetData>
    <row r="2" spans="1:18" x14ac:dyDescent="0.3">
      <c r="A2" s="6"/>
      <c r="B2" s="32" t="s">
        <v>45</v>
      </c>
      <c r="C2" s="32"/>
      <c r="D2" s="32"/>
      <c r="E2" s="32"/>
      <c r="F2" s="32"/>
      <c r="G2" s="32"/>
      <c r="I2" s="26" t="s">
        <v>42</v>
      </c>
      <c r="J2" s="26"/>
      <c r="K2" s="26"/>
      <c r="L2" s="26"/>
      <c r="M2" s="26"/>
    </row>
    <row r="3" spans="1:18" x14ac:dyDescent="0.3">
      <c r="I3" s="12"/>
      <c r="J3" s="12"/>
    </row>
    <row r="4" spans="1:18" x14ac:dyDescent="0.3">
      <c r="A4" s="11"/>
      <c r="B4" s="13"/>
      <c r="C4" s="27" t="s">
        <v>41</v>
      </c>
      <c r="D4" s="28"/>
      <c r="E4" s="28"/>
      <c r="F4" s="28"/>
      <c r="G4" s="28"/>
      <c r="H4" s="17"/>
      <c r="I4" s="12"/>
      <c r="J4" s="19"/>
      <c r="K4" s="33" t="str">
        <f t="shared" ref="I4:O10" si="0">C4</f>
        <v>B</v>
      </c>
      <c r="L4" s="33"/>
      <c r="M4" s="33"/>
      <c r="N4" s="33"/>
      <c r="O4" s="33"/>
    </row>
    <row r="5" spans="1:18" x14ac:dyDescent="0.3">
      <c r="A5" s="14"/>
      <c r="B5" s="15"/>
      <c r="C5" s="9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17"/>
      <c r="I5" s="20"/>
      <c r="J5" s="18"/>
      <c r="K5" s="7" t="str">
        <f t="shared" si="0"/>
        <v>E022</v>
      </c>
      <c r="L5" s="7" t="str">
        <f t="shared" si="0"/>
        <v>E023</v>
      </c>
      <c r="M5" s="7" t="str">
        <f t="shared" si="0"/>
        <v>E033</v>
      </c>
      <c r="N5" s="7" t="str">
        <f t="shared" si="0"/>
        <v>E034</v>
      </c>
      <c r="O5" s="7" t="str">
        <f t="shared" si="0"/>
        <v>E035</v>
      </c>
    </row>
    <row r="6" spans="1:18" x14ac:dyDescent="0.3">
      <c r="A6" s="29" t="s">
        <v>40</v>
      </c>
      <c r="B6" s="10" t="s">
        <v>29</v>
      </c>
      <c r="C6" s="10">
        <v>0</v>
      </c>
      <c r="D6" s="6">
        <f>'E022'!D7-'E022'!$D$8</f>
        <v>-74.833999999999833</v>
      </c>
      <c r="E6" s="6">
        <f>'E022'!D7-'E022'!$D$9</f>
        <v>194.40600000000018</v>
      </c>
      <c r="F6" s="6">
        <f>'E022'!D7-'E022'!$D$10</f>
        <v>20.337999999999965</v>
      </c>
      <c r="G6" s="6">
        <f>'E022'!D7-'E022'!$D$11</f>
        <v>35.276000000000067</v>
      </c>
      <c r="I6" s="34" t="str">
        <f t="shared" si="0"/>
        <v>A</v>
      </c>
      <c r="J6" s="8" t="str">
        <f t="shared" si="0"/>
        <v>E022</v>
      </c>
      <c r="K6" s="16">
        <f>(C6/'E022'!$D$7)*100</f>
        <v>0</v>
      </c>
      <c r="L6" s="16">
        <f>(D6/'E022'!$D$7)*100</f>
        <v>-3.6301649955928972</v>
      </c>
      <c r="M6" s="16">
        <f>(E6/'E022'!$D$7)*100</f>
        <v>9.4305510347333428</v>
      </c>
      <c r="N6" s="16">
        <f>(F6/'E022'!$D$7)*100</f>
        <v>0.98658758960323367</v>
      </c>
      <c r="O6" s="16">
        <f>(G6/'E022'!$D$7)*100</f>
        <v>1.7112235131696234</v>
      </c>
    </row>
    <row r="7" spans="1:18" x14ac:dyDescent="0.3">
      <c r="A7" s="30"/>
      <c r="B7" s="8" t="s">
        <v>30</v>
      </c>
      <c r="C7" s="6">
        <f>'E022'!D8-'E022'!D7</f>
        <v>74.833999999999833</v>
      </c>
      <c r="D7" s="8">
        <v>0</v>
      </c>
      <c r="E7" s="6">
        <f>'E022'!D8-'E022'!$D$9</f>
        <v>269.24</v>
      </c>
      <c r="F7" s="6">
        <f>'E022'!D8-'E022'!$D$10</f>
        <v>95.171999999999798</v>
      </c>
      <c r="G7" s="6">
        <f>'E022'!D8-'E022'!$D$11</f>
        <v>110.1099999999999</v>
      </c>
      <c r="I7" s="34"/>
      <c r="J7" s="8" t="str">
        <f t="shared" si="0"/>
        <v>E023</v>
      </c>
      <c r="K7" s="16">
        <f>(C7/'E022'!$D$8)*100</f>
        <v>3.5030003047348988</v>
      </c>
      <c r="L7" s="16">
        <f>(D7/'E022'!$D$8)*100</f>
        <v>0</v>
      </c>
      <c r="M7" s="16">
        <f>(E7/'E022'!$D$8)*100</f>
        <v>12.603199107983354</v>
      </c>
      <c r="N7" s="16">
        <f>(F7/'E022'!$D$8)*100</f>
        <v>4.4550277280678543</v>
      </c>
      <c r="O7" s="16">
        <f>(G7/'E022'!$D$8)*100</f>
        <v>5.1542796530234947</v>
      </c>
    </row>
    <row r="8" spans="1:18" x14ac:dyDescent="0.3">
      <c r="A8" s="30"/>
      <c r="B8" s="8" t="s">
        <v>31</v>
      </c>
      <c r="C8" s="6">
        <f>'E022'!D9-'E022'!D7</f>
        <v>-194.40600000000018</v>
      </c>
      <c r="D8" s="6">
        <f>'E022'!D9-'E022'!$D$8</f>
        <v>-269.24</v>
      </c>
      <c r="E8" s="8">
        <f>'E022'!D9-'E022'!$D$9</f>
        <v>0</v>
      </c>
      <c r="F8" s="6">
        <f>'E022'!D9-'E022'!$D$10</f>
        <v>-174.06800000000021</v>
      </c>
      <c r="G8" s="6">
        <f>'E022'!D9-'E022'!$D$11</f>
        <v>-159.13000000000011</v>
      </c>
      <c r="I8" s="34"/>
      <c r="J8" s="8" t="str">
        <f t="shared" si="0"/>
        <v>E033</v>
      </c>
      <c r="K8" s="16">
        <f>(C8/'E022'!$D$9)*100</f>
        <v>-10.412507906888067</v>
      </c>
      <c r="L8" s="16">
        <f>(D8/'E022'!$D$9)*100</f>
        <v>-14.420664119680159</v>
      </c>
      <c r="M8" s="16">
        <f>(E8/'E022'!$D$9)*100</f>
        <v>0</v>
      </c>
      <c r="N8" s="16">
        <f>(F8/'E022'!$D$9)*100</f>
        <v>-9.3231918065090209</v>
      </c>
      <c r="O8" s="16">
        <f>(G8/'E022'!$D$9)*100</f>
        <v>-8.5231031101051293</v>
      </c>
    </row>
    <row r="9" spans="1:18" x14ac:dyDescent="0.3">
      <c r="A9" s="30"/>
      <c r="B9" s="8" t="s">
        <v>32</v>
      </c>
      <c r="C9" s="6">
        <f>'E022'!D10-'E022'!D7</f>
        <v>-20.337999999999965</v>
      </c>
      <c r="D9" s="6">
        <f>'E022'!D10-'E022'!$D$8</f>
        <v>-95.171999999999798</v>
      </c>
      <c r="E9" s="6">
        <f>'E022'!D10-'E022'!$D$9</f>
        <v>174.06800000000021</v>
      </c>
      <c r="F9" s="8">
        <f>'E022'!D10-'E022'!$D$10</f>
        <v>0</v>
      </c>
      <c r="G9" s="6">
        <f>'E022'!D10-'E022'!$D$11</f>
        <v>14.938000000000102</v>
      </c>
      <c r="I9" s="34"/>
      <c r="J9" s="8" t="str">
        <f t="shared" si="0"/>
        <v>E034</v>
      </c>
      <c r="K9" s="16">
        <f>(C9/'E022'!$D$10)*100</f>
        <v>-0.99641812718661382</v>
      </c>
      <c r="L9" s="16">
        <f>(D9/'E022'!$D$10)*100</f>
        <v>-4.6627547448423821</v>
      </c>
      <c r="M9" s="16">
        <f>(E9/'E022'!$D$10)*100</f>
        <v>8.5281006275503977</v>
      </c>
      <c r="N9" s="16">
        <f>(F9/'E022'!$D$10)*100</f>
        <v>0</v>
      </c>
      <c r="O9" s="16">
        <f>(G9/'E022'!$D$10)*100</f>
        <v>0.73185632726491123</v>
      </c>
    </row>
    <row r="10" spans="1:18" x14ac:dyDescent="0.3">
      <c r="A10" s="31"/>
      <c r="B10" s="8" t="s">
        <v>33</v>
      </c>
      <c r="C10" s="6">
        <f>'E022'!D11-'E022'!D7</f>
        <v>-35.276000000000067</v>
      </c>
      <c r="D10" s="6">
        <f>'E022'!D11-'E022'!$D$8</f>
        <v>-110.1099999999999</v>
      </c>
      <c r="E10" s="6">
        <f>'E022'!D11-'E022'!$D$9</f>
        <v>159.13000000000011</v>
      </c>
      <c r="F10" s="6">
        <f>'E022'!D11-'E022'!$D$10</f>
        <v>-14.938000000000102</v>
      </c>
      <c r="G10" s="8">
        <f>'E022'!D11-'E022'!$D$11</f>
        <v>0</v>
      </c>
      <c r="I10" s="34"/>
      <c r="J10" s="8" t="str">
        <f t="shared" si="0"/>
        <v>E035</v>
      </c>
      <c r="K10" s="16">
        <f>(C10/'E022'!$D$11)*100</f>
        <v>-1.7410161916085183</v>
      </c>
      <c r="L10" s="16">
        <f>(D10/'E022'!$D$11)*100</f>
        <v>-5.4343829475567933</v>
      </c>
      <c r="M10" s="16">
        <f>(E10/'E022'!$D$11)*100</f>
        <v>7.8537222635974375</v>
      </c>
      <c r="N10" s="16">
        <f>(F10/'E022'!$D$11)*100</f>
        <v>-0.73725195232589236</v>
      </c>
      <c r="O10" s="16">
        <f>(G10/'E022'!$D$11)*100</f>
        <v>0</v>
      </c>
    </row>
    <row r="11" spans="1:18" x14ac:dyDescent="0.3">
      <c r="R11" s="12"/>
    </row>
    <row r="13" spans="1:18" x14ac:dyDescent="0.3">
      <c r="A13" s="26" t="s">
        <v>43</v>
      </c>
      <c r="B13" s="26"/>
      <c r="C13" s="26"/>
      <c r="D13" s="26"/>
      <c r="E13" s="26"/>
      <c r="F13" s="26"/>
      <c r="G13" s="26"/>
      <c r="I13" s="26" t="s">
        <v>44</v>
      </c>
      <c r="J13" s="26"/>
      <c r="K13" s="26"/>
      <c r="L13" s="26"/>
      <c r="M13" s="26"/>
      <c r="N13" s="26"/>
      <c r="O13" s="26"/>
    </row>
    <row r="15" spans="1:18" x14ac:dyDescent="0.3">
      <c r="A15" s="11"/>
      <c r="B15" s="13"/>
      <c r="C15" s="27" t="s">
        <v>41</v>
      </c>
      <c r="D15" s="28"/>
      <c r="E15" s="28"/>
      <c r="F15" s="28"/>
      <c r="G15" s="28"/>
      <c r="I15" s="11"/>
      <c r="J15" s="13"/>
      <c r="K15" s="27" t="s">
        <v>41</v>
      </c>
      <c r="L15" s="28"/>
      <c r="M15" s="28"/>
      <c r="N15" s="28"/>
      <c r="O15" s="28"/>
    </row>
    <row r="16" spans="1:18" x14ac:dyDescent="0.3">
      <c r="A16" s="14"/>
      <c r="B16" s="15"/>
      <c r="C16" s="9" t="s">
        <v>29</v>
      </c>
      <c r="D16" s="7" t="s">
        <v>30</v>
      </c>
      <c r="E16" s="7" t="s">
        <v>31</v>
      </c>
      <c r="F16" s="7" t="s">
        <v>32</v>
      </c>
      <c r="G16" s="7" t="s">
        <v>33</v>
      </c>
      <c r="I16" s="14"/>
      <c r="J16" s="15"/>
      <c r="K16" s="9" t="s">
        <v>29</v>
      </c>
      <c r="L16" s="7" t="s">
        <v>30</v>
      </c>
      <c r="M16" s="7" t="s">
        <v>31</v>
      </c>
      <c r="N16" s="7" t="s">
        <v>32</v>
      </c>
      <c r="O16" s="7" t="s">
        <v>33</v>
      </c>
    </row>
    <row r="17" spans="1:15" x14ac:dyDescent="0.3">
      <c r="A17" s="29" t="s">
        <v>40</v>
      </c>
      <c r="B17" s="10" t="s">
        <v>29</v>
      </c>
      <c r="C17" s="10"/>
      <c r="D17" s="21">
        <f>'E022'!I18</f>
        <v>0.777368582699272</v>
      </c>
      <c r="E17" s="21">
        <f>'E022'!I23</f>
        <v>0.58858798854284056</v>
      </c>
      <c r="F17" s="21">
        <f>'E022'!I29</f>
        <v>0.60322147013286087</v>
      </c>
      <c r="G17" s="21">
        <f>'E022'!I35</f>
        <v>0.77318471600148053</v>
      </c>
      <c r="I17" s="29" t="s">
        <v>40</v>
      </c>
      <c r="J17" s="10" t="s">
        <v>29</v>
      </c>
      <c r="K17" s="10">
        <f>'E022'!C7-'E022'!$C$7</f>
        <v>0</v>
      </c>
      <c r="L17" s="16">
        <f>'E022'!C7-'E022'!$C$8</f>
        <v>-29.869999999999891</v>
      </c>
      <c r="M17" s="16">
        <f>'E022'!C7-'E022'!$C$9</f>
        <v>147.69000000000005</v>
      </c>
      <c r="N17" s="23">
        <f>'E022'!C7-'E022'!$C$10</f>
        <v>-24.899999999999864</v>
      </c>
      <c r="O17" s="22">
        <f>'E022'!C7-'E022'!$C$11</f>
        <v>4.4500000000000455</v>
      </c>
    </row>
    <row r="18" spans="1:15" x14ac:dyDescent="0.3">
      <c r="A18" s="30"/>
      <c r="B18" s="8" t="s">
        <v>30</v>
      </c>
      <c r="C18" s="21">
        <f>'E023'!H8</f>
        <v>0.82621157724777528</v>
      </c>
      <c r="D18" s="8"/>
      <c r="E18" s="21">
        <f>'E023'!H13</f>
        <v>0.62574135442791057</v>
      </c>
      <c r="F18" s="21">
        <f>'E023'!H19</f>
        <v>0.64165168029283315</v>
      </c>
      <c r="G18" s="21">
        <f>'E023'!H25</f>
        <v>0.85165235647421933</v>
      </c>
      <c r="I18" s="30"/>
      <c r="J18" s="8" t="s">
        <v>30</v>
      </c>
      <c r="K18" s="10">
        <f>'E022'!C8-'E022'!$C$7</f>
        <v>29.869999999999891</v>
      </c>
      <c r="L18" s="16">
        <f>'E022'!C8-'E022'!$C$8</f>
        <v>0</v>
      </c>
      <c r="M18" s="16">
        <f>'E022'!C8-'E022'!$C$9</f>
        <v>177.55999999999995</v>
      </c>
      <c r="N18" s="23">
        <f>'E022'!C8-'E022'!$C$10</f>
        <v>4.9700000000000273</v>
      </c>
      <c r="O18" s="22">
        <f>'E022'!C8-'E022'!$C$11</f>
        <v>34.319999999999936</v>
      </c>
    </row>
    <row r="19" spans="1:15" x14ac:dyDescent="0.3">
      <c r="A19" s="30"/>
      <c r="B19" s="8" t="s">
        <v>31</v>
      </c>
      <c r="C19" s="6"/>
      <c r="D19" s="6"/>
      <c r="E19" s="8"/>
      <c r="F19" s="6"/>
      <c r="G19" s="6"/>
      <c r="I19" s="30"/>
      <c r="J19" s="8" t="s">
        <v>31</v>
      </c>
      <c r="K19" s="10">
        <f>'E022'!C9-'E022'!$C$7</f>
        <v>-147.69000000000005</v>
      </c>
      <c r="L19" s="16">
        <f>'E022'!C9-'E022'!$C$8</f>
        <v>-177.55999999999995</v>
      </c>
      <c r="M19" s="16">
        <f>'E022'!C9-'E022'!$C$9</f>
        <v>0</v>
      </c>
      <c r="N19" s="23">
        <f>'E022'!C9-'E022'!$C$10</f>
        <v>-172.58999999999992</v>
      </c>
      <c r="O19" s="22">
        <f>'E022'!C9-'E022'!$C$11</f>
        <v>-143.24</v>
      </c>
    </row>
    <row r="20" spans="1:15" x14ac:dyDescent="0.3">
      <c r="A20" s="30"/>
      <c r="B20" s="8" t="s">
        <v>32</v>
      </c>
      <c r="C20" s="6"/>
      <c r="D20" s="6"/>
      <c r="E20" s="6"/>
      <c r="F20" s="8"/>
      <c r="G20" s="6"/>
      <c r="I20" s="30"/>
      <c r="J20" s="8" t="s">
        <v>32</v>
      </c>
      <c r="K20" s="10">
        <f>'E022'!C10-'E022'!$C$7</f>
        <v>24.899999999999864</v>
      </c>
      <c r="L20" s="16">
        <f>'E022'!C10-'E022'!$C$8</f>
        <v>-4.9700000000000273</v>
      </c>
      <c r="M20" s="16">
        <f>'E022'!C10-'E022'!$C$9</f>
        <v>172.58999999999992</v>
      </c>
      <c r="N20" s="23">
        <f>'E022'!C10-'E022'!$C$10</f>
        <v>0</v>
      </c>
      <c r="O20" s="22">
        <f>'E022'!C10-'E022'!$C$11</f>
        <v>29.349999999999909</v>
      </c>
    </row>
    <row r="21" spans="1:15" x14ac:dyDescent="0.3">
      <c r="A21" s="31"/>
      <c r="B21" s="8" t="s">
        <v>33</v>
      </c>
      <c r="C21" s="6"/>
      <c r="D21" s="6"/>
      <c r="E21" s="6"/>
      <c r="F21" s="6"/>
      <c r="G21" s="8"/>
      <c r="I21" s="31"/>
      <c r="J21" s="8" t="s">
        <v>33</v>
      </c>
      <c r="K21" s="10">
        <f>'E022'!C11-'E022'!$C$7</f>
        <v>-4.4500000000000455</v>
      </c>
      <c r="L21" s="16">
        <f>'E022'!C11-'E022'!$C$8</f>
        <v>-34.319999999999936</v>
      </c>
      <c r="M21" s="16">
        <f>'E022'!C11-'E022'!$C$9</f>
        <v>143.24</v>
      </c>
      <c r="N21" s="23">
        <f>'E022'!C11-'E022'!$C$10</f>
        <v>-29.349999999999909</v>
      </c>
      <c r="O21" s="22">
        <f>'E022'!C11-'E022'!$C$11</f>
        <v>0</v>
      </c>
    </row>
    <row r="24" spans="1:15" ht="35.4" customHeight="1" x14ac:dyDescent="0.3">
      <c r="B24" s="36" t="s">
        <v>65</v>
      </c>
      <c r="C24" s="36"/>
      <c r="D24" s="36"/>
      <c r="E24" s="36"/>
      <c r="F24" s="36"/>
      <c r="G24" s="36"/>
      <c r="I24" s="35" t="s">
        <v>50</v>
      </c>
      <c r="J24" s="35"/>
      <c r="K24" s="35"/>
      <c r="L24" s="35"/>
      <c r="M24" s="35"/>
      <c r="N24" s="35"/>
      <c r="O24" s="35"/>
    </row>
    <row r="26" spans="1:15" x14ac:dyDescent="0.3">
      <c r="I26" s="11"/>
      <c r="J26" s="13"/>
      <c r="K26" s="27" t="s">
        <v>41</v>
      </c>
      <c r="L26" s="28"/>
      <c r="M26" s="28"/>
      <c r="N26" s="28"/>
      <c r="O26" s="28"/>
    </row>
    <row r="27" spans="1:15" x14ac:dyDescent="0.3">
      <c r="I27" s="14"/>
      <c r="J27" s="15"/>
      <c r="K27" s="9" t="s">
        <v>29</v>
      </c>
      <c r="L27" s="7" t="s">
        <v>30</v>
      </c>
      <c r="M27" s="7" t="s">
        <v>31</v>
      </c>
      <c r="N27" s="7" t="s">
        <v>32</v>
      </c>
      <c r="O27" s="7" t="s">
        <v>33</v>
      </c>
    </row>
    <row r="28" spans="1:15" x14ac:dyDescent="0.3">
      <c r="I28" s="29" t="s">
        <v>40</v>
      </c>
      <c r="J28" s="10" t="s">
        <v>29</v>
      </c>
      <c r="K28" s="10"/>
      <c r="L28" s="16">
        <f>'E022'!E19-'E023'!D9</f>
        <v>3.5793506493506584</v>
      </c>
      <c r="M28" s="16"/>
      <c r="N28" s="23"/>
      <c r="O28" s="22"/>
    </row>
    <row r="29" spans="1:15" x14ac:dyDescent="0.3">
      <c r="I29" s="30"/>
      <c r="J29" s="8" t="s">
        <v>30</v>
      </c>
      <c r="K29" s="24">
        <f>'E023'!D9-'E022'!E19</f>
        <v>-3.5793506493506584</v>
      </c>
      <c r="L29" s="16"/>
      <c r="M29" s="16"/>
      <c r="N29" s="23"/>
      <c r="O29" s="22"/>
    </row>
    <row r="30" spans="1:15" x14ac:dyDescent="0.3">
      <c r="I30" s="30"/>
      <c r="J30" s="8" t="s">
        <v>31</v>
      </c>
      <c r="K30" s="10"/>
      <c r="L30" s="16"/>
      <c r="M30" s="16"/>
      <c r="N30" s="23"/>
      <c r="O30" s="22"/>
    </row>
    <row r="31" spans="1:15" x14ac:dyDescent="0.3">
      <c r="I31" s="30"/>
      <c r="J31" s="8" t="s">
        <v>32</v>
      </c>
      <c r="K31" s="10"/>
      <c r="L31" s="16"/>
      <c r="M31" s="16"/>
      <c r="N31" s="23"/>
      <c r="O31" s="22"/>
    </row>
    <row r="32" spans="1:15" x14ac:dyDescent="0.3">
      <c r="I32" s="31"/>
      <c r="J32" s="8" t="s">
        <v>33</v>
      </c>
      <c r="K32" s="10"/>
      <c r="L32" s="16"/>
      <c r="M32" s="16"/>
      <c r="N32" s="23"/>
      <c r="O32" s="22"/>
    </row>
  </sheetData>
  <mergeCells count="16">
    <mergeCell ref="B2:G2"/>
    <mergeCell ref="A6:A10"/>
    <mergeCell ref="I2:M2"/>
    <mergeCell ref="K4:O4"/>
    <mergeCell ref="I6:I10"/>
    <mergeCell ref="A13:G13"/>
    <mergeCell ref="I13:O13"/>
    <mergeCell ref="K15:O15"/>
    <mergeCell ref="I17:I21"/>
    <mergeCell ref="C4:G4"/>
    <mergeCell ref="I24:O24"/>
    <mergeCell ref="K26:O26"/>
    <mergeCell ref="I28:I32"/>
    <mergeCell ref="C15:G15"/>
    <mergeCell ref="A17:A21"/>
    <mergeCell ref="B24:G24"/>
  </mergeCells>
  <conditionalFormatting sqref="B5:G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:O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G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O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:O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D816-2246-473C-BBDF-6E74CC3D7E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96D3-D2B3-4C7C-A0A3-9675CA0C13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A60-90AC-43DA-B474-EDBA777B057A}">
  <dimension ref="A3:H46"/>
  <sheetViews>
    <sheetView workbookViewId="0">
      <selection activeCell="D33" sqref="D33"/>
    </sheetView>
  </sheetViews>
  <sheetFormatPr defaultRowHeight="14.4" x14ac:dyDescent="0.3"/>
  <cols>
    <col min="1" max="1" width="55.33203125" customWidth="1"/>
    <col min="2" max="2" width="21" customWidth="1"/>
    <col min="3" max="3" width="36.33203125" bestFit="1" customWidth="1"/>
    <col min="4" max="4" width="40.33203125" customWidth="1"/>
    <col min="5" max="5" width="19.88671875" customWidth="1"/>
    <col min="6" max="6" width="13.44140625" customWidth="1"/>
    <col min="7" max="7" width="20.44140625" customWidth="1"/>
    <col min="8" max="8" width="20" customWidth="1"/>
  </cols>
  <sheetData>
    <row r="3" spans="1:8" x14ac:dyDescent="0.3">
      <c r="B3" t="s">
        <v>3</v>
      </c>
      <c r="C3" t="s">
        <v>38</v>
      </c>
      <c r="D3" t="s">
        <v>39</v>
      </c>
      <c r="E3" t="s">
        <v>25</v>
      </c>
      <c r="F3" t="s">
        <v>34</v>
      </c>
      <c r="G3" t="s">
        <v>26</v>
      </c>
      <c r="H3" t="s">
        <v>16</v>
      </c>
    </row>
    <row r="4" spans="1:8" x14ac:dyDescent="0.3">
      <c r="A4" t="s">
        <v>30</v>
      </c>
    </row>
    <row r="5" spans="1:8" x14ac:dyDescent="0.3">
      <c r="A5" t="s">
        <v>4</v>
      </c>
      <c r="B5">
        <v>203795849</v>
      </c>
      <c r="C5" s="2">
        <f>7072639469/15.4</f>
        <v>459262303.18181819</v>
      </c>
      <c r="D5" s="2">
        <f>C5/1000000</f>
        <v>459.2623031818182</v>
      </c>
      <c r="G5">
        <f>B5+'E022'!$C$4</f>
        <v>401977939</v>
      </c>
    </row>
    <row r="6" spans="1:8" x14ac:dyDescent="0.3">
      <c r="A6" t="s">
        <v>14</v>
      </c>
      <c r="B6">
        <v>315303626</v>
      </c>
      <c r="C6" s="3" t="s">
        <v>15</v>
      </c>
      <c r="D6" s="2"/>
      <c r="G6">
        <f>B6</f>
        <v>315303626</v>
      </c>
    </row>
    <row r="7" spans="1:8" x14ac:dyDescent="0.3">
      <c r="D7" s="2"/>
    </row>
    <row r="8" spans="1:8" x14ac:dyDescent="0.3">
      <c r="A8" t="s">
        <v>46</v>
      </c>
      <c r="B8">
        <v>133936737</v>
      </c>
      <c r="C8" s="1">
        <f>(307316000*15.8)/15.4</f>
        <v>315298233.76623374</v>
      </c>
      <c r="D8" s="2">
        <f t="shared" ref="D8:D26" si="0">C8/1000000</f>
        <v>315.29823376623375</v>
      </c>
      <c r="E8" s="4">
        <f>B8/B5</f>
        <v>0.65721032914659616</v>
      </c>
      <c r="F8" s="4"/>
      <c r="G8">
        <f>B8+'E022'!$C$4</f>
        <v>332118827</v>
      </c>
      <c r="H8" s="4">
        <f>G8/G5</f>
        <v>0.82621157724777528</v>
      </c>
    </row>
    <row r="9" spans="1:8" x14ac:dyDescent="0.3">
      <c r="A9" t="s">
        <v>47</v>
      </c>
      <c r="B9">
        <v>69859112</v>
      </c>
      <c r="C9" s="1">
        <f>(140319000*15.8)/15.4</f>
        <v>143963649.35064936</v>
      </c>
      <c r="D9" s="2">
        <f t="shared" si="0"/>
        <v>143.96364935064935</v>
      </c>
      <c r="E9" s="4">
        <f>B9/B5</f>
        <v>0.34278967085340389</v>
      </c>
      <c r="F9" s="4"/>
      <c r="G9">
        <f>G5-G8</f>
        <v>69859112</v>
      </c>
      <c r="H9" s="4">
        <f>G9/G5</f>
        <v>0.17378842275222472</v>
      </c>
    </row>
    <row r="10" spans="1:8" x14ac:dyDescent="0.3">
      <c r="A10" t="s">
        <v>48</v>
      </c>
      <c r="B10">
        <v>95115865</v>
      </c>
      <c r="D10" s="2"/>
      <c r="H10" s="4"/>
    </row>
    <row r="11" spans="1:8" x14ac:dyDescent="0.3">
      <c r="A11" t="s">
        <v>49</v>
      </c>
      <c r="D11" s="2"/>
      <c r="H11" s="4"/>
    </row>
    <row r="12" spans="1:8" x14ac:dyDescent="0.3">
      <c r="D12" s="2"/>
      <c r="H12" s="4"/>
    </row>
    <row r="13" spans="1:8" x14ac:dyDescent="0.3">
      <c r="A13" t="s">
        <v>8</v>
      </c>
      <c r="B13">
        <v>53352130</v>
      </c>
      <c r="C13" s="1">
        <f>(120176000*15.8)/15.4</f>
        <v>123297454.54545455</v>
      </c>
      <c r="D13" s="2">
        <f t="shared" si="0"/>
        <v>123.29745454545454</v>
      </c>
      <c r="E13">
        <f>B13/B5</f>
        <v>0.26179203483187724</v>
      </c>
      <c r="G13">
        <f>B13+'E022'!$C$4</f>
        <v>251534220</v>
      </c>
      <c r="H13" s="4">
        <f>G13/G5</f>
        <v>0.62574135442791057</v>
      </c>
    </row>
    <row r="14" spans="1:8" x14ac:dyDescent="0.3">
      <c r="A14" t="s">
        <v>9</v>
      </c>
      <c r="B14">
        <v>150443719</v>
      </c>
      <c r="C14" s="1">
        <f>(327459000*15.8)/15.4</f>
        <v>335964428.57142854</v>
      </c>
      <c r="D14" s="2">
        <f t="shared" si="0"/>
        <v>335.96442857142853</v>
      </c>
      <c r="G14">
        <f>B14</f>
        <v>150443719</v>
      </c>
      <c r="H14" s="4">
        <f>G14/G5</f>
        <v>0.37425864557208949</v>
      </c>
    </row>
    <row r="15" spans="1:8" x14ac:dyDescent="0.3">
      <c r="A15" t="s">
        <v>12</v>
      </c>
      <c r="B15">
        <v>151770009</v>
      </c>
      <c r="D15" s="2"/>
      <c r="H15" s="4"/>
    </row>
    <row r="16" spans="1:8" x14ac:dyDescent="0.3">
      <c r="A16" t="s">
        <v>13</v>
      </c>
      <c r="D16" s="2"/>
      <c r="H16" s="4"/>
    </row>
    <row r="17" spans="1:8" x14ac:dyDescent="0.3">
      <c r="D17" s="2"/>
      <c r="H17" s="4"/>
    </row>
    <row r="18" spans="1:8" x14ac:dyDescent="0.3">
      <c r="D18" s="2"/>
      <c r="H18" s="4"/>
    </row>
    <row r="19" spans="1:8" x14ac:dyDescent="0.3">
      <c r="A19" t="s">
        <v>17</v>
      </c>
      <c r="B19">
        <v>59747730</v>
      </c>
      <c r="C19" s="1">
        <v>135305000</v>
      </c>
      <c r="D19" s="2">
        <f t="shared" si="0"/>
        <v>135.30500000000001</v>
      </c>
      <c r="G19">
        <f>B19+'E022'!$C$4</f>
        <v>257929820</v>
      </c>
      <c r="H19" s="4">
        <f>G19/G5</f>
        <v>0.64165168029283315</v>
      </c>
    </row>
    <row r="20" spans="1:8" x14ac:dyDescent="0.3">
      <c r="A20" t="s">
        <v>18</v>
      </c>
      <c r="B20">
        <v>144048119</v>
      </c>
      <c r="C20" s="1">
        <v>312330000</v>
      </c>
      <c r="D20" s="2">
        <f t="shared" si="0"/>
        <v>312.33</v>
      </c>
      <c r="G20">
        <f>B20</f>
        <v>144048119</v>
      </c>
      <c r="H20" s="4">
        <f>G20/G5</f>
        <v>0.3583483197071668</v>
      </c>
    </row>
    <row r="21" spans="1:8" x14ac:dyDescent="0.3">
      <c r="A21" t="s">
        <v>19</v>
      </c>
      <c r="B21">
        <v>129397074</v>
      </c>
      <c r="D21" s="2"/>
    </row>
    <row r="22" spans="1:8" x14ac:dyDescent="0.3">
      <c r="A22" t="s">
        <v>20</v>
      </c>
      <c r="D22" s="2"/>
    </row>
    <row r="23" spans="1:8" x14ac:dyDescent="0.3">
      <c r="D23" s="2"/>
      <c r="H23" s="4"/>
    </row>
    <row r="24" spans="1:8" x14ac:dyDescent="0.3">
      <c r="D24" s="2"/>
      <c r="H24" s="4"/>
    </row>
    <row r="25" spans="1:8" x14ac:dyDescent="0.3">
      <c r="A25" t="s">
        <v>21</v>
      </c>
      <c r="B25">
        <v>144163369</v>
      </c>
      <c r="C25" s="1">
        <v>331687000</v>
      </c>
      <c r="D25" s="2">
        <f t="shared" si="0"/>
        <v>331.68700000000001</v>
      </c>
      <c r="G25">
        <f>B25+'E022'!$C$4</f>
        <v>342345459</v>
      </c>
      <c r="H25" s="4">
        <f>G25/G5</f>
        <v>0.85165235647421933</v>
      </c>
    </row>
    <row r="26" spans="1:8" x14ac:dyDescent="0.3">
      <c r="A26" t="s">
        <v>22</v>
      </c>
      <c r="B26">
        <v>59632480</v>
      </c>
      <c r="C26" s="1">
        <v>115948000</v>
      </c>
      <c r="D26" s="2">
        <f t="shared" si="0"/>
        <v>115.94799999999999</v>
      </c>
      <c r="G26">
        <f>B26</f>
        <v>59632480</v>
      </c>
      <c r="H26" s="4">
        <f>G26/G5</f>
        <v>0.14834764352578064</v>
      </c>
    </row>
    <row r="27" spans="1:8" x14ac:dyDescent="0.3">
      <c r="A27" t="s">
        <v>23</v>
      </c>
      <c r="B27">
        <v>54536450</v>
      </c>
    </row>
    <row r="30" spans="1:8" x14ac:dyDescent="0.3">
      <c r="C30" t="s">
        <v>64</v>
      </c>
    </row>
    <row r="31" spans="1:8" x14ac:dyDescent="0.3">
      <c r="A31" t="s">
        <v>61</v>
      </c>
      <c r="B31" s="1">
        <f>C14</f>
        <v>335964428.57142854</v>
      </c>
      <c r="C31" s="5">
        <f>B31/1000000</f>
        <v>335.96442857142853</v>
      </c>
    </row>
    <row r="32" spans="1:8" x14ac:dyDescent="0.3">
      <c r="A32" t="s">
        <v>62</v>
      </c>
      <c r="B32" s="1">
        <f>'E033'!C12</f>
        <v>288778000</v>
      </c>
      <c r="C32" s="5">
        <f t="shared" ref="C32:C33" si="1">B32/1000000</f>
        <v>288.77800000000002</v>
      </c>
    </row>
    <row r="33" spans="1:7" x14ac:dyDescent="0.3">
      <c r="A33" t="s">
        <v>63</v>
      </c>
      <c r="B33" s="1">
        <f>B31-B32</f>
        <v>47186428.571428537</v>
      </c>
      <c r="C33" s="5">
        <f t="shared" si="1"/>
        <v>47.186428571428536</v>
      </c>
    </row>
    <row r="34" spans="1:7" x14ac:dyDescent="0.3">
      <c r="C34">
        <v>27760913531</v>
      </c>
      <c r="E34">
        <f>C34/15.4</f>
        <v>1802656722.7922077</v>
      </c>
      <c r="F34">
        <f>E34/1000000</f>
        <v>1802.6567227922078</v>
      </c>
      <c r="G34">
        <f>E36/1000000</f>
        <v>948.53021278481003</v>
      </c>
    </row>
    <row r="35" spans="1:7" x14ac:dyDescent="0.3">
      <c r="A35" t="s">
        <v>54</v>
      </c>
      <c r="B35">
        <v>251534220</v>
      </c>
      <c r="C35">
        <v>86059332158</v>
      </c>
      <c r="E35">
        <f>C35/54.5</f>
        <v>1579070314.8256881</v>
      </c>
      <c r="F35">
        <f>E35/1000000</f>
        <v>1579.0703148256882</v>
      </c>
      <c r="G35">
        <f>E37/1000000</f>
        <v>573.0358283669724</v>
      </c>
    </row>
    <row r="36" spans="1:7" x14ac:dyDescent="0.3">
      <c r="A36" t="s">
        <v>55</v>
      </c>
      <c r="B36">
        <v>95039615</v>
      </c>
      <c r="C36">
        <v>14986777362</v>
      </c>
      <c r="D36" t="s">
        <v>57</v>
      </c>
      <c r="E36" s="25">
        <f t="shared" ref="E36" si="2">C36/15.8</f>
        <v>948530212.78481007</v>
      </c>
    </row>
    <row r="37" spans="1:7" x14ac:dyDescent="0.3">
      <c r="A37" t="s">
        <v>56</v>
      </c>
      <c r="B37" s="4">
        <f>B36/B35</f>
        <v>0.37783970308294434</v>
      </c>
      <c r="C37">
        <v>31230452646</v>
      </c>
      <c r="D37" t="s">
        <v>58</v>
      </c>
      <c r="E37" s="25">
        <f>C37/54.5</f>
        <v>573035828.36697245</v>
      </c>
    </row>
    <row r="38" spans="1:7" x14ac:dyDescent="0.3">
      <c r="E38" t="s">
        <v>59</v>
      </c>
      <c r="F38">
        <f>G34-G35</f>
        <v>375.49438441783764</v>
      </c>
    </row>
    <row r="40" spans="1:7" x14ac:dyDescent="0.3">
      <c r="D40" t="s">
        <v>60</v>
      </c>
      <c r="E40" s="1">
        <f>C13+'E022'!C8*1000000-'E033'!C11-'E022'!C9*1000000</f>
        <v>181065454.5454545</v>
      </c>
      <c r="F40" s="5">
        <f>E40/1000000</f>
        <v>181.06545454545451</v>
      </c>
    </row>
    <row r="44" spans="1:7" x14ac:dyDescent="0.3">
      <c r="B44">
        <v>27760913531</v>
      </c>
      <c r="C44">
        <f>B44/15.4</f>
        <v>1802656722.7922077</v>
      </c>
      <c r="D44">
        <v>177.55999999999995</v>
      </c>
    </row>
    <row r="45" spans="1:7" x14ac:dyDescent="0.3">
      <c r="B45">
        <v>86059332158</v>
      </c>
      <c r="C45">
        <f>B45/54.5</f>
        <v>1579070314.8256881</v>
      </c>
    </row>
    <row r="46" spans="1:7" x14ac:dyDescent="0.3">
      <c r="C46">
        <f>C44-C45</f>
        <v>223586407.96651959</v>
      </c>
      <c r="D46">
        <f>C46/1000000</f>
        <v>223.5864079665196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37B1-EDFA-4DD1-901B-D501E2037F45}">
  <dimension ref="A1:H25"/>
  <sheetViews>
    <sheetView tabSelected="1" workbookViewId="0">
      <selection activeCell="D26" sqref="D26"/>
    </sheetView>
  </sheetViews>
  <sheetFormatPr defaultRowHeight="14.4" x14ac:dyDescent="0.3"/>
  <cols>
    <col min="1" max="1" width="30.88671875" customWidth="1"/>
    <col min="2" max="2" width="26" customWidth="1"/>
    <col min="3" max="3" width="19.44140625" customWidth="1"/>
  </cols>
  <sheetData>
    <row r="1" spans="1:8" x14ac:dyDescent="0.3">
      <c r="B1" t="s">
        <v>3</v>
      </c>
      <c r="C1" t="s">
        <v>38</v>
      </c>
      <c r="D1" t="s">
        <v>39</v>
      </c>
      <c r="E1" t="s">
        <v>25</v>
      </c>
      <c r="F1" t="s">
        <v>34</v>
      </c>
      <c r="G1" t="s">
        <v>26</v>
      </c>
      <c r="H1" t="s">
        <v>16</v>
      </c>
    </row>
    <row r="2" spans="1:8" x14ac:dyDescent="0.3">
      <c r="A2" t="s">
        <v>30</v>
      </c>
    </row>
    <row r="3" spans="1:8" x14ac:dyDescent="0.3">
      <c r="A3" t="s">
        <v>4</v>
      </c>
      <c r="C3" s="2"/>
      <c r="D3" s="2">
        <f>C3/1000000</f>
        <v>0</v>
      </c>
      <c r="G3">
        <f>B3+'E022'!$C$4</f>
        <v>198182090</v>
      </c>
    </row>
    <row r="4" spans="1:8" x14ac:dyDescent="0.3">
      <c r="A4" t="s">
        <v>14</v>
      </c>
      <c r="C4" s="3"/>
      <c r="D4" s="2"/>
      <c r="G4">
        <f>B4</f>
        <v>0</v>
      </c>
    </row>
    <row r="5" spans="1:8" x14ac:dyDescent="0.3">
      <c r="D5" s="2"/>
    </row>
    <row r="6" spans="1:8" x14ac:dyDescent="0.3">
      <c r="A6" t="s">
        <v>46</v>
      </c>
      <c r="B6">
        <v>53283118</v>
      </c>
      <c r="C6" s="1">
        <v>118307000</v>
      </c>
      <c r="D6" s="2">
        <f t="shared" ref="D6:D24" si="0">C6/1000000</f>
        <v>118.307</v>
      </c>
      <c r="E6" s="4" t="e">
        <f>B6/B3</f>
        <v>#DIV/0!</v>
      </c>
      <c r="F6" s="4"/>
      <c r="G6">
        <f>B6+'E022'!$C$4</f>
        <v>251465208</v>
      </c>
      <c r="H6" s="4">
        <f>G6/G3</f>
        <v>1.2688594009680694</v>
      </c>
    </row>
    <row r="7" spans="1:8" x14ac:dyDescent="0.3">
      <c r="A7" t="s">
        <v>47</v>
      </c>
      <c r="B7">
        <v>151839021</v>
      </c>
      <c r="C7" s="1">
        <v>290263000</v>
      </c>
      <c r="D7" s="2">
        <f t="shared" si="0"/>
        <v>290.26299999999998</v>
      </c>
      <c r="E7" s="4" t="e">
        <f>B7/B3</f>
        <v>#DIV/0!</v>
      </c>
      <c r="F7" s="4"/>
      <c r="G7">
        <f>G3-G6</f>
        <v>-53283118</v>
      </c>
      <c r="H7" s="4">
        <f>G7/G3</f>
        <v>-0.26885940096806932</v>
      </c>
    </row>
    <row r="8" spans="1:8" x14ac:dyDescent="0.3">
      <c r="A8" t="s">
        <v>48</v>
      </c>
      <c r="B8">
        <v>175769484</v>
      </c>
      <c r="D8" s="2"/>
      <c r="H8" s="4"/>
    </row>
    <row r="9" spans="1:8" x14ac:dyDescent="0.3">
      <c r="A9" t="s">
        <v>49</v>
      </c>
      <c r="D9" s="2"/>
      <c r="H9" s="4"/>
    </row>
    <row r="10" spans="1:8" x14ac:dyDescent="0.3">
      <c r="D10" s="2"/>
      <c r="H10" s="4"/>
    </row>
    <row r="11" spans="1:8" x14ac:dyDescent="0.3">
      <c r="A11" t="s">
        <v>51</v>
      </c>
      <c r="B11">
        <v>53352130</v>
      </c>
      <c r="C11" s="1">
        <v>119792000</v>
      </c>
      <c r="D11" s="2">
        <f t="shared" si="0"/>
        <v>119.792</v>
      </c>
      <c r="E11" t="e">
        <f>B11/B3</f>
        <v>#DIV/0!</v>
      </c>
      <c r="G11">
        <f>B11+'E022'!$C$4</f>
        <v>251534220</v>
      </c>
      <c r="H11" s="4">
        <f>G11/G3</f>
        <v>1.269207626178531</v>
      </c>
    </row>
    <row r="12" spans="1:8" x14ac:dyDescent="0.3">
      <c r="A12" t="s">
        <v>7</v>
      </c>
      <c r="B12">
        <v>151770009</v>
      </c>
      <c r="C12" s="1">
        <v>288778000</v>
      </c>
      <c r="D12" s="2">
        <f t="shared" si="0"/>
        <v>288.77800000000002</v>
      </c>
      <c r="G12">
        <f>B12</f>
        <v>151770009</v>
      </c>
      <c r="H12" s="4">
        <f>G12/G3</f>
        <v>0.76581092166300191</v>
      </c>
    </row>
    <row r="13" spans="1:8" x14ac:dyDescent="0.3">
      <c r="A13" t="s">
        <v>52</v>
      </c>
      <c r="B13">
        <v>150443719</v>
      </c>
      <c r="D13" s="2"/>
      <c r="H13" s="4"/>
    </row>
    <row r="14" spans="1:8" x14ac:dyDescent="0.3">
      <c r="A14" t="s">
        <v>53</v>
      </c>
      <c r="D14" s="2"/>
      <c r="H14" s="4"/>
    </row>
    <row r="15" spans="1:8" x14ac:dyDescent="0.3">
      <c r="D15" s="2"/>
      <c r="H15" s="4"/>
    </row>
    <row r="16" spans="1:8" x14ac:dyDescent="0.3">
      <c r="D16" s="2"/>
      <c r="H16" s="4"/>
    </row>
    <row r="17" spans="1:8" x14ac:dyDescent="0.3">
      <c r="A17" t="s">
        <v>17</v>
      </c>
      <c r="B17">
        <v>73093150</v>
      </c>
      <c r="C17" s="1">
        <v>164673000</v>
      </c>
      <c r="D17" s="2">
        <f t="shared" si="0"/>
        <v>164.673</v>
      </c>
      <c r="G17">
        <f>B17+'E022'!$C$4</f>
        <v>271275240</v>
      </c>
      <c r="H17" s="4">
        <f>G17/G3</f>
        <v>1.3688181409329168</v>
      </c>
    </row>
    <row r="18" spans="1:8" x14ac:dyDescent="0.3">
      <c r="A18" t="s">
        <v>18</v>
      </c>
      <c r="B18">
        <v>132028989</v>
      </c>
      <c r="C18" s="1">
        <v>243897000</v>
      </c>
      <c r="D18" s="2">
        <f t="shared" si="0"/>
        <v>243.89699999999999</v>
      </c>
      <c r="G18">
        <f>B18</f>
        <v>132028989</v>
      </c>
      <c r="H18" s="4">
        <f>G18/G3</f>
        <v>0.66620040690861626</v>
      </c>
    </row>
    <row r="19" spans="1:8" x14ac:dyDescent="0.3">
      <c r="A19" t="s">
        <v>19</v>
      </c>
      <c r="B19">
        <v>116051654</v>
      </c>
      <c r="D19" s="2"/>
    </row>
    <row r="20" spans="1:8" x14ac:dyDescent="0.3">
      <c r="A20" t="s">
        <v>20</v>
      </c>
      <c r="D20" s="2"/>
    </row>
    <row r="21" spans="1:8" x14ac:dyDescent="0.3">
      <c r="D21" s="2"/>
      <c r="H21" s="4"/>
    </row>
    <row r="22" spans="1:8" x14ac:dyDescent="0.3">
      <c r="D22" s="2"/>
      <c r="H22" s="4"/>
    </row>
    <row r="23" spans="1:8" x14ac:dyDescent="0.3">
      <c r="A23" t="s">
        <v>21</v>
      </c>
      <c r="B23">
        <v>53994744</v>
      </c>
      <c r="C23" s="1">
        <v>121388000</v>
      </c>
      <c r="D23" s="2">
        <f t="shared" si="0"/>
        <v>121.38800000000001</v>
      </c>
      <c r="G23">
        <f>B23+'E022'!$C$4</f>
        <v>252176834</v>
      </c>
      <c r="H23" s="4">
        <f>G23/G3</f>
        <v>1.2724501694376116</v>
      </c>
    </row>
    <row r="24" spans="1:8" x14ac:dyDescent="0.3">
      <c r="A24" t="s">
        <v>22</v>
      </c>
      <c r="B24">
        <v>151127395</v>
      </c>
      <c r="C24" s="1">
        <v>287182000</v>
      </c>
      <c r="D24" s="2">
        <f t="shared" si="0"/>
        <v>287.18200000000002</v>
      </c>
      <c r="G24">
        <f>B24</f>
        <v>151127395</v>
      </c>
      <c r="H24" s="4">
        <f>G24/G3</f>
        <v>0.76256837840392133</v>
      </c>
    </row>
    <row r="25" spans="1:8" x14ac:dyDescent="0.3">
      <c r="A25" t="s">
        <v>23</v>
      </c>
      <c r="B25">
        <v>144705075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E022</vt:lpstr>
      <vt:lpstr>Sheet2</vt:lpstr>
      <vt:lpstr>E034</vt:lpstr>
      <vt:lpstr>E035</vt:lpstr>
      <vt:lpstr>E023</vt:lpstr>
      <vt:lpstr>E033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Sampson</dc:creator>
  <cp:lastModifiedBy>Jacob Sampson</cp:lastModifiedBy>
  <dcterms:created xsi:type="dcterms:W3CDTF">2021-07-23T18:48:40Z</dcterms:created>
  <dcterms:modified xsi:type="dcterms:W3CDTF">2021-07-26T21:49:48Z</dcterms:modified>
</cp:coreProperties>
</file>