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RawPractice\"/>
    </mc:Choice>
  </mc:AlternateContent>
  <xr:revisionPtr revIDLastSave="0" documentId="8_{FC4276EB-1403-4E55-817E-356EA7A48C3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ime Card" sheetId="1" r:id="rId1"/>
    <sheet name="Tax Estimato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C3" i="3"/>
  <c r="C29" i="3" l="1"/>
  <c r="C28" i="3"/>
  <c r="C22" i="3"/>
  <c r="C21" i="3"/>
  <c r="C24" i="3" s="1"/>
  <c r="K13" i="3"/>
  <c r="H13" i="3"/>
  <c r="K12" i="3"/>
  <c r="H12" i="3"/>
  <c r="F12" i="3"/>
  <c r="K11" i="3"/>
  <c r="H11" i="3"/>
  <c r="K10" i="3"/>
  <c r="H10" i="3"/>
  <c r="K9" i="3"/>
  <c r="H9" i="3"/>
  <c r="K8" i="3"/>
  <c r="H8" i="3"/>
  <c r="C23" i="3" l="1"/>
  <c r="C25" i="3" s="1"/>
  <c r="C41" i="3" l="1"/>
  <c r="C30" i="3"/>
  <c r="C31" i="3" s="1"/>
  <c r="C13" i="3" s="1"/>
  <c r="C12" i="3"/>
  <c r="C42" i="3"/>
  <c r="C33" i="3" l="1"/>
  <c r="C40" i="3" l="1"/>
  <c r="C36" i="3"/>
  <c r="C38" i="3" s="1"/>
  <c r="C14" i="3"/>
  <c r="C37" i="3" l="1"/>
  <c r="C39" i="3" s="1"/>
  <c r="C43" i="3" s="1"/>
  <c r="C15" i="3" s="1"/>
  <c r="C17" i="3" s="1"/>
  <c r="B14" i="1" l="1"/>
  <c r="B13" i="1"/>
  <c r="B12" i="1"/>
  <c r="B11" i="1"/>
  <c r="B10" i="1"/>
  <c r="B9" i="1"/>
  <c r="B8" i="1"/>
  <c r="B7" i="1"/>
  <c r="B6" i="1"/>
  <c r="B5" i="1"/>
  <c r="B4" i="1"/>
  <c r="C4" i="1" s="1"/>
  <c r="I4" i="1"/>
  <c r="F4" i="1"/>
  <c r="J4" i="1" l="1"/>
  <c r="B3" i="1"/>
  <c r="C3" i="1" s="1"/>
  <c r="C5" i="1"/>
  <c r="C7" i="1"/>
  <c r="C8" i="1"/>
  <c r="C10" i="1"/>
  <c r="C11" i="1"/>
  <c r="C12" i="1"/>
  <c r="C13" i="1"/>
  <c r="B15" i="1"/>
  <c r="C15" i="1" s="1"/>
  <c r="B16" i="1"/>
  <c r="C16" i="1" s="1"/>
  <c r="B17" i="1"/>
  <c r="C17" i="1" s="1"/>
  <c r="B18" i="1"/>
  <c r="C18" i="1" s="1"/>
  <c r="B19" i="1"/>
  <c r="C19" i="1" s="1"/>
  <c r="C14" i="1"/>
  <c r="C9" i="1"/>
  <c r="C6" i="1"/>
  <c r="I11" i="1" l="1"/>
  <c r="I10" i="1" l="1"/>
  <c r="I19" i="1" l="1"/>
  <c r="I18" i="1"/>
  <c r="I16" i="1"/>
  <c r="I15" i="1"/>
  <c r="I14" i="1"/>
  <c r="I13" i="1"/>
  <c r="I12" i="1"/>
  <c r="I9" i="1"/>
  <c r="I8" i="1"/>
  <c r="I7" i="1"/>
  <c r="I6" i="1"/>
  <c r="I5" i="1"/>
  <c r="I3" i="1"/>
  <c r="F19" i="1"/>
  <c r="F18" i="1"/>
  <c r="F16" i="1"/>
  <c r="F15" i="1"/>
  <c r="F14" i="1"/>
  <c r="F13" i="1"/>
  <c r="F12" i="1"/>
  <c r="F11" i="1"/>
  <c r="J11" i="1" s="1"/>
  <c r="F10" i="1"/>
  <c r="F9" i="1"/>
  <c r="F8" i="1"/>
  <c r="F7" i="1"/>
  <c r="F6" i="1"/>
  <c r="F5" i="1"/>
  <c r="F3" i="1"/>
  <c r="J16" i="1" l="1"/>
  <c r="J18" i="1"/>
  <c r="J7" i="1"/>
  <c r="J15" i="1"/>
  <c r="J19" i="1"/>
  <c r="J3" i="1"/>
  <c r="J8" i="1"/>
  <c r="J12" i="1"/>
  <c r="J14" i="1"/>
  <c r="J6" i="1"/>
  <c r="J10" i="1"/>
  <c r="J5" i="1"/>
  <c r="J9" i="1"/>
  <c r="J13" i="1"/>
  <c r="I17" i="1" l="1"/>
  <c r="F17" i="1"/>
  <c r="J17" i="1" l="1"/>
  <c r="M7" i="1" l="1"/>
</calcChain>
</file>

<file path=xl/sharedStrings.xml><?xml version="1.0" encoding="utf-8"?>
<sst xmlns="http://schemas.openxmlformats.org/spreadsheetml/2006/main" count="69" uniqueCount="58">
  <si>
    <t>Day</t>
  </si>
  <si>
    <t>Time In</t>
  </si>
  <si>
    <t>Time Out</t>
  </si>
  <si>
    <t>Daily Total</t>
  </si>
  <si>
    <t>Name</t>
  </si>
  <si>
    <t>Alias</t>
  </si>
  <si>
    <t>Pay Period Start:</t>
  </si>
  <si>
    <t>Subtotal</t>
  </si>
  <si>
    <t>Jacob Benge</t>
  </si>
  <si>
    <t>Employee Information</t>
  </si>
  <si>
    <t>Model Assumptions</t>
  </si>
  <si>
    <t>Hours Worked</t>
  </si>
  <si>
    <t>Pay Rate</t>
  </si>
  <si>
    <t># regular hours in Pay Period</t>
  </si>
  <si>
    <t>Federal Tax Rate Tables</t>
  </si>
  <si>
    <t>Marital Status</t>
  </si>
  <si>
    <t>Married</t>
  </si>
  <si>
    <t># of paychecks per year</t>
  </si>
  <si>
    <t>"Single" Tax Rate</t>
  </si>
  <si>
    <t>"Married" Tax Rate</t>
  </si>
  <si>
    <t># of Allowances</t>
  </si>
  <si>
    <t>Income</t>
  </si>
  <si>
    <t>Rate</t>
  </si>
  <si>
    <t>Retirement Savings %</t>
  </si>
  <si>
    <t>Payroll Tax information</t>
  </si>
  <si>
    <t>Health Insurance (every paycheck)</t>
  </si>
  <si>
    <t>Medicare Rate</t>
  </si>
  <si>
    <t>Flexible Spending (Annual)</t>
  </si>
  <si>
    <t>Social Security Rate</t>
  </si>
  <si>
    <t>Paycheck Summary</t>
  </si>
  <si>
    <t>Income Tax Information</t>
  </si>
  <si>
    <t>Gross Pay</t>
  </si>
  <si>
    <t>Allowance Deduction</t>
  </si>
  <si>
    <t>Total Deductions</t>
  </si>
  <si>
    <t>State Tax Rate</t>
  </si>
  <si>
    <t>Adjusted Income</t>
  </si>
  <si>
    <t>Total Taxes</t>
  </si>
  <si>
    <t>Net Pay</t>
  </si>
  <si>
    <t>Paycheck Calculations</t>
  </si>
  <si>
    <t>Regular Pay</t>
  </si>
  <si>
    <t>Overtime Pay</t>
  </si>
  <si>
    <t>Total Gross Pay</t>
  </si>
  <si>
    <t>Deductions (Items not subject to income tax)</t>
  </si>
  <si>
    <t>Insurance</t>
  </si>
  <si>
    <t>Flexible Spending</t>
  </si>
  <si>
    <t>Retirement</t>
  </si>
  <si>
    <t>Taxes</t>
  </si>
  <si>
    <t>Federal Income Tax Rate</t>
  </si>
  <si>
    <t>Federal Income Tax</t>
  </si>
  <si>
    <t>Adjustment for Allowances</t>
  </si>
  <si>
    <t>Net Federal Income Tax</t>
  </si>
  <si>
    <t>State Income Tax</t>
  </si>
  <si>
    <t>Medicare Tax</t>
  </si>
  <si>
    <t>Social Security Tax</t>
  </si>
  <si>
    <t>Adjustment:</t>
  </si>
  <si>
    <t>Hours Subtotal:</t>
  </si>
  <si>
    <t>Total:</t>
  </si>
  <si>
    <t>WXYZ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</si>
</sst>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h:mm;@"/>
    <numFmt numFmtId="166" formatCode="[$-409]h:mm\ AM/PM;@"/>
    <numFmt numFmtId="167" formatCode="[$-409]d\-mmm\-yyyy;@"/>
    <numFmt numFmtId="168" formatCode="&quot;$&quot;#,##0.00"/>
    <numFmt numFmtId="169" formatCode="ddd"/>
    <numFmt numFmtId="170" formatCode="&quot;$&quot;#,##0"/>
    <numFmt numFmtId="171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3" tint="0.59999389629810485"/>
        <bgColor rgb="FF026227"/>
      </patternFill>
    </fill>
    <fill>
      <patternFill patternType="solid">
        <fgColor theme="2"/>
        <bgColor rgb="FF026227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double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3" fillId="0" borderId="0" xfId="1" applyFont="1"/>
    <xf numFmtId="0" fontId="5" fillId="0" borderId="0" xfId="0" applyFont="1"/>
    <xf numFmtId="44" fontId="5" fillId="0" borderId="0" xfId="0" applyNumberFormat="1" applyFont="1"/>
    <xf numFmtId="20" fontId="3" fillId="0" borderId="0" xfId="1" applyNumberFormat="1" applyFont="1" applyAlignment="1">
      <alignment horizontal="center"/>
    </xf>
    <xf numFmtId="0" fontId="3" fillId="0" borderId="0" xfId="1" applyFont="1" applyFill="1" applyBorder="1"/>
    <xf numFmtId="168" fontId="4" fillId="0" borderId="0" xfId="0" applyNumberFormat="1" applyFont="1" applyAlignment="1">
      <alignment horizontal="left"/>
    </xf>
    <xf numFmtId="0" fontId="6" fillId="0" borderId="0" xfId="1" applyFont="1" applyFill="1" applyBorder="1" applyAlignment="1"/>
    <xf numFmtId="4" fontId="6" fillId="0" borderId="0" xfId="1" applyNumberFormat="1" applyFont="1" applyFill="1" applyBorder="1"/>
    <xf numFmtId="6" fontId="3" fillId="0" borderId="0" xfId="1" applyNumberFormat="1" applyFont="1" applyFill="1" applyBorder="1"/>
    <xf numFmtId="164" fontId="6" fillId="0" borderId="0" xfId="1" applyNumberFormat="1" applyFont="1" applyFill="1" applyBorder="1" applyAlignment="1">
      <alignment horizontal="center"/>
    </xf>
    <xf numFmtId="0" fontId="3" fillId="0" borderId="0" xfId="1" applyFont="1" applyFill="1"/>
    <xf numFmtId="14" fontId="6" fillId="0" borderId="0" xfId="1" applyNumberFormat="1" applyFont="1" applyFill="1" applyBorder="1"/>
    <xf numFmtId="0" fontId="6" fillId="0" borderId="0" xfId="1" applyFont="1" applyFill="1" applyBorder="1"/>
    <xf numFmtId="0" fontId="3" fillId="0" borderId="0" xfId="1" applyFont="1" applyBorder="1"/>
    <xf numFmtId="166" fontId="6" fillId="4" borderId="1" xfId="1" applyNumberFormat="1" applyFont="1" applyFill="1" applyBorder="1" applyAlignment="1">
      <alignment horizontal="center"/>
    </xf>
    <xf numFmtId="18" fontId="6" fillId="4" borderId="1" xfId="1" applyNumberFormat="1" applyFont="1" applyFill="1" applyBorder="1" applyAlignment="1">
      <alignment horizontal="center"/>
    </xf>
    <xf numFmtId="169" fontId="6" fillId="2" borderId="1" xfId="1" applyNumberFormat="1" applyFont="1" applyFill="1" applyBorder="1" applyAlignment="1">
      <alignment horizontal="left"/>
    </xf>
    <xf numFmtId="165" fontId="3" fillId="2" borderId="1" xfId="1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168" fontId="0" fillId="0" borderId="0" xfId="0" applyNumberFormat="1"/>
    <xf numFmtId="0" fontId="0" fillId="0" borderId="6" xfId="0" applyBorder="1"/>
    <xf numFmtId="2" fontId="10" fillId="6" borderId="7" xfId="8" applyNumberFormat="1" applyBorder="1"/>
    <xf numFmtId="0" fontId="0" fillId="0" borderId="8" xfId="0" applyBorder="1"/>
    <xf numFmtId="168" fontId="10" fillId="6" borderId="7" xfId="8" applyNumberFormat="1" applyBorder="1"/>
    <xf numFmtId="0" fontId="10" fillId="6" borderId="2" xfId="8" applyAlignment="1">
      <alignment horizontal="center"/>
    </xf>
    <xf numFmtId="0" fontId="10" fillId="6" borderId="7" xfId="8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0" fontId="10" fillId="6" borderId="7" xfId="8" applyNumberFormat="1" applyBorder="1"/>
    <xf numFmtId="170" fontId="0" fillId="0" borderId="0" xfId="5" applyNumberFormat="1" applyFont="1" applyAlignment="1">
      <alignment horizontal="right"/>
    </xf>
    <xf numFmtId="9" fontId="10" fillId="6" borderId="2" xfId="8" applyNumberFormat="1" applyAlignment="1">
      <alignment horizontal="center"/>
    </xf>
    <xf numFmtId="9" fontId="10" fillId="6" borderId="7" xfId="8" applyNumberFormat="1" applyBorder="1" applyAlignment="1">
      <alignment horizontal="center"/>
    </xf>
    <xf numFmtId="0" fontId="12" fillId="0" borderId="6" xfId="9" applyBorder="1"/>
    <xf numFmtId="10" fontId="10" fillId="6" borderId="2" xfId="8" applyNumberFormat="1" applyAlignment="1">
      <alignment horizontal="center"/>
    </xf>
    <xf numFmtId="170" fontId="10" fillId="6" borderId="2" xfId="8" applyNumberFormat="1" applyAlignment="1">
      <alignment horizontal="right"/>
    </xf>
    <xf numFmtId="0" fontId="0" fillId="0" borderId="9" xfId="0" applyBorder="1"/>
    <xf numFmtId="168" fontId="10" fillId="6" borderId="10" xfId="8" applyNumberFormat="1" applyBorder="1"/>
    <xf numFmtId="171" fontId="10" fillId="6" borderId="2" xfId="8" applyNumberForma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168" fontId="9" fillId="5" borderId="8" xfId="7" applyNumberFormat="1" applyBorder="1"/>
    <xf numFmtId="168" fontId="10" fillId="6" borderId="2" xfId="8" applyNumberFormat="1" applyAlignment="1">
      <alignment horizontal="center"/>
    </xf>
    <xf numFmtId="168" fontId="0" fillId="0" borderId="11" xfId="0" applyNumberFormat="1" applyBorder="1"/>
    <xf numFmtId="0" fontId="12" fillId="0" borderId="9" xfId="9" applyBorder="1"/>
    <xf numFmtId="10" fontId="10" fillId="6" borderId="12" xfId="8" applyNumberFormat="1" applyBorder="1" applyAlignment="1">
      <alignment horizontal="center"/>
    </xf>
    <xf numFmtId="0" fontId="0" fillId="0" borderId="13" xfId="0" applyBorder="1"/>
    <xf numFmtId="170" fontId="10" fillId="6" borderId="12" xfId="8" applyNumberFormat="1" applyBorder="1" applyAlignment="1">
      <alignment horizontal="right"/>
    </xf>
    <xf numFmtId="9" fontId="10" fillId="6" borderId="12" xfId="8" applyNumberFormat="1" applyBorder="1" applyAlignment="1">
      <alignment horizontal="center"/>
    </xf>
    <xf numFmtId="9" fontId="10" fillId="6" borderId="10" xfId="8" applyNumberFormat="1" applyBorder="1" applyAlignment="1">
      <alignment horizontal="center"/>
    </xf>
    <xf numFmtId="168" fontId="0" fillId="0" borderId="8" xfId="0" applyNumberFormat="1" applyBorder="1"/>
    <xf numFmtId="0" fontId="11" fillId="0" borderId="9" xfId="0" applyFont="1" applyBorder="1"/>
    <xf numFmtId="168" fontId="9" fillId="5" borderId="14" xfId="7" applyNumberFormat="1" applyBorder="1"/>
    <xf numFmtId="0" fontId="11" fillId="0" borderId="6" xfId="0" applyFont="1" applyBorder="1"/>
    <xf numFmtId="0" fontId="0" fillId="8" borderId="15" xfId="0" applyFill="1" applyBorder="1"/>
    <xf numFmtId="168" fontId="0" fillId="8" borderId="15" xfId="0" applyNumberFormat="1" applyFill="1" applyBorder="1"/>
    <xf numFmtId="168" fontId="0" fillId="8" borderId="16" xfId="0" applyNumberFormat="1" applyFill="1" applyBorder="1"/>
    <xf numFmtId="168" fontId="0" fillId="8" borderId="17" xfId="0" applyNumberFormat="1" applyFill="1" applyBorder="1"/>
    <xf numFmtId="0" fontId="0" fillId="0" borderId="0" xfId="0" applyAlignment="1">
      <alignment wrapText="1"/>
    </xf>
    <xf numFmtId="9" fontId="0" fillId="8" borderId="15" xfId="6" applyFont="1" applyFill="1" applyBorder="1" applyAlignment="1">
      <alignment horizontal="right"/>
    </xf>
    <xf numFmtId="168" fontId="0" fillId="8" borderId="15" xfId="0" applyNumberFormat="1" applyFill="1" applyBorder="1" applyAlignment="1">
      <alignment horizontal="right"/>
    </xf>
    <xf numFmtId="168" fontId="0" fillId="8" borderId="16" xfId="0" applyNumberFormat="1" applyFill="1" applyBorder="1" applyAlignment="1">
      <alignment horizontal="right"/>
    </xf>
    <xf numFmtId="168" fontId="0" fillId="8" borderId="18" xfId="0" applyNumberFormat="1" applyFill="1" applyBorder="1" applyAlignment="1">
      <alignment horizontal="right"/>
    </xf>
    <xf numFmtId="0" fontId="10" fillId="6" borderId="7" xfId="8" applyBorder="1" applyAlignment="1">
      <alignment horizontal="right"/>
    </xf>
    <xf numFmtId="14" fontId="3" fillId="2" borderId="19" xfId="1" applyNumberFormat="1" applyFont="1" applyFill="1" applyBorder="1" applyAlignment="1">
      <alignment horizontal="center"/>
    </xf>
    <xf numFmtId="39" fontId="3" fillId="2" borderId="20" xfId="2" applyNumberFormat="1" applyFont="1" applyFill="1" applyBorder="1" applyAlignment="1">
      <alignment horizontal="center"/>
    </xf>
    <xf numFmtId="14" fontId="3" fillId="2" borderId="21" xfId="1" applyNumberFormat="1" applyFont="1" applyFill="1" applyBorder="1" applyAlignment="1">
      <alignment horizontal="center"/>
    </xf>
    <xf numFmtId="169" fontId="6" fillId="2" borderId="22" xfId="1" applyNumberFormat="1" applyFont="1" applyFill="1" applyBorder="1" applyAlignment="1">
      <alignment horizontal="left"/>
    </xf>
    <xf numFmtId="18" fontId="6" fillId="4" borderId="22" xfId="1" applyNumberFormat="1" applyFont="1" applyFill="1" applyBorder="1" applyAlignment="1">
      <alignment horizontal="center"/>
    </xf>
    <xf numFmtId="165" fontId="3" fillId="2" borderId="22" xfId="1" applyNumberFormat="1" applyFont="1" applyFill="1" applyBorder="1" applyAlignment="1">
      <alignment horizontal="center"/>
    </xf>
    <xf numFmtId="166" fontId="6" fillId="4" borderId="22" xfId="1" applyNumberFormat="1" applyFont="1" applyFill="1" applyBorder="1" applyAlignment="1">
      <alignment horizontal="center"/>
    </xf>
    <xf numFmtId="39" fontId="3" fillId="2" borderId="23" xfId="2" applyNumberFormat="1" applyFont="1" applyFill="1" applyBorder="1" applyAlignment="1">
      <alignment horizontal="center"/>
    </xf>
    <xf numFmtId="14" fontId="3" fillId="2" borderId="24" xfId="1" applyNumberFormat="1" applyFont="1" applyFill="1" applyBorder="1" applyAlignment="1">
      <alignment horizontal="center"/>
    </xf>
    <xf numFmtId="169" fontId="6" fillId="2" borderId="25" xfId="1" applyNumberFormat="1" applyFont="1" applyFill="1" applyBorder="1" applyAlignment="1">
      <alignment horizontal="left"/>
    </xf>
    <xf numFmtId="18" fontId="6" fillId="4" borderId="25" xfId="1" applyNumberFormat="1" applyFont="1" applyFill="1" applyBorder="1" applyAlignment="1">
      <alignment horizontal="center"/>
    </xf>
    <xf numFmtId="165" fontId="3" fillId="2" borderId="25" xfId="1" applyNumberFormat="1" applyFont="1" applyFill="1" applyBorder="1" applyAlignment="1">
      <alignment horizontal="center"/>
    </xf>
    <xf numFmtId="166" fontId="6" fillId="4" borderId="25" xfId="1" applyNumberFormat="1" applyFont="1" applyFill="1" applyBorder="1" applyAlignment="1">
      <alignment horizontal="center"/>
    </xf>
    <xf numFmtId="39" fontId="3" fillId="2" borderId="26" xfId="2" applyNumberFormat="1" applyFont="1" applyFill="1" applyBorder="1" applyAlignment="1">
      <alignment horizontal="center"/>
    </xf>
    <xf numFmtId="0" fontId="6" fillId="3" borderId="29" xfId="1" applyFont="1" applyFill="1" applyBorder="1" applyAlignment="1">
      <alignment horizontal="center"/>
    </xf>
    <xf numFmtId="0" fontId="6" fillId="3" borderId="30" xfId="1" applyFont="1" applyFill="1" applyBorder="1" applyAlignment="1">
      <alignment horizontal="center"/>
    </xf>
    <xf numFmtId="2" fontId="0" fillId="0" borderId="31" xfId="0" applyNumberFormat="1" applyBorder="1"/>
    <xf numFmtId="0" fontId="6" fillId="3" borderId="34" xfId="1" applyFont="1" applyFill="1" applyBorder="1" applyAlignment="1"/>
    <xf numFmtId="0" fontId="6" fillId="3" borderId="35" xfId="1" applyFont="1" applyFill="1" applyBorder="1" applyAlignment="1"/>
    <xf numFmtId="0" fontId="6" fillId="3" borderId="36" xfId="1" applyFont="1" applyFill="1" applyBorder="1" applyAlignment="1"/>
    <xf numFmtId="0" fontId="3" fillId="0" borderId="4" xfId="1" applyFont="1" applyBorder="1" applyAlignment="1">
      <alignment horizontal="left"/>
    </xf>
    <xf numFmtId="0" fontId="3" fillId="0" borderId="32" xfId="1" applyFont="1" applyBorder="1" applyAlignment="1">
      <alignment horizontal="left"/>
    </xf>
    <xf numFmtId="167" fontId="3" fillId="0" borderId="33" xfId="1" applyNumberFormat="1" applyFont="1" applyBorder="1" applyAlignment="1">
      <alignment horizontal="left"/>
    </xf>
    <xf numFmtId="0" fontId="6" fillId="3" borderId="27" xfId="1" applyFont="1" applyFill="1" applyBorder="1" applyAlignment="1">
      <alignment horizontal="center"/>
    </xf>
    <xf numFmtId="0" fontId="6" fillId="3" borderId="28" xfId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2" fillId="0" borderId="0" xfId="9" applyAlignment="1">
      <alignment horizontal="center"/>
    </xf>
    <xf numFmtId="0" fontId="12" fillId="0" borderId="8" xfId="9" applyBorder="1" applyAlignment="1">
      <alignment horizontal="center"/>
    </xf>
    <xf numFmtId="0" fontId="11" fillId="0" borderId="8" xfId="0" applyFont="1" applyBorder="1" applyAlignment="1">
      <alignment horizontal="center"/>
    </xf>
    <xf numFmtId="2" fontId="5" fillId="0" borderId="33" xfId="5" applyNumberFormat="1" applyFont="1" applyBorder="1"/>
    <xf numFmtId="2" fontId="5" fillId="0" borderId="32" xfId="5" applyNumberFormat="1" applyFont="1" applyBorder="1"/>
  </cellXfs>
  <cellStyles count="10">
    <cellStyle name="Comma 2" xfId="2" xr:uid="{00000000-0005-0000-0000-000000000000}"/>
    <cellStyle name="Currency" xfId="5" builtinId="4"/>
    <cellStyle name="Currency 2" xfId="3" xr:uid="{00000000-0005-0000-0000-000002000000}"/>
    <cellStyle name="Good" xfId="7" builtinId="26"/>
    <cellStyle name="Hyperlink" xfId="9" builtinId="8"/>
    <cellStyle name="Input" xfId="8" builtinId="20"/>
    <cellStyle name="Normal" xfId="0" builtinId="0"/>
    <cellStyle name="Normal 2" xfId="4" xr:uid="{00000000-0005-0000-0000-000007000000}"/>
    <cellStyle name="Normal 3" xfId="1" xr:uid="{00000000-0005-0000-0000-000008000000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14</xdr:row>
      <xdr:rowOff>0</xdr:rowOff>
    </xdr:from>
    <xdr:to>
      <xdr:col>11</xdr:col>
      <xdr:colOff>600075</xdr:colOff>
      <xdr:row>27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952874" y="2714625"/>
          <a:ext cx="5543551" cy="27051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Instructions:</a:t>
          </a:r>
        </a:p>
        <a:p>
          <a:r>
            <a:rPr lang="en-US" sz="1100"/>
            <a:t>Enter your information</a:t>
          </a:r>
          <a:r>
            <a:rPr lang="en-US" sz="1100" baseline="0"/>
            <a:t> in the Employee Information Table.</a:t>
          </a:r>
        </a:p>
        <a:p>
          <a:endParaRPr lang="en-US" sz="1100" baseline="0"/>
        </a:p>
        <a:p>
          <a:r>
            <a:rPr lang="en-US" sz="1100" baseline="0"/>
            <a:t>Ensure the tax rates are updated to current year by clicking on hyperlinks.</a:t>
          </a:r>
        </a:p>
        <a:p>
          <a:endParaRPr lang="en-US" sz="1100" baseline="0"/>
        </a:p>
        <a:p>
          <a:r>
            <a:rPr lang="en-US" sz="1100" baseline="0"/>
            <a:t>Income brackets are divided by number of paychecks per year.</a:t>
          </a:r>
        </a:p>
        <a:p>
          <a:endParaRPr lang="en-US" sz="1100" baseline="0"/>
        </a:p>
        <a:p>
          <a:r>
            <a:rPr lang="en-US" sz="1100" baseline="0"/>
            <a:t>Overtime pay is calculated at 1.5 normal pay rate when C3&gt;F4. See C24.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Disclaimer: I am not an accountant. This is just a tool to estimate taxes and deductions. If you have corrections I am open to them.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r"/>
          <a:r>
            <a:rPr lang="en-US" sz="1000" baseline="0">
              <a:solidFill>
                <a:schemeClr val="bg1">
                  <a:lumMod val="50000"/>
                </a:schemeClr>
              </a:solidFill>
            </a:rPr>
            <a:t>Created by Jacob Benge</a:t>
          </a:r>
        </a:p>
        <a:p>
          <a:pPr algn="r"/>
          <a:r>
            <a:rPr lang="en-US" sz="1000" baseline="0">
              <a:solidFill>
                <a:schemeClr val="bg1">
                  <a:lumMod val="50000"/>
                </a:schemeClr>
              </a:solidFill>
            </a:rPr>
            <a:t>Benge.jacob@gmail.com</a:t>
          </a:r>
          <a:endParaRPr lang="en-US" sz="10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bertytax.com/tax-lounge/how-many-allowances-should-i-claim-on-form-w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taxfoundation.org/2020-tax-brackets/" TargetMode="External"/><Relationship Id="rId1" Type="http://schemas.openxmlformats.org/officeDocument/2006/relationships/hyperlink" Target="https://incometax.utah.gov/paying/tax-rates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irs.gov/taxtopics/tc751" TargetMode="External"/><Relationship Id="rId4" Type="http://schemas.openxmlformats.org/officeDocument/2006/relationships/hyperlink" Target="https://www.irs.gov/taxtopics/tc7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AA35"/>
  <sheetViews>
    <sheetView zoomScaleNormal="100" workbookViewId="0">
      <selection activeCell="M17" sqref="M17"/>
    </sheetView>
  </sheetViews>
  <sheetFormatPr defaultRowHeight="15.75" x14ac:dyDescent="0.25"/>
  <cols>
    <col min="1" max="1" width="9.140625" style="2"/>
    <col min="2" max="2" width="11.85546875" style="2" bestFit="1" customWidth="1"/>
    <col min="3" max="3" width="5.5703125" style="2" bestFit="1" customWidth="1"/>
    <col min="4" max="5" width="13.7109375" style="2" customWidth="1"/>
    <col min="6" max="6" width="9.42578125" style="2" bestFit="1" customWidth="1"/>
    <col min="7" max="8" width="13.7109375" style="2" customWidth="1"/>
    <col min="9" max="9" width="9.42578125" style="2" bestFit="1" customWidth="1"/>
    <col min="10" max="10" width="11.42578125" style="2" bestFit="1" customWidth="1"/>
    <col min="11" max="11" width="10.140625" style="2" customWidth="1"/>
    <col min="12" max="12" width="18" style="2" bestFit="1" customWidth="1"/>
    <col min="13" max="13" width="12.5703125" style="2" bestFit="1" customWidth="1"/>
    <col min="14" max="14" width="9.5703125" style="2" bestFit="1" customWidth="1"/>
    <col min="15" max="22" width="9.140625" style="2"/>
    <col min="23" max="23" width="9.5703125" style="2" bestFit="1" customWidth="1"/>
    <col min="24" max="25" width="9.140625" style="2"/>
    <col min="26" max="26" width="10.7109375" style="2" bestFit="1" customWidth="1"/>
    <col min="27" max="27" width="10.5703125" style="2" bestFit="1" customWidth="1"/>
    <col min="28" max="16384" width="9.140625" style="2"/>
  </cols>
  <sheetData>
    <row r="1" spans="2:27" ht="16.5" thickBot="1" x14ac:dyDescent="0.3"/>
    <row r="2" spans="2:27" ht="16.5" thickBot="1" x14ac:dyDescent="0.3">
      <c r="B2" s="88" t="s">
        <v>0</v>
      </c>
      <c r="C2" s="89"/>
      <c r="D2" s="79" t="s">
        <v>1</v>
      </c>
      <c r="E2" s="79" t="s">
        <v>2</v>
      </c>
      <c r="F2" s="79" t="s">
        <v>7</v>
      </c>
      <c r="G2" s="79" t="s">
        <v>1</v>
      </c>
      <c r="H2" s="79" t="s">
        <v>2</v>
      </c>
      <c r="I2" s="79" t="s">
        <v>7</v>
      </c>
      <c r="J2" s="80" t="s">
        <v>3</v>
      </c>
      <c r="L2" s="82" t="s">
        <v>4</v>
      </c>
      <c r="M2" s="85" t="s">
        <v>8</v>
      </c>
      <c r="AA2" s="3"/>
    </row>
    <row r="3" spans="2:27" x14ac:dyDescent="0.25">
      <c r="B3" s="73">
        <f>$M$4</f>
        <v>44197</v>
      </c>
      <c r="C3" s="74">
        <f t="shared" ref="C3:C19" si="0">B3</f>
        <v>44197</v>
      </c>
      <c r="D3" s="75">
        <v>0.375</v>
      </c>
      <c r="E3" s="75">
        <v>0.5</v>
      </c>
      <c r="F3" s="76">
        <f t="shared" ref="F3:F19" si="1">E3-D3</f>
        <v>0.125</v>
      </c>
      <c r="G3" s="77">
        <v>0.54166666666666663</v>
      </c>
      <c r="H3" s="75">
        <v>0.70833333333333337</v>
      </c>
      <c r="I3" s="76">
        <f>H3-G3</f>
        <v>0.16666666666666674</v>
      </c>
      <c r="J3" s="78">
        <f t="shared" ref="J3:J16" si="2">(F3*24)+(I3*24)</f>
        <v>7.0000000000000018</v>
      </c>
      <c r="L3" s="83" t="s">
        <v>5</v>
      </c>
      <c r="M3" s="86" t="s">
        <v>57</v>
      </c>
      <c r="AA3" s="3"/>
    </row>
    <row r="4" spans="2:27" ht="16.5" thickBot="1" x14ac:dyDescent="0.3">
      <c r="B4" s="65">
        <f>$M$4+1</f>
        <v>44198</v>
      </c>
      <c r="C4" s="17">
        <f t="shared" si="0"/>
        <v>44198</v>
      </c>
      <c r="D4" s="16"/>
      <c r="E4" s="16"/>
      <c r="F4" s="18">
        <f t="shared" ref="F4" si="3">E4-D4</f>
        <v>0</v>
      </c>
      <c r="G4" s="15"/>
      <c r="H4" s="16"/>
      <c r="I4" s="18">
        <f>H4-G4</f>
        <v>0</v>
      </c>
      <c r="J4" s="66">
        <f t="shared" ref="J4" si="4">(F4*24)+(I4*24)</f>
        <v>0</v>
      </c>
      <c r="L4" s="84" t="s">
        <v>6</v>
      </c>
      <c r="M4" s="87">
        <v>44197</v>
      </c>
      <c r="AA4" s="3"/>
    </row>
    <row r="5" spans="2:27" x14ac:dyDescent="0.25">
      <c r="B5" s="65">
        <f>$M$4+2</f>
        <v>44199</v>
      </c>
      <c r="C5" s="17">
        <f t="shared" si="0"/>
        <v>44199</v>
      </c>
      <c r="D5" s="16"/>
      <c r="E5" s="16"/>
      <c r="F5" s="18">
        <f t="shared" ref="F5:F10" si="5">E5-D5</f>
        <v>0</v>
      </c>
      <c r="G5" s="15"/>
      <c r="H5" s="16"/>
      <c r="I5" s="18">
        <f>H5-G5</f>
        <v>0</v>
      </c>
      <c r="J5" s="66">
        <f t="shared" si="2"/>
        <v>0</v>
      </c>
      <c r="AA5" s="3"/>
    </row>
    <row r="6" spans="2:27" ht="16.5" thickBot="1" x14ac:dyDescent="0.3">
      <c r="B6" s="65">
        <f>$M$4+3</f>
        <v>44200</v>
      </c>
      <c r="C6" s="17">
        <f t="shared" si="0"/>
        <v>44200</v>
      </c>
      <c r="D6" s="16">
        <v>0.375</v>
      </c>
      <c r="E6" s="16">
        <v>0.5</v>
      </c>
      <c r="F6" s="18">
        <f t="shared" si="5"/>
        <v>0.125</v>
      </c>
      <c r="G6" s="15">
        <v>0.54166666666666663</v>
      </c>
      <c r="H6" s="16">
        <v>0.70833333333333337</v>
      </c>
      <c r="I6" s="18">
        <f t="shared" ref="I6:I16" si="6">H6-G6</f>
        <v>0.16666666666666674</v>
      </c>
      <c r="J6" s="66">
        <f t="shared" si="2"/>
        <v>7.0000000000000018</v>
      </c>
      <c r="AA6" s="3"/>
    </row>
    <row r="7" spans="2:27" ht="15.75" customHeight="1" x14ac:dyDescent="0.25">
      <c r="B7" s="65">
        <f>$M$4+4</f>
        <v>44201</v>
      </c>
      <c r="C7" s="17">
        <f t="shared" si="0"/>
        <v>44201</v>
      </c>
      <c r="D7" s="16">
        <v>0.375</v>
      </c>
      <c r="E7" s="16">
        <v>0.5</v>
      </c>
      <c r="F7" s="18">
        <f t="shared" si="5"/>
        <v>0.125</v>
      </c>
      <c r="G7" s="15">
        <v>0.54166666666666663</v>
      </c>
      <c r="H7" s="16">
        <v>0.70833333333333337</v>
      </c>
      <c r="I7" s="18">
        <f t="shared" si="6"/>
        <v>0.16666666666666674</v>
      </c>
      <c r="J7" s="66">
        <f t="shared" si="2"/>
        <v>7.0000000000000018</v>
      </c>
      <c r="L7" s="82" t="s">
        <v>55</v>
      </c>
      <c r="M7" s="81">
        <f>(SUM(J3:J19))</f>
        <v>77.000000000000014</v>
      </c>
      <c r="Z7" s="3"/>
    </row>
    <row r="8" spans="2:27" x14ac:dyDescent="0.25">
      <c r="B8" s="65">
        <f>$M$4+5</f>
        <v>44202</v>
      </c>
      <c r="C8" s="17">
        <f t="shared" si="0"/>
        <v>44202</v>
      </c>
      <c r="D8" s="16">
        <v>0.375</v>
      </c>
      <c r="E8" s="16">
        <v>0.5</v>
      </c>
      <c r="F8" s="18">
        <f t="shared" si="5"/>
        <v>0.125</v>
      </c>
      <c r="G8" s="15">
        <v>0.54166666666666663</v>
      </c>
      <c r="H8" s="16">
        <v>0.70833333333333337</v>
      </c>
      <c r="I8" s="18">
        <f t="shared" si="6"/>
        <v>0.16666666666666674</v>
      </c>
      <c r="J8" s="66">
        <f t="shared" si="2"/>
        <v>7.0000000000000018</v>
      </c>
      <c r="L8" s="83" t="s">
        <v>54</v>
      </c>
      <c r="M8" s="100"/>
      <c r="Z8" s="3"/>
    </row>
    <row r="9" spans="2:27" ht="16.5" thickBot="1" x14ac:dyDescent="0.3">
      <c r="B9" s="65">
        <f>$M$4+6</f>
        <v>44203</v>
      </c>
      <c r="C9" s="17">
        <f t="shared" si="0"/>
        <v>44203</v>
      </c>
      <c r="D9" s="16">
        <v>0.375</v>
      </c>
      <c r="E9" s="16">
        <v>0.5</v>
      </c>
      <c r="F9" s="18">
        <f t="shared" si="5"/>
        <v>0.125</v>
      </c>
      <c r="G9" s="15">
        <v>0.54166666666666663</v>
      </c>
      <c r="H9" s="16">
        <v>0.70833333333333337</v>
      </c>
      <c r="I9" s="18">
        <f t="shared" si="6"/>
        <v>0.16666666666666674</v>
      </c>
      <c r="J9" s="66">
        <f t="shared" si="2"/>
        <v>7.0000000000000018</v>
      </c>
      <c r="L9" s="84" t="s">
        <v>56</v>
      </c>
      <c r="M9" s="99">
        <f>SUM(M7:M8)</f>
        <v>77.000000000000014</v>
      </c>
      <c r="Z9" s="3"/>
    </row>
    <row r="10" spans="2:27" x14ac:dyDescent="0.25">
      <c r="B10" s="65">
        <f>$M$4+7</f>
        <v>44204</v>
      </c>
      <c r="C10" s="17">
        <f t="shared" si="0"/>
        <v>44204</v>
      </c>
      <c r="D10" s="16">
        <v>0.375</v>
      </c>
      <c r="E10" s="16">
        <v>0.5</v>
      </c>
      <c r="F10" s="18">
        <f t="shared" si="5"/>
        <v>0.125</v>
      </c>
      <c r="G10" s="15">
        <v>0.54166666666666663</v>
      </c>
      <c r="H10" s="16">
        <v>0.70833333333333337</v>
      </c>
      <c r="I10" s="18">
        <f>H10-G10</f>
        <v>0.16666666666666674</v>
      </c>
      <c r="J10" s="66">
        <f t="shared" si="2"/>
        <v>7.0000000000000018</v>
      </c>
      <c r="Z10" s="3"/>
    </row>
    <row r="11" spans="2:27" x14ac:dyDescent="0.25">
      <c r="B11" s="65">
        <f>$M$4+8</f>
        <v>44205</v>
      </c>
      <c r="C11" s="17">
        <f t="shared" si="0"/>
        <v>44205</v>
      </c>
      <c r="D11" s="16"/>
      <c r="E11" s="16"/>
      <c r="F11" s="18">
        <f t="shared" si="1"/>
        <v>0</v>
      </c>
      <c r="G11" s="15"/>
      <c r="H11" s="16"/>
      <c r="I11" s="18">
        <f>H11-G11</f>
        <v>0</v>
      </c>
      <c r="J11" s="66">
        <f>(F11*24)+(I11*24)</f>
        <v>0</v>
      </c>
    </row>
    <row r="12" spans="2:27" x14ac:dyDescent="0.25">
      <c r="B12" s="65">
        <f>$M$4+9</f>
        <v>44206</v>
      </c>
      <c r="C12" s="17">
        <f t="shared" si="0"/>
        <v>44206</v>
      </c>
      <c r="D12" s="16"/>
      <c r="E12" s="16"/>
      <c r="F12" s="18">
        <f t="shared" ref="F12:F17" si="7">E12-D12</f>
        <v>0</v>
      </c>
      <c r="G12" s="15"/>
      <c r="H12" s="16"/>
      <c r="I12" s="18">
        <f>H12-G12</f>
        <v>0</v>
      </c>
      <c r="J12" s="66">
        <f t="shared" si="2"/>
        <v>0</v>
      </c>
    </row>
    <row r="13" spans="2:27" x14ac:dyDescent="0.25">
      <c r="B13" s="65">
        <f>$M$4+10</f>
        <v>44207</v>
      </c>
      <c r="C13" s="17">
        <f t="shared" si="0"/>
        <v>44207</v>
      </c>
      <c r="D13" s="16">
        <v>0.375</v>
      </c>
      <c r="E13" s="16">
        <v>0.5</v>
      </c>
      <c r="F13" s="18">
        <f t="shared" si="7"/>
        <v>0.125</v>
      </c>
      <c r="G13" s="15">
        <v>0.54166666666666663</v>
      </c>
      <c r="H13" s="16">
        <v>0.70833333333333337</v>
      </c>
      <c r="I13" s="18">
        <f t="shared" si="6"/>
        <v>0.16666666666666674</v>
      </c>
      <c r="J13" s="66">
        <f t="shared" si="2"/>
        <v>7.0000000000000018</v>
      </c>
    </row>
    <row r="14" spans="2:27" x14ac:dyDescent="0.25">
      <c r="B14" s="65">
        <f>$M$4+11</f>
        <v>44208</v>
      </c>
      <c r="C14" s="17">
        <f t="shared" si="0"/>
        <v>44208</v>
      </c>
      <c r="D14" s="16">
        <v>0.375</v>
      </c>
      <c r="E14" s="16">
        <v>0.5</v>
      </c>
      <c r="F14" s="18">
        <f t="shared" si="7"/>
        <v>0.125</v>
      </c>
      <c r="G14" s="15">
        <v>0.54166666666666663</v>
      </c>
      <c r="H14" s="16">
        <v>0.70833333333333337</v>
      </c>
      <c r="I14" s="18">
        <f t="shared" si="6"/>
        <v>0.16666666666666674</v>
      </c>
      <c r="J14" s="66">
        <f t="shared" si="2"/>
        <v>7.0000000000000018</v>
      </c>
    </row>
    <row r="15" spans="2:27" x14ac:dyDescent="0.25">
      <c r="B15" s="65">
        <f>$M$4+12</f>
        <v>44209</v>
      </c>
      <c r="C15" s="17">
        <f t="shared" si="0"/>
        <v>44209</v>
      </c>
      <c r="D15" s="16">
        <v>0.375</v>
      </c>
      <c r="E15" s="16">
        <v>0.5</v>
      </c>
      <c r="F15" s="18">
        <f t="shared" si="7"/>
        <v>0.125</v>
      </c>
      <c r="G15" s="15">
        <v>0.54166666666666663</v>
      </c>
      <c r="H15" s="16">
        <v>0.70833333333333337</v>
      </c>
      <c r="I15" s="18">
        <f t="shared" si="6"/>
        <v>0.16666666666666674</v>
      </c>
      <c r="J15" s="66">
        <f t="shared" si="2"/>
        <v>7.0000000000000018</v>
      </c>
    </row>
    <row r="16" spans="2:27" x14ac:dyDescent="0.25">
      <c r="B16" s="65">
        <f>$M$4+13</f>
        <v>44210</v>
      </c>
      <c r="C16" s="17">
        <f t="shared" si="0"/>
        <v>44210</v>
      </c>
      <c r="D16" s="16">
        <v>0.375</v>
      </c>
      <c r="E16" s="16">
        <v>0.5</v>
      </c>
      <c r="F16" s="18">
        <f t="shared" si="7"/>
        <v>0.125</v>
      </c>
      <c r="G16" s="15">
        <v>0.54166666666666663</v>
      </c>
      <c r="H16" s="16">
        <v>0.70833333333333337</v>
      </c>
      <c r="I16" s="18">
        <f t="shared" si="6"/>
        <v>0.16666666666666674</v>
      </c>
      <c r="J16" s="66">
        <f t="shared" si="2"/>
        <v>7.0000000000000018</v>
      </c>
    </row>
    <row r="17" spans="2:11" x14ac:dyDescent="0.25">
      <c r="B17" s="65">
        <f>$M$4+14</f>
        <v>44211</v>
      </c>
      <c r="C17" s="17">
        <f t="shared" si="0"/>
        <v>44211</v>
      </c>
      <c r="D17" s="16">
        <v>0.375</v>
      </c>
      <c r="E17" s="16">
        <v>0.5</v>
      </c>
      <c r="F17" s="18">
        <f t="shared" si="7"/>
        <v>0.125</v>
      </c>
      <c r="G17" s="15">
        <v>0.54166666666666663</v>
      </c>
      <c r="H17" s="16">
        <v>0.70833333333333337</v>
      </c>
      <c r="I17" s="18">
        <f>H17-G17</f>
        <v>0.16666666666666674</v>
      </c>
      <c r="J17" s="66">
        <f>(F17*24)+(I17*24)</f>
        <v>7.0000000000000018</v>
      </c>
    </row>
    <row r="18" spans="2:11" x14ac:dyDescent="0.25">
      <c r="B18" s="65">
        <f>$M$4+15</f>
        <v>44212</v>
      </c>
      <c r="C18" s="17">
        <f t="shared" si="0"/>
        <v>44212</v>
      </c>
      <c r="D18" s="16"/>
      <c r="E18" s="16"/>
      <c r="F18" s="18">
        <f t="shared" si="1"/>
        <v>0</v>
      </c>
      <c r="G18" s="15"/>
      <c r="H18" s="16"/>
      <c r="I18" s="18">
        <f>H18-G18</f>
        <v>0</v>
      </c>
      <c r="J18" s="66">
        <f>(F18*24)+(I18*24)</f>
        <v>0</v>
      </c>
    </row>
    <row r="19" spans="2:11" ht="18" customHeight="1" thickBot="1" x14ac:dyDescent="0.3">
      <c r="B19" s="67">
        <f>$M$4+16</f>
        <v>44213</v>
      </c>
      <c r="C19" s="68">
        <f t="shared" si="0"/>
        <v>44213</v>
      </c>
      <c r="D19" s="69"/>
      <c r="E19" s="69"/>
      <c r="F19" s="70">
        <f t="shared" si="1"/>
        <v>0</v>
      </c>
      <c r="G19" s="71"/>
      <c r="H19" s="69"/>
      <c r="I19" s="70">
        <f>H19-G19</f>
        <v>0</v>
      </c>
      <c r="J19" s="72">
        <f>(F19*24)+(I19*24)</f>
        <v>0</v>
      </c>
    </row>
    <row r="20" spans="2:11" ht="18" customHeight="1" x14ac:dyDescent="0.25">
      <c r="F20" s="4"/>
    </row>
    <row r="21" spans="2:11" ht="18" customHeight="1" x14ac:dyDescent="0.25"/>
    <row r="22" spans="2:11" ht="18" customHeight="1" x14ac:dyDescent="0.25"/>
    <row r="24" spans="2:11" x14ac:dyDescent="0.25">
      <c r="B24" s="1"/>
    </row>
    <row r="25" spans="2:11" x14ac:dyDescent="0.25">
      <c r="B25" s="1"/>
      <c r="G25" s="14"/>
    </row>
    <row r="26" spans="2:11" x14ac:dyDescent="0.25">
      <c r="F26" s="14"/>
      <c r="G26" s="20"/>
      <c r="H26" s="19"/>
    </row>
    <row r="27" spans="2:11" x14ac:dyDescent="0.25">
      <c r="B27" s="1"/>
      <c r="E27" s="7"/>
      <c r="F27" s="7"/>
    </row>
    <row r="28" spans="2:11" x14ac:dyDescent="0.25">
      <c r="B28" s="1"/>
      <c r="C28" s="8"/>
      <c r="D28" s="9"/>
      <c r="E28" s="9"/>
      <c r="F28" s="10"/>
      <c r="G28" s="1"/>
      <c r="H28" s="90"/>
      <c r="I28" s="90"/>
      <c r="J28" s="6"/>
    </row>
    <row r="29" spans="2:11" x14ac:dyDescent="0.25">
      <c r="B29" s="1"/>
      <c r="C29" s="10"/>
      <c r="D29" s="1"/>
      <c r="E29" s="1"/>
      <c r="F29" s="10"/>
      <c r="G29" s="1"/>
    </row>
    <row r="30" spans="2:11" x14ac:dyDescent="0.25">
      <c r="B30" s="1"/>
      <c r="C30" s="10"/>
      <c r="D30" s="1"/>
      <c r="E30" s="1"/>
      <c r="F30" s="10"/>
      <c r="G30" s="1"/>
      <c r="I30" s="11"/>
      <c r="J30" s="10"/>
    </row>
    <row r="31" spans="2:11" x14ac:dyDescent="0.25">
      <c r="B31" s="1"/>
      <c r="C31" s="10"/>
      <c r="D31" s="1"/>
      <c r="E31" s="1"/>
      <c r="F31" s="10"/>
      <c r="G31" s="1"/>
      <c r="H31" s="1"/>
      <c r="I31" s="5"/>
      <c r="J31" s="10"/>
      <c r="K31" s="11"/>
    </row>
    <row r="32" spans="2:11" x14ac:dyDescent="0.25">
      <c r="B32" s="1"/>
      <c r="C32" s="10"/>
      <c r="D32" s="1"/>
      <c r="E32" s="1"/>
      <c r="F32" s="10"/>
      <c r="G32" s="1"/>
      <c r="H32" s="1"/>
      <c r="I32" s="5"/>
      <c r="J32" s="10"/>
      <c r="K32" s="5"/>
    </row>
    <row r="33" spans="3:11" x14ac:dyDescent="0.25">
      <c r="C33" s="10"/>
      <c r="D33" s="1"/>
      <c r="E33" s="1"/>
      <c r="F33" s="10"/>
      <c r="G33" s="1"/>
      <c r="H33" s="1"/>
      <c r="I33" s="5"/>
      <c r="J33" s="10"/>
      <c r="K33" s="11"/>
    </row>
    <row r="34" spans="3:11" x14ac:dyDescent="0.25">
      <c r="C34" s="10"/>
      <c r="D34" s="1"/>
      <c r="E34" s="1"/>
      <c r="F34" s="10"/>
      <c r="G34" s="12"/>
      <c r="H34" s="5"/>
      <c r="I34" s="5"/>
      <c r="J34" s="10"/>
      <c r="K34" s="11"/>
    </row>
    <row r="35" spans="3:11" x14ac:dyDescent="0.25">
      <c r="C35" s="10"/>
      <c r="D35" s="12"/>
      <c r="E35" s="5"/>
      <c r="F35" s="10"/>
      <c r="G35" s="13"/>
      <c r="H35" s="5"/>
      <c r="I35" s="5"/>
      <c r="J35" s="10"/>
    </row>
  </sheetData>
  <mergeCells count="2">
    <mergeCell ref="B2:C2"/>
    <mergeCell ref="H28:I28"/>
  </mergeCells>
  <pageMargins left="0.7" right="0.7" top="0.75" bottom="0.75" header="0.3" footer="0.3"/>
  <pageSetup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abSelected="1" workbookViewId="0">
      <selection activeCell="C9" sqref="C9"/>
    </sheetView>
  </sheetViews>
  <sheetFormatPr defaultRowHeight="15" x14ac:dyDescent="0.25"/>
  <cols>
    <col min="2" max="2" width="31.85546875" customWidth="1"/>
    <col min="5" max="5" width="26.7109375" bestFit="1" customWidth="1"/>
    <col min="6" max="6" width="11.5703125" bestFit="1" customWidth="1"/>
    <col min="7" max="7" width="4.7109375" customWidth="1"/>
    <col min="10" max="10" width="3.7109375" customWidth="1"/>
    <col min="15" max="15" width="11.5703125" bestFit="1" customWidth="1"/>
    <col min="16" max="16" width="19.85546875" bestFit="1" customWidth="1"/>
    <col min="17" max="17" width="18.28515625" bestFit="1" customWidth="1"/>
  </cols>
  <sheetData>
    <row r="1" spans="1:12" ht="15.75" thickBot="1" x14ac:dyDescent="0.3">
      <c r="A1" s="21"/>
    </row>
    <row r="2" spans="1:12" x14ac:dyDescent="0.25">
      <c r="B2" s="93" t="s">
        <v>9</v>
      </c>
      <c r="C2" s="94"/>
      <c r="E2" s="93" t="s">
        <v>10</v>
      </c>
      <c r="F2" s="95"/>
      <c r="G2" s="95"/>
      <c r="H2" s="95"/>
      <c r="I2" s="95"/>
      <c r="J2" s="95"/>
      <c r="K2" s="95"/>
      <c r="L2" s="94"/>
    </row>
    <row r="3" spans="1:12" x14ac:dyDescent="0.25">
      <c r="B3" s="22" t="s">
        <v>11</v>
      </c>
      <c r="C3" s="23">
        <f>'Time Card'!M9</f>
        <v>77.000000000000014</v>
      </c>
      <c r="E3" s="22"/>
      <c r="L3" s="24"/>
    </row>
    <row r="4" spans="1:12" x14ac:dyDescent="0.25">
      <c r="B4" s="22" t="s">
        <v>12</v>
      </c>
      <c r="C4" s="25">
        <v>18</v>
      </c>
      <c r="E4" s="22" t="s">
        <v>13</v>
      </c>
      <c r="F4" s="26">
        <v>80</v>
      </c>
      <c r="H4" s="96" t="s">
        <v>14</v>
      </c>
      <c r="I4" s="96"/>
      <c r="J4" s="96"/>
      <c r="K4" s="96"/>
      <c r="L4" s="97"/>
    </row>
    <row r="5" spans="1:12" x14ac:dyDescent="0.25">
      <c r="B5" s="22" t="s">
        <v>15</v>
      </c>
      <c r="C5" s="64" t="s">
        <v>16</v>
      </c>
      <c r="E5" s="22" t="s">
        <v>17</v>
      </c>
      <c r="F5" s="26">
        <v>24</v>
      </c>
      <c r="H5" s="92" t="s">
        <v>18</v>
      </c>
      <c r="I5" s="92"/>
      <c r="K5" s="92" t="s">
        <v>19</v>
      </c>
      <c r="L5" s="98"/>
    </row>
    <row r="6" spans="1:12" x14ac:dyDescent="0.25">
      <c r="B6" s="22" t="s">
        <v>20</v>
      </c>
      <c r="C6" s="27">
        <v>0</v>
      </c>
      <c r="E6" s="91"/>
      <c r="F6" s="92"/>
      <c r="H6" s="28" t="s">
        <v>21</v>
      </c>
      <c r="I6" s="28" t="s">
        <v>22</v>
      </c>
      <c r="K6" s="28" t="s">
        <v>21</v>
      </c>
      <c r="L6" s="29" t="s">
        <v>22</v>
      </c>
    </row>
    <row r="7" spans="1:12" x14ac:dyDescent="0.25">
      <c r="B7" s="22" t="s">
        <v>23</v>
      </c>
      <c r="C7" s="30">
        <v>0.03</v>
      </c>
      <c r="E7" s="91" t="s">
        <v>24</v>
      </c>
      <c r="F7" s="92"/>
      <c r="H7" s="31">
        <v>0</v>
      </c>
      <c r="I7" s="32">
        <v>0.1</v>
      </c>
      <c r="K7" s="31">
        <v>0</v>
      </c>
      <c r="L7" s="33">
        <v>0.1</v>
      </c>
    </row>
    <row r="8" spans="1:12" x14ac:dyDescent="0.25">
      <c r="B8" s="22" t="s">
        <v>25</v>
      </c>
      <c r="C8" s="25">
        <v>250</v>
      </c>
      <c r="E8" s="34" t="s">
        <v>26</v>
      </c>
      <c r="F8" s="35">
        <v>1.4500000000000001E-2</v>
      </c>
      <c r="H8" s="36">
        <f>9875/F5</f>
        <v>411.45833333333331</v>
      </c>
      <c r="I8" s="32">
        <v>0.12</v>
      </c>
      <c r="K8" s="36">
        <f>14100/F5</f>
        <v>587.5</v>
      </c>
      <c r="L8" s="33">
        <v>0.12</v>
      </c>
    </row>
    <row r="9" spans="1:12" ht="15.75" thickBot="1" x14ac:dyDescent="0.3">
      <c r="B9" s="37" t="s">
        <v>27</v>
      </c>
      <c r="C9" s="38">
        <v>0</v>
      </c>
      <c r="E9" s="34" t="s">
        <v>28</v>
      </c>
      <c r="F9" s="39">
        <v>6.2E-2</v>
      </c>
      <c r="H9" s="36">
        <f>40125/F5</f>
        <v>1671.875</v>
      </c>
      <c r="I9" s="32">
        <v>0.22</v>
      </c>
      <c r="K9" s="36">
        <f>53700/F5</f>
        <v>2237.5</v>
      </c>
      <c r="L9" s="33">
        <v>0.22</v>
      </c>
    </row>
    <row r="10" spans="1:12" ht="15.75" thickBot="1" x14ac:dyDescent="0.3">
      <c r="E10" s="22"/>
      <c r="H10" s="36">
        <f>85525/F5</f>
        <v>3563.5416666666665</v>
      </c>
      <c r="I10" s="32">
        <v>0.24</v>
      </c>
      <c r="K10" s="36">
        <f>85500/F5</f>
        <v>3562.5</v>
      </c>
      <c r="L10" s="33">
        <v>0.24</v>
      </c>
    </row>
    <row r="11" spans="1:12" x14ac:dyDescent="0.25">
      <c r="B11" s="93" t="s">
        <v>29</v>
      </c>
      <c r="C11" s="94"/>
      <c r="E11" s="40" t="s">
        <v>30</v>
      </c>
      <c r="F11" s="41"/>
      <c r="H11" s="36">
        <f>163300/F5</f>
        <v>6804.166666666667</v>
      </c>
      <c r="I11" s="32">
        <v>0.32</v>
      </c>
      <c r="K11" s="36">
        <f>163300/F5</f>
        <v>6804.166666666667</v>
      </c>
      <c r="L11" s="33">
        <v>0.32</v>
      </c>
    </row>
    <row r="12" spans="1:12" x14ac:dyDescent="0.25">
      <c r="B12" s="54" t="s">
        <v>31</v>
      </c>
      <c r="C12" s="42">
        <f>C25</f>
        <v>1386.0000000000002</v>
      </c>
      <c r="E12" s="34" t="s">
        <v>32</v>
      </c>
      <c r="F12" s="43">
        <f>0/F5</f>
        <v>0</v>
      </c>
      <c r="H12" s="36">
        <f>207350/F5</f>
        <v>8639.5833333333339</v>
      </c>
      <c r="I12" s="32">
        <v>0.35</v>
      </c>
      <c r="K12" s="36">
        <f>207350/F5</f>
        <v>8639.5833333333339</v>
      </c>
      <c r="L12" s="33">
        <v>0.35</v>
      </c>
    </row>
    <row r="13" spans="1:12" ht="15.75" thickBot="1" x14ac:dyDescent="0.3">
      <c r="B13" s="22" t="s">
        <v>33</v>
      </c>
      <c r="C13" s="44">
        <f>C31</f>
        <v>291.58</v>
      </c>
      <c r="E13" s="45" t="s">
        <v>34</v>
      </c>
      <c r="F13" s="46">
        <v>4.9500000000000002E-2</v>
      </c>
      <c r="G13" s="47"/>
      <c r="H13" s="48">
        <f>518400/F5</f>
        <v>21600</v>
      </c>
      <c r="I13" s="49">
        <v>0.37</v>
      </c>
      <c r="J13" s="47"/>
      <c r="K13" s="48">
        <f>518400/F5</f>
        <v>21600</v>
      </c>
      <c r="L13" s="50">
        <v>0.37</v>
      </c>
    </row>
    <row r="14" spans="1:12" ht="15.75" thickTop="1" x14ac:dyDescent="0.25">
      <c r="B14" s="22" t="s">
        <v>35</v>
      </c>
      <c r="C14" s="51">
        <f>C33</f>
        <v>1094.4200000000003</v>
      </c>
    </row>
    <row r="15" spans="1:12" ht="15.75" thickBot="1" x14ac:dyDescent="0.3">
      <c r="B15" s="22" t="s">
        <v>36</v>
      </c>
      <c r="C15" s="44">
        <f>C43</f>
        <v>291.5331900000001</v>
      </c>
    </row>
    <row r="16" spans="1:12" ht="15.75" thickTop="1" x14ac:dyDescent="0.25">
      <c r="B16" s="22"/>
      <c r="C16" s="24"/>
    </row>
    <row r="17" spans="2:12" ht="15.75" thickBot="1" x14ac:dyDescent="0.3">
      <c r="B17" s="52" t="s">
        <v>37</v>
      </c>
      <c r="C17" s="53">
        <f>C14-C15</f>
        <v>802.8868100000002</v>
      </c>
    </row>
    <row r="18" spans="2:12" ht="15.75" thickBot="1" x14ac:dyDescent="0.3"/>
    <row r="19" spans="2:12" x14ac:dyDescent="0.25">
      <c r="B19" s="93" t="s">
        <v>38</v>
      </c>
      <c r="C19" s="94"/>
    </row>
    <row r="20" spans="2:12" x14ac:dyDescent="0.25">
      <c r="B20" s="54" t="s">
        <v>21</v>
      </c>
      <c r="C20" s="24"/>
    </row>
    <row r="21" spans="2:12" x14ac:dyDescent="0.25">
      <c r="B21" s="22" t="s">
        <v>11</v>
      </c>
      <c r="C21" s="55">
        <f>C3</f>
        <v>77.000000000000014</v>
      </c>
    </row>
    <row r="22" spans="2:12" x14ac:dyDescent="0.25">
      <c r="B22" s="22" t="s">
        <v>12</v>
      </c>
      <c r="C22" s="56">
        <f>C4</f>
        <v>18</v>
      </c>
    </row>
    <row r="23" spans="2:12" x14ac:dyDescent="0.25">
      <c r="B23" s="22" t="s">
        <v>39</v>
      </c>
      <c r="C23" s="56">
        <f>IF(C21&gt;=F4,F4,C21)*C22</f>
        <v>1386.0000000000002</v>
      </c>
    </row>
    <row r="24" spans="2:12" ht="15.75" thickBot="1" x14ac:dyDescent="0.3">
      <c r="B24" s="22" t="s">
        <v>40</v>
      </c>
      <c r="C24" s="57">
        <f>1.5*C4*IF(C21&gt;F4,C21-F4,0)</f>
        <v>0</v>
      </c>
    </row>
    <row r="25" spans="2:12" ht="15.75" thickTop="1" x14ac:dyDescent="0.25">
      <c r="B25" s="22" t="s">
        <v>41</v>
      </c>
      <c r="C25" s="58">
        <f>SUM(C23:C24)</f>
        <v>1386.0000000000002</v>
      </c>
    </row>
    <row r="26" spans="2:12" x14ac:dyDescent="0.25">
      <c r="B26" s="22"/>
      <c r="C26" s="24"/>
    </row>
    <row r="27" spans="2:12" x14ac:dyDescent="0.25">
      <c r="B27" s="54" t="s">
        <v>42</v>
      </c>
      <c r="C27" s="24"/>
    </row>
    <row r="28" spans="2:12" x14ac:dyDescent="0.25">
      <c r="B28" s="22" t="s">
        <v>43</v>
      </c>
      <c r="C28" s="56">
        <f>C8</f>
        <v>250</v>
      </c>
    </row>
    <row r="29" spans="2:12" x14ac:dyDescent="0.25">
      <c r="B29" s="22" t="s">
        <v>44</v>
      </c>
      <c r="C29" s="56">
        <f>C9/F5</f>
        <v>0</v>
      </c>
      <c r="E29" s="59"/>
      <c r="F29" s="59"/>
      <c r="G29" s="59"/>
      <c r="H29" s="59"/>
      <c r="I29" s="59"/>
      <c r="J29" s="59"/>
      <c r="K29" s="59"/>
      <c r="L29" s="59"/>
    </row>
    <row r="30" spans="2:12" ht="15.75" thickBot="1" x14ac:dyDescent="0.3">
      <c r="B30" s="22" t="s">
        <v>45</v>
      </c>
      <c r="C30" s="57">
        <f>C7*C25</f>
        <v>41.580000000000005</v>
      </c>
    </row>
    <row r="31" spans="2:12" ht="15.75" thickTop="1" x14ac:dyDescent="0.25">
      <c r="B31" s="22" t="s">
        <v>33</v>
      </c>
      <c r="C31" s="58">
        <f>SUM(C28:C30)</f>
        <v>291.58</v>
      </c>
    </row>
    <row r="32" spans="2:12" x14ac:dyDescent="0.25">
      <c r="B32" s="22"/>
      <c r="C32" s="24"/>
    </row>
    <row r="33" spans="2:3" x14ac:dyDescent="0.25">
      <c r="B33" s="54" t="s">
        <v>35</v>
      </c>
      <c r="C33" s="56">
        <f>C25-C31</f>
        <v>1094.4200000000003</v>
      </c>
    </row>
    <row r="34" spans="2:3" x14ac:dyDescent="0.25">
      <c r="B34" s="22"/>
      <c r="C34" s="24"/>
    </row>
    <row r="35" spans="2:3" x14ac:dyDescent="0.25">
      <c r="B35" s="54" t="s">
        <v>46</v>
      </c>
      <c r="C35" s="24"/>
    </row>
    <row r="36" spans="2:3" x14ac:dyDescent="0.25">
      <c r="B36" s="22" t="s">
        <v>47</v>
      </c>
      <c r="C36" s="60">
        <f>VLOOKUP(C33,IF(C5="Married",K6:L12,H6:I12),2,TRUE)</f>
        <v>0.12</v>
      </c>
    </row>
    <row r="37" spans="2:3" x14ac:dyDescent="0.25">
      <c r="B37" s="22" t="s">
        <v>48</v>
      </c>
      <c r="C37" s="61">
        <f>C33*C36</f>
        <v>131.33040000000003</v>
      </c>
    </row>
    <row r="38" spans="2:3" x14ac:dyDescent="0.25">
      <c r="B38" s="22" t="s">
        <v>49</v>
      </c>
      <c r="C38" s="61">
        <f>C6*F12*C36</f>
        <v>0</v>
      </c>
    </row>
    <row r="39" spans="2:3" x14ac:dyDescent="0.25">
      <c r="B39" s="22" t="s">
        <v>50</v>
      </c>
      <c r="C39" s="61">
        <f>IF(C37&lt;=C38,0,C37-C38)</f>
        <v>131.33040000000003</v>
      </c>
    </row>
    <row r="40" spans="2:3" x14ac:dyDescent="0.25">
      <c r="B40" s="22" t="s">
        <v>51</v>
      </c>
      <c r="C40" s="61">
        <f>C33*F13</f>
        <v>54.173790000000018</v>
      </c>
    </row>
    <row r="41" spans="2:3" x14ac:dyDescent="0.25">
      <c r="B41" s="22" t="s">
        <v>52</v>
      </c>
      <c r="C41" s="61">
        <f>C25*F8</f>
        <v>20.097000000000005</v>
      </c>
    </row>
    <row r="42" spans="2:3" ht="15.75" thickBot="1" x14ac:dyDescent="0.3">
      <c r="B42" s="22" t="s">
        <v>53</v>
      </c>
      <c r="C42" s="62">
        <f>C25*F9</f>
        <v>85.932000000000016</v>
      </c>
    </row>
    <row r="43" spans="2:3" ht="16.5" thickTop="1" thickBot="1" x14ac:dyDescent="0.3">
      <c r="B43" s="37" t="s">
        <v>36</v>
      </c>
      <c r="C43" s="63">
        <f>SUM(C39:C42)</f>
        <v>291.5331900000001</v>
      </c>
    </row>
  </sheetData>
  <mergeCells count="9">
    <mergeCell ref="E7:F7"/>
    <mergeCell ref="B11:C11"/>
    <mergeCell ref="B19:C19"/>
    <mergeCell ref="B2:C2"/>
    <mergeCell ref="E2:L2"/>
    <mergeCell ref="H4:L4"/>
    <mergeCell ref="H5:I5"/>
    <mergeCell ref="K5:L5"/>
    <mergeCell ref="E6:F6"/>
  </mergeCells>
  <hyperlinks>
    <hyperlink ref="E13" r:id="rId1" xr:uid="{00000000-0004-0000-0100-000000000000}"/>
    <hyperlink ref="H4:L4" r:id="rId2" display="Federal Tax Rate Tables" xr:uid="{00000000-0004-0000-0100-000001000000}"/>
    <hyperlink ref="E12" r:id="rId3" location=":~:text=You%20can%20claim%20anywhere%20between,may%20result%20in%20a%20refund." xr:uid="{00000000-0004-0000-0100-000002000000}"/>
    <hyperlink ref="E8" r:id="rId4" location=":~:text=Social%20Security%20and%20Medicare%20Withholding%20Rates,employee%2C%20or%202.9%25%20total." xr:uid="{00000000-0004-0000-0100-000003000000}"/>
    <hyperlink ref="E9" r:id="rId5" location=":~:text=Social%20Security%20and%20Medicare%20Withholding%20Rates,employee%2C%20or%202.9%25%20total." xr:uid="{00000000-0004-0000-0100-000004000000}"/>
  </hyperlinks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Card</vt:lpstr>
      <vt:lpstr>Tax Estimator</vt:lpstr>
    </vt:vector>
  </TitlesOfParts>
  <Company>State Farm Insurance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Jacob Benge</cp:lastModifiedBy>
  <cp:lastPrinted>2020-06-29T22:46:15Z</cp:lastPrinted>
  <dcterms:created xsi:type="dcterms:W3CDTF">2013-06-10T16:59:31Z</dcterms:created>
  <dcterms:modified xsi:type="dcterms:W3CDTF">2021-01-21T11:30:42Z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656607463</vt:i4>
  </property>
  <property fmtid="{D5CDD505-2E9C-101B-9397-08002B2CF9AE}" pid="3" name="_NewReviewCycle">
    <vt:lpwstr/>
  </property>
  <property fmtid="{D5CDD505-2E9C-101B-9397-08002B2CF9AE}" pid="4" name="_EmailSubject">
    <vt:lpwstr>Resume text</vt:lpwstr>
  </property>
  <property fmtid="{D5CDD505-2E9C-101B-9397-08002B2CF9AE}" pid="5" name="_AuthorEmail">
    <vt:lpwstr>jacob.t.benge.ycya@statefarm.com</vt:lpwstr>
  </property>
  <property fmtid="{D5CDD505-2E9C-101B-9397-08002B2CF9AE}" pid="6" name="_AuthorEmailDisplayName">
    <vt:lpwstr>Jacob T Benge</vt:lpwstr>
  </property>
  <property fmtid="{D5CDD505-2E9C-101B-9397-08002B2CF9AE}" pid="7" name="_ReviewingToolsShownOnce">
    <vt:lpwstr/>
  </property>
</Properties>
</file>