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eberhardt/Desktop/ZoKratesBenchmarks/exports/data/"/>
    </mc:Choice>
  </mc:AlternateContent>
  <xr:revisionPtr revIDLastSave="0" documentId="13_ncr:1_{41469C99-40B2-484A-98B3-13FC771379D8}" xr6:coauthVersionLast="45" xr6:coauthVersionMax="45" xr10:uidLastSave="{00000000-0000-0000-0000-000000000000}"/>
  <bookViews>
    <workbookView xWindow="920" yWindow="460" windowWidth="49060" windowHeight="24280" activeTab="3" xr2:uid="{00000000-000D-0000-FFFF-FFFF00000000}"/>
  </bookViews>
  <sheets>
    <sheet name="raw" sheetId="1" r:id="rId1"/>
    <sheet name="One-time Steps Optimized" sheetId="3" r:id="rId2"/>
    <sheet name="Repeat Steps Optimized" sheetId="4" r:id="rId3"/>
    <sheet name="Optimized vs Unoptimized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2" i="2"/>
  <c r="I3" i="2"/>
  <c r="I4" i="2"/>
  <c r="I5" i="2"/>
  <c r="I6" i="2"/>
  <c r="I7" i="2"/>
  <c r="I8" i="2"/>
  <c r="I9" i="2"/>
  <c r="I10" i="2"/>
  <c r="I11" i="2"/>
  <c r="I12" i="2"/>
  <c r="I2" i="2"/>
  <c r="C3" i="2" l="1"/>
  <c r="D3" i="2"/>
  <c r="E3" i="2"/>
  <c r="F3" i="2"/>
  <c r="G3" i="2"/>
  <c r="H3" i="2"/>
  <c r="K3" i="2"/>
  <c r="L3" i="2"/>
  <c r="C4" i="2"/>
  <c r="D4" i="2"/>
  <c r="E4" i="2"/>
  <c r="F4" i="2"/>
  <c r="G4" i="2"/>
  <c r="H4" i="2"/>
  <c r="K4" i="2"/>
  <c r="L4" i="2"/>
  <c r="C5" i="2"/>
  <c r="D5" i="2"/>
  <c r="E5" i="2"/>
  <c r="F5" i="2"/>
  <c r="G5" i="2"/>
  <c r="H5" i="2"/>
  <c r="K5" i="2"/>
  <c r="L5" i="2"/>
  <c r="C6" i="2"/>
  <c r="D6" i="2"/>
  <c r="E6" i="2"/>
  <c r="F6" i="2"/>
  <c r="G6" i="2"/>
  <c r="H6" i="2"/>
  <c r="K6" i="2"/>
  <c r="L6" i="2"/>
  <c r="C7" i="2"/>
  <c r="D7" i="2"/>
  <c r="E7" i="2"/>
  <c r="F7" i="2"/>
  <c r="G7" i="2"/>
  <c r="H7" i="2"/>
  <c r="K7" i="2"/>
  <c r="L7" i="2"/>
  <c r="C8" i="2"/>
  <c r="D8" i="2"/>
  <c r="E8" i="2"/>
  <c r="F8" i="2"/>
  <c r="G8" i="2"/>
  <c r="H8" i="2"/>
  <c r="K8" i="2"/>
  <c r="L8" i="2"/>
  <c r="C9" i="2"/>
  <c r="D9" i="2"/>
  <c r="E9" i="2"/>
  <c r="F9" i="2"/>
  <c r="G9" i="2"/>
  <c r="H9" i="2"/>
  <c r="K9" i="2"/>
  <c r="L9" i="2"/>
  <c r="C10" i="2"/>
  <c r="D10" i="2"/>
  <c r="E10" i="2"/>
  <c r="F10" i="2"/>
  <c r="G10" i="2"/>
  <c r="H10" i="2"/>
  <c r="K10" i="2"/>
  <c r="L10" i="2"/>
  <c r="C11" i="2"/>
  <c r="D11" i="2"/>
  <c r="E11" i="2"/>
  <c r="F11" i="2"/>
  <c r="G11" i="2"/>
  <c r="H11" i="2"/>
  <c r="K11" i="2"/>
  <c r="L11" i="2"/>
  <c r="C12" i="2"/>
  <c r="D12" i="2"/>
  <c r="E12" i="2"/>
  <c r="F12" i="2"/>
  <c r="G12" i="2"/>
  <c r="H12" i="2"/>
  <c r="K12" i="2"/>
  <c r="L12" i="2"/>
  <c r="L2" i="2"/>
  <c r="K2" i="2"/>
  <c r="H2" i="2"/>
  <c r="G2" i="2"/>
  <c r="F2" i="2"/>
  <c r="E2" i="2"/>
  <c r="C2" i="4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F2" i="4"/>
  <c r="D2" i="4"/>
  <c r="E2" i="4"/>
  <c r="C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F2" i="3"/>
  <c r="E2" i="3"/>
  <c r="D3" i="3"/>
  <c r="D4" i="3"/>
  <c r="D5" i="3"/>
  <c r="D6" i="3"/>
  <c r="D7" i="3"/>
  <c r="D8" i="3"/>
  <c r="D9" i="3"/>
  <c r="D10" i="3"/>
  <c r="D11" i="3"/>
  <c r="D12" i="3"/>
  <c r="D2" i="3"/>
  <c r="C3" i="3"/>
  <c r="C4" i="3"/>
  <c r="C5" i="3"/>
  <c r="C6" i="3"/>
  <c r="C7" i="3"/>
  <c r="C8" i="3"/>
  <c r="C9" i="3"/>
  <c r="C10" i="3"/>
  <c r="C11" i="3"/>
  <c r="C12" i="3"/>
  <c r="D2" i="2" l="1"/>
  <c r="C2" i="2"/>
</calcChain>
</file>

<file path=xl/sharedStrings.xml><?xml version="1.0" encoding="utf-8"?>
<sst xmlns="http://schemas.openxmlformats.org/spreadsheetml/2006/main" count="121" uniqueCount="47">
  <si>
    <t>file</t>
  </si>
  <si>
    <t xml:space="preserve"> compile_opt_microsec</t>
  </si>
  <si>
    <t xml:space="preserve"> memusg_compile_KiB</t>
  </si>
  <si>
    <t xml:space="preserve"> setup_opt_microsec</t>
  </si>
  <si>
    <t xml:space="preserve"> memusg_setup_KiB</t>
  </si>
  <si>
    <t xml:space="preserve"> witness_opt_microsec</t>
  </si>
  <si>
    <t xml:space="preserve"> memusg_witness_KiB</t>
  </si>
  <si>
    <t xml:space="preserve"> proof_opt_microsec</t>
  </si>
  <si>
    <t xml:space="preserve"> memusg_proof_KiB</t>
  </si>
  <si>
    <t xml:space="preserve"> constr_opt</t>
  </si>
  <si>
    <t xml:space="preserve"> compile_unopt_microsec</t>
  </si>
  <si>
    <t xml:space="preserve"> setup_unopt_microsec</t>
  </si>
  <si>
    <t xml:space="preserve"> witness_unopt_microsec</t>
  </si>
  <si>
    <t xml:space="preserve"> proof_unopt_microsec</t>
  </si>
  <si>
    <t xml:space="preserve"> constr_unopt</t>
  </si>
  <si>
    <t>512bit_pedersen</t>
  </si>
  <si>
    <t>ft-batch-transfer</t>
  </si>
  <si>
    <t>ft-burn</t>
  </si>
  <si>
    <t>ft-mint</t>
  </si>
  <si>
    <t>ft-transfer</t>
  </si>
  <si>
    <t>mimcSponge</t>
  </si>
  <si>
    <t>nft-burn</t>
  </si>
  <si>
    <t>nft-mint</t>
  </si>
  <si>
    <t>nft-transfer</t>
  </si>
  <si>
    <t>settlement-check</t>
  </si>
  <si>
    <t>sha</t>
  </si>
  <si>
    <t>paste input data on this tab</t>
  </si>
  <si>
    <t>verify-netting</t>
  </si>
  <si>
    <t>sha-256</t>
  </si>
  <si>
    <t>pedersen</t>
  </si>
  <si>
    <t>mimc</t>
  </si>
  <si>
    <t>Display Name</t>
  </si>
  <si>
    <t>File (lookup key)</t>
  </si>
  <si>
    <t># constraints optimized</t>
  </si>
  <si>
    <t># constraint unoptimized</t>
  </si>
  <si>
    <t>time compilation optimized [s]</t>
  </si>
  <si>
    <t xml:space="preserve">memory compilation optimized  [MiB] </t>
  </si>
  <si>
    <t>time setup optimized [s]</t>
  </si>
  <si>
    <t>memory setup optimized [MiB]</t>
  </si>
  <si>
    <t>time witness-gen optimized [s]</t>
  </si>
  <si>
    <t>memory  witness-gen optimized  [MiB]</t>
  </si>
  <si>
    <t>time proof-gen optimized [s]</t>
  </si>
  <si>
    <t>memory proof-gen  optimized [MiB]</t>
  </si>
  <si>
    <t>time compilation unoptimized [s]</t>
  </si>
  <si>
    <t>time setup unoptimized [s]</t>
  </si>
  <si>
    <t>time witness-gen unoptimized [s]</t>
  </si>
  <si>
    <t>time proof-gen unoptimized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</si>
</sst>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0" xfId="0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workbookViewId="0">
      <selection activeCell="B26" sqref="B26"/>
    </sheetView>
  </sheetViews>
  <sheetFormatPr baseColWidth="10" defaultRowHeight="16" x14ac:dyDescent="0.2"/>
  <cols>
    <col min="1" max="1" width="29.6640625" customWidth="1"/>
    <col min="2" max="2" width="24" bestFit="1" customWidth="1"/>
    <col min="3" max="3" width="20.1640625" bestFit="1" customWidth="1"/>
    <col min="4" max="4" width="18.33203125" bestFit="1" customWidth="1"/>
    <col min="5" max="5" width="18.1640625" bestFit="1" customWidth="1"/>
    <col min="6" max="6" width="20.1640625" bestFit="1" customWidth="1"/>
    <col min="7" max="7" width="20" bestFit="1" customWidth="1"/>
    <col min="8" max="8" width="18.1640625" bestFit="1" customWidth="1"/>
    <col min="9" max="9" width="18" bestFit="1" customWidth="1"/>
    <col min="10" max="10" width="10.33203125" bestFit="1" customWidth="1"/>
    <col min="11" max="11" width="22.5" bestFit="1" customWidth="1"/>
    <col min="12" max="12" width="20.1640625" bestFit="1" customWidth="1"/>
    <col min="13" max="13" width="20.33203125" bestFit="1" customWidth="1"/>
    <col min="14" max="14" width="18.1640625" bestFit="1" customWidth="1"/>
    <col min="15" max="15" width="22.33203125" bestFit="1" customWidth="1"/>
    <col min="16" max="16" width="20" bestFit="1" customWidth="1"/>
    <col min="17" max="17" width="20.1640625" bestFit="1" customWidth="1"/>
    <col min="18" max="18" width="18" bestFit="1" customWidth="1"/>
    <col min="19" max="19" width="12.3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</v>
      </c>
      <c r="M1" t="s">
        <v>11</v>
      </c>
      <c r="N1" t="s">
        <v>4</v>
      </c>
      <c r="O1" t="s">
        <v>12</v>
      </c>
      <c r="P1" t="s">
        <v>6</v>
      </c>
      <c r="Q1" t="s">
        <v>13</v>
      </c>
      <c r="R1" t="s">
        <v>8</v>
      </c>
      <c r="S1" t="s">
        <v>14</v>
      </c>
    </row>
    <row r="2" spans="1:19" x14ac:dyDescent="0.2">
      <c r="A2" t="s">
        <v>15</v>
      </c>
      <c r="B2">
        <v>1811952</v>
      </c>
      <c r="C2">
        <v>33304</v>
      </c>
      <c r="D2">
        <v>2079515</v>
      </c>
      <c r="E2">
        <v>12240</v>
      </c>
      <c r="F2">
        <v>263121</v>
      </c>
      <c r="G2">
        <v>4124</v>
      </c>
      <c r="H2">
        <v>821859</v>
      </c>
      <c r="I2">
        <v>14920</v>
      </c>
      <c r="J2">
        <v>3666</v>
      </c>
      <c r="K2">
        <v>1767571</v>
      </c>
      <c r="L2">
        <v>51076</v>
      </c>
      <c r="M2">
        <v>9396426</v>
      </c>
      <c r="N2">
        <v>30472</v>
      </c>
      <c r="O2">
        <v>312638</v>
      </c>
      <c r="P2">
        <v>13580</v>
      </c>
      <c r="Q2">
        <v>2634038</v>
      </c>
      <c r="R2">
        <v>45612</v>
      </c>
      <c r="S2">
        <v>19180</v>
      </c>
    </row>
    <row r="3" spans="1:19" x14ac:dyDescent="0.2">
      <c r="A3" t="s">
        <v>16</v>
      </c>
      <c r="B3">
        <v>26026357</v>
      </c>
      <c r="C3">
        <v>12240</v>
      </c>
      <c r="D3">
        <v>961483761</v>
      </c>
      <c r="E3">
        <v>3385884</v>
      </c>
      <c r="F3">
        <v>11125174</v>
      </c>
      <c r="G3">
        <v>1726696</v>
      </c>
      <c r="H3">
        <v>103534028</v>
      </c>
      <c r="I3">
        <v>6728188</v>
      </c>
      <c r="J3">
        <v>2611408</v>
      </c>
      <c r="K3">
        <v>10392279</v>
      </c>
      <c r="L3">
        <v>3946548</v>
      </c>
      <c r="M3">
        <v>1230247608</v>
      </c>
      <c r="N3">
        <v>4070076</v>
      </c>
      <c r="O3">
        <v>12896936</v>
      </c>
      <c r="P3">
        <v>2015604</v>
      </c>
      <c r="Q3">
        <v>110844067</v>
      </c>
      <c r="R3">
        <v>8172896</v>
      </c>
      <c r="S3">
        <v>3301909</v>
      </c>
    </row>
    <row r="4" spans="1:19" x14ac:dyDescent="0.2">
      <c r="A4" t="s">
        <v>17</v>
      </c>
      <c r="B4">
        <v>11202946</v>
      </c>
      <c r="C4">
        <v>4124</v>
      </c>
      <c r="D4">
        <v>445769364</v>
      </c>
      <c r="E4">
        <v>1565036</v>
      </c>
      <c r="F4">
        <v>4719280</v>
      </c>
      <c r="G4">
        <v>768652</v>
      </c>
      <c r="H4">
        <v>48942751</v>
      </c>
      <c r="I4">
        <v>3014660</v>
      </c>
      <c r="J4">
        <v>1150474</v>
      </c>
      <c r="K4">
        <v>4732654</v>
      </c>
      <c r="L4">
        <v>1754376</v>
      </c>
      <c r="M4">
        <v>585935403</v>
      </c>
      <c r="N4">
        <v>1788816</v>
      </c>
      <c r="O4">
        <v>5610104</v>
      </c>
      <c r="P4">
        <v>917068</v>
      </c>
      <c r="Q4">
        <v>53393567</v>
      </c>
      <c r="R4">
        <v>3701396</v>
      </c>
      <c r="S4">
        <v>1503732</v>
      </c>
    </row>
    <row r="5" spans="1:19" x14ac:dyDescent="0.2">
      <c r="A5" t="s">
        <v>18</v>
      </c>
      <c r="B5">
        <v>1062259</v>
      </c>
      <c r="C5">
        <v>14920</v>
      </c>
      <c r="D5">
        <v>31274568</v>
      </c>
      <c r="E5">
        <v>126468</v>
      </c>
      <c r="F5">
        <v>558919</v>
      </c>
      <c r="G5">
        <v>64324</v>
      </c>
      <c r="H5">
        <v>3585537</v>
      </c>
      <c r="I5">
        <v>226792</v>
      </c>
      <c r="J5">
        <v>86613</v>
      </c>
      <c r="K5">
        <v>609323</v>
      </c>
      <c r="L5">
        <v>168940</v>
      </c>
      <c r="M5">
        <v>38158295</v>
      </c>
      <c r="N5">
        <v>130008</v>
      </c>
      <c r="O5">
        <v>559148</v>
      </c>
      <c r="P5">
        <v>71404</v>
      </c>
      <c r="Q5">
        <v>3839166</v>
      </c>
      <c r="R5">
        <v>257980</v>
      </c>
      <c r="S5">
        <v>104411</v>
      </c>
    </row>
    <row r="6" spans="1:19" x14ac:dyDescent="0.2">
      <c r="A6" t="s">
        <v>19</v>
      </c>
      <c r="B6">
        <v>23112211</v>
      </c>
      <c r="C6">
        <v>51076</v>
      </c>
      <c r="D6">
        <v>911445394</v>
      </c>
      <c r="E6">
        <v>3130440</v>
      </c>
      <c r="F6">
        <v>9499208</v>
      </c>
      <c r="G6">
        <v>1567660</v>
      </c>
      <c r="H6">
        <v>99552277</v>
      </c>
      <c r="I6">
        <v>6159112</v>
      </c>
      <c r="J6">
        <v>2357944</v>
      </c>
      <c r="K6">
        <v>9340337</v>
      </c>
      <c r="L6">
        <v>3544908</v>
      </c>
      <c r="M6">
        <v>1188147590</v>
      </c>
      <c r="N6">
        <v>3793816</v>
      </c>
      <c r="O6">
        <v>11307957</v>
      </c>
      <c r="P6">
        <v>1866852</v>
      </c>
      <c r="Q6">
        <v>106763190</v>
      </c>
      <c r="R6">
        <v>7544412</v>
      </c>
      <c r="S6">
        <v>3071248</v>
      </c>
    </row>
    <row r="7" spans="1:19" x14ac:dyDescent="0.2">
      <c r="A7" t="s">
        <v>20</v>
      </c>
      <c r="B7">
        <v>7825054</v>
      </c>
      <c r="C7">
        <v>30472</v>
      </c>
      <c r="D7">
        <v>988721</v>
      </c>
      <c r="E7">
        <v>22484</v>
      </c>
      <c r="F7">
        <v>255698</v>
      </c>
      <c r="G7">
        <v>4888</v>
      </c>
      <c r="H7">
        <v>465568</v>
      </c>
      <c r="I7">
        <v>39348</v>
      </c>
      <c r="J7">
        <v>1321</v>
      </c>
      <c r="K7">
        <v>2626080</v>
      </c>
      <c r="L7">
        <v>681916</v>
      </c>
      <c r="M7">
        <v>196001992</v>
      </c>
      <c r="N7">
        <v>462260</v>
      </c>
      <c r="O7">
        <v>1012498</v>
      </c>
      <c r="P7">
        <v>167204</v>
      </c>
      <c r="Q7">
        <v>19932639</v>
      </c>
      <c r="R7">
        <v>789120</v>
      </c>
      <c r="S7">
        <v>393396</v>
      </c>
    </row>
    <row r="8" spans="1:19" x14ac:dyDescent="0.2">
      <c r="A8" t="s">
        <v>21</v>
      </c>
      <c r="B8">
        <v>11452208</v>
      </c>
      <c r="C8">
        <v>13580</v>
      </c>
      <c r="D8">
        <v>451959024</v>
      </c>
      <c r="E8">
        <v>1583856</v>
      </c>
      <c r="F8">
        <v>4801734</v>
      </c>
      <c r="G8">
        <v>787272</v>
      </c>
      <c r="H8">
        <v>49143239</v>
      </c>
      <c r="I8">
        <v>3081448</v>
      </c>
      <c r="J8">
        <v>1178584</v>
      </c>
      <c r="K8">
        <v>4842575</v>
      </c>
      <c r="L8">
        <v>1796128</v>
      </c>
      <c r="M8">
        <v>593442418</v>
      </c>
      <c r="N8">
        <v>1897996</v>
      </c>
      <c r="O8">
        <v>5760732</v>
      </c>
      <c r="P8">
        <v>935412</v>
      </c>
      <c r="Q8">
        <v>53786213</v>
      </c>
      <c r="R8">
        <v>3769464</v>
      </c>
      <c r="S8">
        <v>1532216</v>
      </c>
    </row>
    <row r="9" spans="1:19" x14ac:dyDescent="0.2">
      <c r="A9" t="s">
        <v>22</v>
      </c>
      <c r="B9">
        <v>1365747</v>
      </c>
      <c r="C9">
        <v>45612</v>
      </c>
      <c r="D9">
        <v>38194351</v>
      </c>
      <c r="E9">
        <v>148304</v>
      </c>
      <c r="F9">
        <v>659943</v>
      </c>
      <c r="G9">
        <v>83020</v>
      </c>
      <c r="H9">
        <v>4037975</v>
      </c>
      <c r="I9">
        <v>293544</v>
      </c>
      <c r="J9">
        <v>114723</v>
      </c>
      <c r="K9">
        <v>709741</v>
      </c>
      <c r="L9">
        <v>205544</v>
      </c>
      <c r="M9">
        <v>55245346</v>
      </c>
      <c r="N9">
        <v>179976</v>
      </c>
      <c r="O9">
        <v>686640</v>
      </c>
      <c r="P9">
        <v>90168</v>
      </c>
      <c r="Q9">
        <v>6165409</v>
      </c>
      <c r="R9">
        <v>344692</v>
      </c>
      <c r="S9">
        <v>133923</v>
      </c>
    </row>
    <row r="10" spans="1:19" x14ac:dyDescent="0.2">
      <c r="A10" t="s">
        <v>23</v>
      </c>
      <c r="B10">
        <v>11696284</v>
      </c>
      <c r="C10">
        <v>3932432</v>
      </c>
      <c r="D10">
        <v>459151206</v>
      </c>
      <c r="E10">
        <v>1576996</v>
      </c>
      <c r="F10">
        <v>4933268</v>
      </c>
      <c r="G10">
        <v>806820</v>
      </c>
      <c r="H10">
        <v>49631498</v>
      </c>
      <c r="I10">
        <v>3188368</v>
      </c>
      <c r="J10">
        <v>1208093</v>
      </c>
      <c r="K10">
        <v>4929715</v>
      </c>
      <c r="L10">
        <v>1832832</v>
      </c>
      <c r="M10">
        <v>602441827</v>
      </c>
      <c r="N10">
        <v>1982140</v>
      </c>
      <c r="O10">
        <v>5858913</v>
      </c>
      <c r="P10">
        <v>957284</v>
      </c>
      <c r="Q10">
        <v>54529333</v>
      </c>
      <c r="R10">
        <v>3801212</v>
      </c>
      <c r="S10">
        <v>1567613</v>
      </c>
    </row>
    <row r="11" spans="1:19" x14ac:dyDescent="0.2">
      <c r="A11" t="s">
        <v>24</v>
      </c>
      <c r="B11">
        <v>2474818</v>
      </c>
      <c r="C11">
        <v>3385884</v>
      </c>
      <c r="D11">
        <v>79102241</v>
      </c>
      <c r="E11">
        <v>315468</v>
      </c>
      <c r="F11">
        <v>1164191</v>
      </c>
      <c r="G11">
        <v>161992</v>
      </c>
      <c r="H11">
        <v>8175184</v>
      </c>
      <c r="I11">
        <v>596144</v>
      </c>
      <c r="J11">
        <v>236601</v>
      </c>
      <c r="K11">
        <v>1215717</v>
      </c>
      <c r="L11">
        <v>369796</v>
      </c>
      <c r="M11">
        <v>115228326</v>
      </c>
      <c r="N11">
        <v>364428</v>
      </c>
      <c r="O11">
        <v>1308377</v>
      </c>
      <c r="P11">
        <v>178532</v>
      </c>
      <c r="Q11">
        <v>12064760</v>
      </c>
      <c r="R11">
        <v>713304</v>
      </c>
      <c r="S11">
        <v>278792</v>
      </c>
    </row>
    <row r="12" spans="1:19" x14ac:dyDescent="0.2">
      <c r="A12" t="s">
        <v>25</v>
      </c>
      <c r="B12">
        <v>760184</v>
      </c>
      <c r="C12">
        <v>1726696</v>
      </c>
      <c r="D12">
        <v>19229777</v>
      </c>
      <c r="E12">
        <v>78612</v>
      </c>
      <c r="F12">
        <v>414842</v>
      </c>
      <c r="G12">
        <v>44872</v>
      </c>
      <c r="H12">
        <v>2184739</v>
      </c>
      <c r="I12">
        <v>150540</v>
      </c>
      <c r="J12">
        <v>57238</v>
      </c>
      <c r="K12">
        <v>457467</v>
      </c>
      <c r="L12">
        <v>126420</v>
      </c>
      <c r="M12">
        <v>27638509</v>
      </c>
      <c r="N12">
        <v>91920</v>
      </c>
      <c r="O12">
        <v>408286</v>
      </c>
      <c r="P12">
        <v>48528</v>
      </c>
      <c r="Q12">
        <v>3140854</v>
      </c>
      <c r="R12">
        <v>173340</v>
      </c>
      <c r="S12">
        <v>66198</v>
      </c>
    </row>
    <row r="17" spans="2:2" x14ac:dyDescent="0.2">
      <c r="B17" s="1" t="s">
        <v>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F5BE-0EC9-8846-B3D2-CDC215E09220}">
  <dimension ref="A1:F28"/>
  <sheetViews>
    <sheetView workbookViewId="0">
      <selection activeCell="K9" sqref="K9"/>
    </sheetView>
  </sheetViews>
  <sheetFormatPr baseColWidth="10" defaultRowHeight="16" x14ac:dyDescent="0.2"/>
  <cols>
    <col min="1" max="1" width="15.33203125" bestFit="1" customWidth="1"/>
    <col min="2" max="2" width="14.83203125" bestFit="1" customWidth="1"/>
    <col min="3" max="3" width="32.5" bestFit="1" customWidth="1"/>
    <col min="4" max="4" width="40.6640625" customWidth="1"/>
    <col min="5" max="5" width="27.1640625" bestFit="1" customWidth="1"/>
    <col min="6" max="6" width="29.6640625" bestFit="1" customWidth="1"/>
  </cols>
  <sheetData>
    <row r="1" spans="1:6" x14ac:dyDescent="0.2">
      <c r="A1" s="1" t="s">
        <v>32</v>
      </c>
      <c r="B1" s="1" t="s">
        <v>31</v>
      </c>
      <c r="C1" s="1" t="s">
        <v>35</v>
      </c>
      <c r="D1" s="1" t="s">
        <v>36</v>
      </c>
      <c r="E1" s="1" t="s">
        <v>37</v>
      </c>
      <c r="F1" s="1" t="s">
        <v>38</v>
      </c>
    </row>
    <row r="2" spans="1:6" x14ac:dyDescent="0.2">
      <c r="A2" t="s">
        <v>18</v>
      </c>
      <c r="B2" t="s">
        <v>18</v>
      </c>
      <c r="C2" s="6">
        <f>VLOOKUP($A2,raw!$A:$S,2,FALSE)/(1000*1000)</f>
        <v>1.0622590000000001</v>
      </c>
      <c r="D2" s="6">
        <f>VLOOKUP($A2,raw!$A:$S,3,FALSE) / (1024)</f>
        <v>14.5703125</v>
      </c>
      <c r="E2" s="6">
        <f>VLOOKUP($A2,raw!$A:$S,4,FALSE)/(1000*1000)</f>
        <v>31.274567999999999</v>
      </c>
      <c r="F2" s="6">
        <f>VLOOKUP($A2,raw!$A:$S,5,FALSE)/(1024)</f>
        <v>123.50390625</v>
      </c>
    </row>
    <row r="3" spans="1:6" x14ac:dyDescent="0.2">
      <c r="A3" t="s">
        <v>19</v>
      </c>
      <c r="B3" t="s">
        <v>19</v>
      </c>
      <c r="C3" s="6">
        <f>VLOOKUP($A3,raw!$A:$S,2,FALSE)/(1000*1000)</f>
        <v>23.112210999999999</v>
      </c>
      <c r="D3" s="6">
        <f>VLOOKUP($A3,raw!$A:$S,3,FALSE) / (1024)</f>
        <v>49.87890625</v>
      </c>
      <c r="E3" s="6">
        <f>VLOOKUP($A3,raw!$A:$S,4,FALSE)/(1000*1000)</f>
        <v>911.44539399999996</v>
      </c>
      <c r="F3" s="6">
        <f>VLOOKUP($A3,raw!$A:$S,5,FALSE)/(1024)</f>
        <v>3057.0703125</v>
      </c>
    </row>
    <row r="4" spans="1:6" x14ac:dyDescent="0.2">
      <c r="A4" t="s">
        <v>16</v>
      </c>
      <c r="B4" t="s">
        <v>16</v>
      </c>
      <c r="C4" s="6">
        <f>VLOOKUP($A4,raw!$A:$S,2,FALSE)/(1000*1000)</f>
        <v>26.026357000000001</v>
      </c>
      <c r="D4" s="6">
        <f>VLOOKUP($A4,raw!$A:$S,3,FALSE) / (1024)</f>
        <v>11.953125</v>
      </c>
      <c r="E4" s="6">
        <f>VLOOKUP($A4,raw!$A:$S,4,FALSE)/(1000*1000)</f>
        <v>961.48376099999996</v>
      </c>
      <c r="F4" s="6">
        <f>VLOOKUP($A4,raw!$A:$S,5,FALSE)/(1024)</f>
        <v>3306.52734375</v>
      </c>
    </row>
    <row r="5" spans="1:6" x14ac:dyDescent="0.2">
      <c r="A5" t="s">
        <v>17</v>
      </c>
      <c r="B5" t="s">
        <v>17</v>
      </c>
      <c r="C5" s="6">
        <f>VLOOKUP($A5,raw!$A:$S,2,FALSE)/(1000*1000)</f>
        <v>11.202946000000001</v>
      </c>
      <c r="D5" s="6">
        <f>VLOOKUP($A5,raw!$A:$S,3,FALSE) / (1024)</f>
        <v>4.02734375</v>
      </c>
      <c r="E5" s="6">
        <f>VLOOKUP($A5,raw!$A:$S,4,FALSE)/(1000*1000)</f>
        <v>445.769364</v>
      </c>
      <c r="F5" s="6">
        <f>VLOOKUP($A5,raw!$A:$S,5,FALSE)/(1024)</f>
        <v>1528.35546875</v>
      </c>
    </row>
    <row r="6" spans="1:6" x14ac:dyDescent="0.2">
      <c r="A6" t="s">
        <v>22</v>
      </c>
      <c r="B6" t="s">
        <v>22</v>
      </c>
      <c r="C6" s="6">
        <f>VLOOKUP($A6,raw!$A:$S,2,FALSE)/(1000*1000)</f>
        <v>1.365747</v>
      </c>
      <c r="D6" s="6">
        <f>VLOOKUP($A6,raw!$A:$S,3,FALSE) / (1024)</f>
        <v>44.54296875</v>
      </c>
      <c r="E6" s="6">
        <f>VLOOKUP($A6,raw!$A:$S,4,FALSE)/(1000*1000)</f>
        <v>38.194350999999997</v>
      </c>
      <c r="F6" s="6">
        <f>VLOOKUP($A6,raw!$A:$S,5,FALSE)/(1024)</f>
        <v>144.828125</v>
      </c>
    </row>
    <row r="7" spans="1:6" x14ac:dyDescent="0.2">
      <c r="A7" t="s">
        <v>23</v>
      </c>
      <c r="B7" t="s">
        <v>23</v>
      </c>
      <c r="C7" s="6">
        <f>VLOOKUP($A7,raw!$A:$S,2,FALSE)/(1000*1000)</f>
        <v>11.696284</v>
      </c>
      <c r="D7" s="6">
        <f>VLOOKUP($A7,raw!$A:$S,3,FALSE) / (1024)</f>
        <v>3840.265625</v>
      </c>
      <c r="E7" s="6">
        <f>VLOOKUP($A7,raw!$A:$S,4,FALSE)/(1000*1000)</f>
        <v>459.151206</v>
      </c>
      <c r="F7" s="6">
        <f>VLOOKUP($A7,raw!$A:$S,5,FALSE)/(1024)</f>
        <v>1540.03515625</v>
      </c>
    </row>
    <row r="8" spans="1:6" x14ac:dyDescent="0.2">
      <c r="A8" t="s">
        <v>21</v>
      </c>
      <c r="B8" t="s">
        <v>21</v>
      </c>
      <c r="C8" s="6">
        <f>VLOOKUP($A8,raw!$A:$S,2,FALSE)/(1000*1000)</f>
        <v>11.452208000000001</v>
      </c>
      <c r="D8" s="6">
        <f>VLOOKUP($A8,raw!$A:$S,3,FALSE) / (1024)</f>
        <v>13.26171875</v>
      </c>
      <c r="E8" s="6">
        <f>VLOOKUP($A8,raw!$A:$S,4,FALSE)/(1000*1000)</f>
        <v>451.959024</v>
      </c>
      <c r="F8" s="6">
        <f>VLOOKUP($A8,raw!$A:$S,5,FALSE)/(1024)</f>
        <v>1546.734375</v>
      </c>
    </row>
    <row r="9" spans="1:6" x14ac:dyDescent="0.2">
      <c r="A9" t="s">
        <v>24</v>
      </c>
      <c r="B9" s="2" t="s">
        <v>27</v>
      </c>
      <c r="C9" s="6">
        <f>VLOOKUP($A9,raw!$A:$S,2,FALSE)/(1000*1000)</f>
        <v>2.474818</v>
      </c>
      <c r="D9" s="6">
        <f>VLOOKUP($A9,raw!$A:$S,3,FALSE) / (1024)</f>
        <v>3306.52734375</v>
      </c>
      <c r="E9" s="6">
        <f>VLOOKUP($A9,raw!$A:$S,4,FALSE)/(1000*1000)</f>
        <v>79.102241000000006</v>
      </c>
      <c r="F9" s="6">
        <f>VLOOKUP($A9,raw!$A:$S,5,FALSE)/(1024)</f>
        <v>308.07421875</v>
      </c>
    </row>
    <row r="10" spans="1:6" x14ac:dyDescent="0.2">
      <c r="A10" t="s">
        <v>25</v>
      </c>
      <c r="B10" t="s">
        <v>28</v>
      </c>
      <c r="C10" s="6">
        <f>VLOOKUP($A10,raw!$A:$S,2,FALSE)/(1000*1000)</f>
        <v>0.76018399999999997</v>
      </c>
      <c r="D10" s="6">
        <f>VLOOKUP($A10,raw!$A:$S,3,FALSE) / (1024)</f>
        <v>1686.2265625</v>
      </c>
      <c r="E10" s="6">
        <f>VLOOKUP($A10,raw!$A:$S,4,FALSE)/(1000*1000)</f>
        <v>19.229776999999999</v>
      </c>
      <c r="F10" s="6">
        <f>VLOOKUP($A10,raw!$A:$S,5,FALSE)/(1024)</f>
        <v>76.76953125</v>
      </c>
    </row>
    <row r="11" spans="1:6" x14ac:dyDescent="0.2">
      <c r="A11" t="s">
        <v>15</v>
      </c>
      <c r="B11" t="s">
        <v>29</v>
      </c>
      <c r="C11" s="6">
        <f>VLOOKUP($A11,raw!$A:$S,2,FALSE)/(1000*1000)</f>
        <v>1.811952</v>
      </c>
      <c r="D11" s="6">
        <f>VLOOKUP($A11,raw!$A:$S,3,FALSE) / (1024)</f>
        <v>32.5234375</v>
      </c>
      <c r="E11" s="6">
        <f>VLOOKUP($A11,raw!$A:$S,4,FALSE)/(1000*1000)</f>
        <v>2.0795149999999998</v>
      </c>
      <c r="F11" s="6">
        <f>VLOOKUP($A11,raw!$A:$S,5,FALSE)/(1024)</f>
        <v>11.953125</v>
      </c>
    </row>
    <row r="12" spans="1:6" x14ac:dyDescent="0.2">
      <c r="A12" t="s">
        <v>20</v>
      </c>
      <c r="B12" t="s">
        <v>30</v>
      </c>
      <c r="C12" s="6">
        <f>VLOOKUP($A12,raw!$A:$S,2,FALSE)/(1000*1000)</f>
        <v>7.8250539999999997</v>
      </c>
      <c r="D12" s="6">
        <f>VLOOKUP($A12,raw!$A:$S,3,FALSE) / (1024)</f>
        <v>29.7578125</v>
      </c>
      <c r="E12" s="6">
        <f>VLOOKUP($A12,raw!$A:$S,4,FALSE)/(1000*1000)</f>
        <v>0.98872099999999996</v>
      </c>
      <c r="F12" s="6">
        <f>VLOOKUP($A12,raw!$A:$S,5,FALSE)/(1024)</f>
        <v>21.95703125</v>
      </c>
    </row>
    <row r="13" spans="1:6" x14ac:dyDescent="0.2">
      <c r="A13" s="3"/>
    </row>
    <row r="28" spans="3:3" x14ac:dyDescent="0.2">
      <c r="C2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51232-E4E7-5748-9B3D-48CAC8B6C313}">
  <dimension ref="A1:F12"/>
  <sheetViews>
    <sheetView workbookViewId="0">
      <selection activeCell="F2" sqref="F2"/>
    </sheetView>
  </sheetViews>
  <sheetFormatPr baseColWidth="10" defaultRowHeight="16" x14ac:dyDescent="0.2"/>
  <cols>
    <col min="1" max="1" width="15.33203125" bestFit="1" customWidth="1"/>
    <col min="2" max="2" width="14.83203125" bestFit="1" customWidth="1"/>
    <col min="3" max="3" width="28.33203125" bestFit="1" customWidth="1"/>
    <col min="4" max="4" width="32.83203125" bestFit="1" customWidth="1"/>
    <col min="5" max="5" width="25.1640625" bestFit="1" customWidth="1"/>
    <col min="6" max="6" width="31.5" bestFit="1" customWidth="1"/>
  </cols>
  <sheetData>
    <row r="1" spans="1:6" x14ac:dyDescent="0.2">
      <c r="A1" s="1" t="s">
        <v>32</v>
      </c>
      <c r="B1" s="1" t="s">
        <v>31</v>
      </c>
      <c r="C1" s="1" t="s">
        <v>39</v>
      </c>
      <c r="D1" s="1" t="s">
        <v>40</v>
      </c>
      <c r="E1" s="1" t="s">
        <v>41</v>
      </c>
      <c r="F1" s="1" t="s">
        <v>42</v>
      </c>
    </row>
    <row r="2" spans="1:6" x14ac:dyDescent="0.2">
      <c r="A2" t="s">
        <v>18</v>
      </c>
      <c r="B2" t="s">
        <v>18</v>
      </c>
      <c r="C2" s="6">
        <f>VLOOKUP($A2,raw!$A:$S,6,FALSE)/(1000*1000)</f>
        <v>0.55891900000000005</v>
      </c>
      <c r="D2" s="6">
        <f>VLOOKUP($A2,raw!$A:$S,7,FALSE)/(1024)</f>
        <v>62.81640625</v>
      </c>
      <c r="E2" s="6">
        <f>VLOOKUP($A2,raw!$A:$S,8,FALSE)/(1000*1000)</f>
        <v>3.585537</v>
      </c>
      <c r="F2" s="6">
        <f>VLOOKUP($A2,raw!$A:$S,9,FALSE)/(1024)</f>
        <v>221.4765625</v>
      </c>
    </row>
    <row r="3" spans="1:6" x14ac:dyDescent="0.2">
      <c r="A3" t="s">
        <v>19</v>
      </c>
      <c r="B3" t="s">
        <v>19</v>
      </c>
      <c r="C3" s="6">
        <f>VLOOKUP($A3,raw!$A:$S,6,FALSE)/(1000*1000)</f>
        <v>9.4992079999999994</v>
      </c>
      <c r="D3" s="6">
        <f>VLOOKUP($A3,raw!$A:$S,7,FALSE)/(1024)</f>
        <v>1530.91796875</v>
      </c>
      <c r="E3" s="6">
        <f>VLOOKUP($A3,raw!$A:$S,8,FALSE)/(1000*1000)</f>
        <v>99.552277000000004</v>
      </c>
      <c r="F3" s="6">
        <f>VLOOKUP($A3,raw!$A:$S,9,FALSE)/(1024)</f>
        <v>6014.7578125</v>
      </c>
    </row>
    <row r="4" spans="1:6" x14ac:dyDescent="0.2">
      <c r="A4" t="s">
        <v>16</v>
      </c>
      <c r="B4" t="s">
        <v>16</v>
      </c>
      <c r="C4" s="6">
        <f>VLOOKUP($A4,raw!$A:$S,6,FALSE)/(1000*1000)</f>
        <v>11.125173999999999</v>
      </c>
      <c r="D4" s="6">
        <f>VLOOKUP($A4,raw!$A:$S,7,FALSE)/(1024)</f>
        <v>1686.2265625</v>
      </c>
      <c r="E4" s="6">
        <f>VLOOKUP($A4,raw!$A:$S,8,FALSE)/(1000*1000)</f>
        <v>103.53402800000001</v>
      </c>
      <c r="F4" s="6">
        <f>VLOOKUP($A4,raw!$A:$S,9,FALSE)/(1024)</f>
        <v>6570.49609375</v>
      </c>
    </row>
    <row r="5" spans="1:6" x14ac:dyDescent="0.2">
      <c r="A5" t="s">
        <v>17</v>
      </c>
      <c r="B5" t="s">
        <v>17</v>
      </c>
      <c r="C5" s="6">
        <f>VLOOKUP($A5,raw!$A:$S,6,FALSE)/(1000*1000)</f>
        <v>4.7192800000000004</v>
      </c>
      <c r="D5" s="6">
        <f>VLOOKUP($A5,raw!$A:$S,7,FALSE)/(1024)</f>
        <v>750.63671875</v>
      </c>
      <c r="E5" s="6">
        <f>VLOOKUP($A5,raw!$A:$S,8,FALSE)/(1000*1000)</f>
        <v>48.942751000000001</v>
      </c>
      <c r="F5" s="6">
        <f>VLOOKUP($A5,raw!$A:$S,9,FALSE)/(1024)</f>
        <v>2944.00390625</v>
      </c>
    </row>
    <row r="6" spans="1:6" x14ac:dyDescent="0.2">
      <c r="A6" t="s">
        <v>22</v>
      </c>
      <c r="B6" t="s">
        <v>22</v>
      </c>
      <c r="C6" s="6">
        <f>VLOOKUP($A6,raw!$A:$S,6,FALSE)/(1000*1000)</f>
        <v>0.65994299999999995</v>
      </c>
      <c r="D6" s="6">
        <f>VLOOKUP($A6,raw!$A:$S,7,FALSE)/(1024)</f>
        <v>81.07421875</v>
      </c>
      <c r="E6" s="6">
        <f>VLOOKUP($A6,raw!$A:$S,8,FALSE)/(1000*1000)</f>
        <v>4.0379750000000003</v>
      </c>
      <c r="F6" s="6">
        <f>VLOOKUP($A6,raw!$A:$S,9,FALSE)/(1024)</f>
        <v>286.6640625</v>
      </c>
    </row>
    <row r="7" spans="1:6" x14ac:dyDescent="0.2">
      <c r="A7" t="s">
        <v>23</v>
      </c>
      <c r="B7" t="s">
        <v>23</v>
      </c>
      <c r="C7" s="6">
        <f>VLOOKUP($A7,raw!$A:$S,6,FALSE)/(1000*1000)</f>
        <v>4.933268</v>
      </c>
      <c r="D7" s="6">
        <f>VLOOKUP($A7,raw!$A:$S,7,FALSE)/(1024)</f>
        <v>787.91015625</v>
      </c>
      <c r="E7" s="6">
        <f>VLOOKUP($A7,raw!$A:$S,8,FALSE)/(1000*1000)</f>
        <v>49.631498000000001</v>
      </c>
      <c r="F7" s="6">
        <f>VLOOKUP($A7,raw!$A:$S,9,FALSE)/(1024)</f>
        <v>3113.640625</v>
      </c>
    </row>
    <row r="8" spans="1:6" x14ac:dyDescent="0.2">
      <c r="A8" t="s">
        <v>21</v>
      </c>
      <c r="B8" t="s">
        <v>21</v>
      </c>
      <c r="C8" s="6">
        <f>VLOOKUP($A8,raw!$A:$S,6,FALSE)/(1000*1000)</f>
        <v>4.8017339999999997</v>
      </c>
      <c r="D8" s="6">
        <f>VLOOKUP($A8,raw!$A:$S,7,FALSE)/(1024)</f>
        <v>768.8203125</v>
      </c>
      <c r="E8" s="6">
        <f>VLOOKUP($A8,raw!$A:$S,8,FALSE)/(1000*1000)</f>
        <v>49.143239000000001</v>
      </c>
      <c r="F8" s="6">
        <f>VLOOKUP($A8,raw!$A:$S,9,FALSE)/(1024)</f>
        <v>3009.2265625</v>
      </c>
    </row>
    <row r="9" spans="1:6" x14ac:dyDescent="0.2">
      <c r="A9" t="s">
        <v>24</v>
      </c>
      <c r="B9" s="2" t="s">
        <v>27</v>
      </c>
      <c r="C9" s="6">
        <f>VLOOKUP($A9,raw!$A:$S,6,FALSE)/(1000*1000)</f>
        <v>1.164191</v>
      </c>
      <c r="D9" s="6">
        <f>VLOOKUP($A9,raw!$A:$S,7,FALSE)/(1024)</f>
        <v>158.1953125</v>
      </c>
      <c r="E9" s="6">
        <f>VLOOKUP($A9,raw!$A:$S,8,FALSE)/(1000*1000)</f>
        <v>8.1751839999999998</v>
      </c>
      <c r="F9" s="6">
        <f>VLOOKUP($A9,raw!$A:$S,9,FALSE)/(1024)</f>
        <v>582.171875</v>
      </c>
    </row>
    <row r="10" spans="1:6" x14ac:dyDescent="0.2">
      <c r="A10" t="s">
        <v>25</v>
      </c>
      <c r="B10" t="s">
        <v>28</v>
      </c>
      <c r="C10" s="6">
        <f>VLOOKUP($A10,raw!$A:$S,6,FALSE)/(1000*1000)</f>
        <v>0.41484199999999999</v>
      </c>
      <c r="D10" s="6">
        <f>VLOOKUP($A10,raw!$A:$S,7,FALSE)/(1024)</f>
        <v>43.8203125</v>
      </c>
      <c r="E10" s="6">
        <f>VLOOKUP($A10,raw!$A:$S,8,FALSE)/(1000*1000)</f>
        <v>2.184739</v>
      </c>
      <c r="F10" s="6">
        <f>VLOOKUP($A10,raw!$A:$S,9,FALSE)/(1024)</f>
        <v>147.01171875</v>
      </c>
    </row>
    <row r="11" spans="1:6" x14ac:dyDescent="0.2">
      <c r="A11" t="s">
        <v>15</v>
      </c>
      <c r="B11" t="s">
        <v>29</v>
      </c>
      <c r="C11" s="6">
        <f>VLOOKUP($A11,raw!$A:$S,6,FALSE)/(1000*1000)</f>
        <v>0.26312099999999999</v>
      </c>
      <c r="D11" s="6">
        <f>VLOOKUP($A11,raw!$A:$S,7,FALSE)/(1024)</f>
        <v>4.02734375</v>
      </c>
      <c r="E11" s="6">
        <f>VLOOKUP($A11,raw!$A:$S,8,FALSE)/(1000*1000)</f>
        <v>0.82185900000000001</v>
      </c>
      <c r="F11" s="6">
        <f>VLOOKUP($A11,raw!$A:$S,9,FALSE)/(1024)</f>
        <v>14.5703125</v>
      </c>
    </row>
    <row r="12" spans="1:6" x14ac:dyDescent="0.2">
      <c r="A12" t="s">
        <v>20</v>
      </c>
      <c r="B12" t="s">
        <v>30</v>
      </c>
      <c r="C12" s="6">
        <f>VLOOKUP($A12,raw!$A:$S,6,FALSE)/(1000*1000)</f>
        <v>0.25569799999999998</v>
      </c>
      <c r="D12" s="6">
        <f>VLOOKUP($A12,raw!$A:$S,7,FALSE)/(1024)</f>
        <v>4.7734375</v>
      </c>
      <c r="E12" s="6">
        <f>VLOOKUP($A12,raw!$A:$S,8,FALSE)/(1000*1000)</f>
        <v>0.46556799999999998</v>
      </c>
      <c r="F12" s="6">
        <f>VLOOKUP($A12,raw!$A:$S,9,FALSE)/(1024)</f>
        <v>38.42578125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9891-3239-0F49-8FFF-87FC4289CF2F}">
  <dimension ref="A1:L13"/>
  <sheetViews>
    <sheetView tabSelected="1" zoomScale="99" workbookViewId="0">
      <selection activeCell="I40" sqref="I40"/>
    </sheetView>
  </sheetViews>
  <sheetFormatPr baseColWidth="10" defaultRowHeight="16" x14ac:dyDescent="0.2"/>
  <cols>
    <col min="1" max="1" width="15.33203125" bestFit="1" customWidth="1"/>
    <col min="2" max="2" width="14.83203125" bestFit="1" customWidth="1"/>
    <col min="3" max="3" width="20.5" bestFit="1" customWidth="1"/>
    <col min="4" max="4" width="21.83203125" bestFit="1" customWidth="1"/>
    <col min="5" max="5" width="28.33203125" bestFit="1" customWidth="1"/>
    <col min="6" max="6" width="30.5" bestFit="1" customWidth="1"/>
    <col min="7" max="7" width="22.83203125" customWidth="1"/>
    <col min="8" max="8" width="25" customWidth="1"/>
    <col min="9" max="9" width="28.33203125" bestFit="1" customWidth="1"/>
    <col min="10" max="10" width="30.5" bestFit="1" customWidth="1"/>
    <col min="11" max="11" width="26.6640625" bestFit="1" customWidth="1"/>
    <col min="12" max="12" width="28.6640625" bestFit="1" customWidth="1"/>
  </cols>
  <sheetData>
    <row r="1" spans="1:12" x14ac:dyDescent="0.2">
      <c r="A1" s="1" t="s">
        <v>32</v>
      </c>
      <c r="B1" s="1" t="s">
        <v>31</v>
      </c>
      <c r="C1" s="1" t="s">
        <v>33</v>
      </c>
      <c r="D1" s="1" t="s">
        <v>34</v>
      </c>
      <c r="E1" s="1" t="s">
        <v>35</v>
      </c>
      <c r="F1" s="1" t="s">
        <v>43</v>
      </c>
      <c r="G1" s="1" t="s">
        <v>37</v>
      </c>
      <c r="H1" s="1" t="s">
        <v>44</v>
      </c>
      <c r="I1" s="1" t="s">
        <v>39</v>
      </c>
      <c r="J1" s="1" t="s">
        <v>45</v>
      </c>
      <c r="K1" s="1" t="s">
        <v>41</v>
      </c>
      <c r="L1" s="1" t="s">
        <v>46</v>
      </c>
    </row>
    <row r="2" spans="1:12" x14ac:dyDescent="0.2">
      <c r="A2" t="s">
        <v>18</v>
      </c>
      <c r="B2" t="s">
        <v>18</v>
      </c>
      <c r="C2" s="5">
        <f>VLOOKUP($A2,raw!$A:$S,9,FALSE)</f>
        <v>226792</v>
      </c>
      <c r="D2">
        <f>VLOOKUP($A2,raw!$A:$S,18,FALSE)</f>
        <v>257980</v>
      </c>
      <c r="E2" s="6">
        <f>VLOOKUP($A2,raw!$A:$S,2,FALSE)/(1000*1000)</f>
        <v>1.0622590000000001</v>
      </c>
      <c r="F2" s="6">
        <f>VLOOKUP($A2,raw!$A:$S,11,FALSE)/(1000*1000)</f>
        <v>0.60932299999999995</v>
      </c>
      <c r="G2" s="6">
        <f>VLOOKUP($A2,raw!$A:$S,4,FALSE)/(1000*1000)</f>
        <v>31.274567999999999</v>
      </c>
      <c r="H2" s="6">
        <f>VLOOKUP($A2,raw!$A:$S,13,FALSE)/(1000*1000)</f>
        <v>38.158295000000003</v>
      </c>
      <c r="I2" s="6">
        <f>VLOOKUP($A2,raw!$A:$S,6,FALSE)/(1000*1000)</f>
        <v>0.55891900000000005</v>
      </c>
      <c r="J2" s="6">
        <f>VLOOKUP($A2,raw!$A:$S,15,FALSE)/(1000*1000)</f>
        <v>0.55914799999999998</v>
      </c>
      <c r="K2" s="6">
        <f>VLOOKUP($A2,raw!$A:$S,8,FALSE)/(1000*1000)</f>
        <v>3.585537</v>
      </c>
      <c r="L2" s="6">
        <f>VLOOKUP($A2,raw!$A:$S,17,FALSE)/(1000*1000)</f>
        <v>3.8391660000000001</v>
      </c>
    </row>
    <row r="3" spans="1:12" x14ac:dyDescent="0.2">
      <c r="A3" t="s">
        <v>19</v>
      </c>
      <c r="B3" t="s">
        <v>19</v>
      </c>
      <c r="C3" s="5">
        <f>VLOOKUP($A3,raw!$A:$S,9,FALSE)</f>
        <v>6159112</v>
      </c>
      <c r="D3">
        <f>VLOOKUP($A3,raw!$A:$S,18,FALSE)</f>
        <v>7544412</v>
      </c>
      <c r="E3" s="6">
        <f>VLOOKUP($A3,raw!$A:$S,2,FALSE)/(1000*1000)</f>
        <v>23.112210999999999</v>
      </c>
      <c r="F3" s="6">
        <f>VLOOKUP($A3,raw!$A:$S,11,FALSE)/(1000*1000)</f>
        <v>9.3403369999999999</v>
      </c>
      <c r="G3" s="6">
        <f>VLOOKUP($A3,raw!$A:$S,4,FALSE)/(1000*1000)</f>
        <v>911.44539399999996</v>
      </c>
      <c r="H3" s="6">
        <f>VLOOKUP($A3,raw!$A:$S,13,FALSE)/(1000*1000)</f>
        <v>1188.14759</v>
      </c>
      <c r="I3" s="6">
        <f>VLOOKUP($A3,raw!$A:$S,6,FALSE)/(1000*1000)</f>
        <v>9.4992079999999994</v>
      </c>
      <c r="J3" s="6">
        <f>VLOOKUP($A3,raw!$A:$S,15,FALSE)/(1000*1000)</f>
        <v>11.307957</v>
      </c>
      <c r="K3" s="6">
        <f>VLOOKUP($A3,raw!$A:$S,8,FALSE)/(1000*1000)</f>
        <v>99.552277000000004</v>
      </c>
      <c r="L3" s="6">
        <f>VLOOKUP($A3,raw!$A:$S,17,FALSE)/(1000*1000)</f>
        <v>106.76318999999999</v>
      </c>
    </row>
    <row r="4" spans="1:12" x14ac:dyDescent="0.2">
      <c r="A4" t="s">
        <v>16</v>
      </c>
      <c r="B4" t="s">
        <v>16</v>
      </c>
      <c r="C4" s="5">
        <f>VLOOKUP($A4,raw!$A:$S,9,FALSE)</f>
        <v>6728188</v>
      </c>
      <c r="D4">
        <f>VLOOKUP($A4,raw!$A:$S,18,FALSE)</f>
        <v>8172896</v>
      </c>
      <c r="E4" s="6">
        <f>VLOOKUP($A4,raw!$A:$S,2,FALSE)/(1000*1000)</f>
        <v>26.026357000000001</v>
      </c>
      <c r="F4" s="6">
        <f>VLOOKUP($A4,raw!$A:$S,11,FALSE)/(1000*1000)</f>
        <v>10.392279</v>
      </c>
      <c r="G4" s="6">
        <f>VLOOKUP($A4,raw!$A:$S,4,FALSE)/(1000*1000)</f>
        <v>961.48376099999996</v>
      </c>
      <c r="H4" s="6">
        <f>VLOOKUP($A4,raw!$A:$S,13,FALSE)/(1000*1000)</f>
        <v>1230.2476079999999</v>
      </c>
      <c r="I4" s="6">
        <f>VLOOKUP($A4,raw!$A:$S,6,FALSE)/(1000*1000)</f>
        <v>11.125173999999999</v>
      </c>
      <c r="J4" s="6">
        <f>VLOOKUP($A4,raw!$A:$S,15,FALSE)/(1000*1000)</f>
        <v>12.896936</v>
      </c>
      <c r="K4" s="6">
        <f>VLOOKUP($A4,raw!$A:$S,8,FALSE)/(1000*1000)</f>
        <v>103.53402800000001</v>
      </c>
      <c r="L4" s="6">
        <f>VLOOKUP($A4,raw!$A:$S,17,FALSE)/(1000*1000)</f>
        <v>110.844067</v>
      </c>
    </row>
    <row r="5" spans="1:12" x14ac:dyDescent="0.2">
      <c r="A5" t="s">
        <v>17</v>
      </c>
      <c r="B5" t="s">
        <v>17</v>
      </c>
      <c r="C5" s="5">
        <f>VLOOKUP($A5,raw!$A:$S,9,FALSE)</f>
        <v>3014660</v>
      </c>
      <c r="D5">
        <f>VLOOKUP($A5,raw!$A:$S,18,FALSE)</f>
        <v>3701396</v>
      </c>
      <c r="E5" s="6">
        <f>VLOOKUP($A5,raw!$A:$S,2,FALSE)/(1000*1000)</f>
        <v>11.202946000000001</v>
      </c>
      <c r="F5" s="6">
        <f>VLOOKUP($A5,raw!$A:$S,11,FALSE)/(1000*1000)</f>
        <v>4.7326540000000001</v>
      </c>
      <c r="G5" s="6">
        <f>VLOOKUP($A5,raw!$A:$S,4,FALSE)/(1000*1000)</f>
        <v>445.769364</v>
      </c>
      <c r="H5" s="6">
        <f>VLOOKUP($A5,raw!$A:$S,13,FALSE)/(1000*1000)</f>
        <v>585.93540299999995</v>
      </c>
      <c r="I5" s="6">
        <f>VLOOKUP($A5,raw!$A:$S,6,FALSE)/(1000*1000)</f>
        <v>4.7192800000000004</v>
      </c>
      <c r="J5" s="6">
        <f>VLOOKUP($A5,raw!$A:$S,15,FALSE)/(1000*1000)</f>
        <v>5.6101039999999998</v>
      </c>
      <c r="K5" s="6">
        <f>VLOOKUP($A5,raw!$A:$S,8,FALSE)/(1000*1000)</f>
        <v>48.942751000000001</v>
      </c>
      <c r="L5" s="6">
        <f>VLOOKUP($A5,raw!$A:$S,17,FALSE)/(1000*1000)</f>
        <v>53.393566999999997</v>
      </c>
    </row>
    <row r="6" spans="1:12" x14ac:dyDescent="0.2">
      <c r="A6" t="s">
        <v>22</v>
      </c>
      <c r="B6" t="s">
        <v>22</v>
      </c>
      <c r="C6" s="5">
        <f>VLOOKUP($A6,raw!$A:$S,9,FALSE)</f>
        <v>293544</v>
      </c>
      <c r="D6">
        <f>VLOOKUP($A6,raw!$A:$S,18,FALSE)</f>
        <v>344692</v>
      </c>
      <c r="E6" s="6">
        <f>VLOOKUP($A6,raw!$A:$S,2,FALSE)/(1000*1000)</f>
        <v>1.365747</v>
      </c>
      <c r="F6" s="6">
        <f>VLOOKUP($A6,raw!$A:$S,11,FALSE)/(1000*1000)</f>
        <v>0.70974099999999996</v>
      </c>
      <c r="G6" s="6">
        <f>VLOOKUP($A6,raw!$A:$S,4,FALSE)/(1000*1000)</f>
        <v>38.194350999999997</v>
      </c>
      <c r="H6" s="6">
        <f>VLOOKUP($A6,raw!$A:$S,13,FALSE)/(1000*1000)</f>
        <v>55.245345999999998</v>
      </c>
      <c r="I6" s="6">
        <f>VLOOKUP($A6,raw!$A:$S,6,FALSE)/(1000*1000)</f>
        <v>0.65994299999999995</v>
      </c>
      <c r="J6" s="6">
        <f>VLOOKUP($A6,raw!$A:$S,15,FALSE)/(1000*1000)</f>
        <v>0.68664000000000003</v>
      </c>
      <c r="K6" s="6">
        <f>VLOOKUP($A6,raw!$A:$S,8,FALSE)/(1000*1000)</f>
        <v>4.0379750000000003</v>
      </c>
      <c r="L6" s="6">
        <f>VLOOKUP($A6,raw!$A:$S,17,FALSE)/(1000*1000)</f>
        <v>6.1654090000000004</v>
      </c>
    </row>
    <row r="7" spans="1:12" x14ac:dyDescent="0.2">
      <c r="A7" t="s">
        <v>23</v>
      </c>
      <c r="B7" t="s">
        <v>23</v>
      </c>
      <c r="C7" s="5">
        <f>VLOOKUP($A7,raw!$A:$S,9,FALSE)</f>
        <v>3188368</v>
      </c>
      <c r="D7">
        <f>VLOOKUP($A7,raw!$A:$S,18,FALSE)</f>
        <v>3801212</v>
      </c>
      <c r="E7" s="6">
        <f>VLOOKUP($A7,raw!$A:$S,2,FALSE)/(1000*1000)</f>
        <v>11.696284</v>
      </c>
      <c r="F7" s="6">
        <f>VLOOKUP($A7,raw!$A:$S,11,FALSE)/(1000*1000)</f>
        <v>4.9297149999999998</v>
      </c>
      <c r="G7" s="6">
        <f>VLOOKUP($A7,raw!$A:$S,4,FALSE)/(1000*1000)</f>
        <v>459.151206</v>
      </c>
      <c r="H7" s="6">
        <f>VLOOKUP($A7,raw!$A:$S,13,FALSE)/(1000*1000)</f>
        <v>602.44182699999999</v>
      </c>
      <c r="I7" s="6">
        <f>VLOOKUP($A7,raw!$A:$S,6,FALSE)/(1000*1000)</f>
        <v>4.933268</v>
      </c>
      <c r="J7" s="6">
        <f>VLOOKUP($A7,raw!$A:$S,15,FALSE)/(1000*1000)</f>
        <v>5.8589130000000003</v>
      </c>
      <c r="K7" s="6">
        <f>VLOOKUP($A7,raw!$A:$S,8,FALSE)/(1000*1000)</f>
        <v>49.631498000000001</v>
      </c>
      <c r="L7" s="6">
        <f>VLOOKUP($A7,raw!$A:$S,17,FALSE)/(1000*1000)</f>
        <v>54.529333000000001</v>
      </c>
    </row>
    <row r="8" spans="1:12" x14ac:dyDescent="0.2">
      <c r="A8" t="s">
        <v>21</v>
      </c>
      <c r="B8" t="s">
        <v>21</v>
      </c>
      <c r="C8" s="5">
        <f>VLOOKUP($A8,raw!$A:$S,9,FALSE)</f>
        <v>3081448</v>
      </c>
      <c r="D8">
        <f>VLOOKUP($A8,raw!$A:$S,18,FALSE)</f>
        <v>3769464</v>
      </c>
      <c r="E8" s="6">
        <f>VLOOKUP($A8,raw!$A:$S,2,FALSE)/(1000*1000)</f>
        <v>11.452208000000001</v>
      </c>
      <c r="F8" s="6">
        <f>VLOOKUP($A8,raw!$A:$S,11,FALSE)/(1000*1000)</f>
        <v>4.8425750000000001</v>
      </c>
      <c r="G8" s="6">
        <f>VLOOKUP($A8,raw!$A:$S,4,FALSE)/(1000*1000)</f>
        <v>451.959024</v>
      </c>
      <c r="H8" s="6">
        <f>VLOOKUP($A8,raw!$A:$S,13,FALSE)/(1000*1000)</f>
        <v>593.44241799999998</v>
      </c>
      <c r="I8" s="6">
        <f>VLOOKUP($A8,raw!$A:$S,6,FALSE)/(1000*1000)</f>
        <v>4.8017339999999997</v>
      </c>
      <c r="J8" s="6">
        <f>VLOOKUP($A8,raw!$A:$S,15,FALSE)/(1000*1000)</f>
        <v>5.760732</v>
      </c>
      <c r="K8" s="6">
        <f>VLOOKUP($A8,raw!$A:$S,8,FALSE)/(1000*1000)</f>
        <v>49.143239000000001</v>
      </c>
      <c r="L8" s="6">
        <f>VLOOKUP($A8,raw!$A:$S,17,FALSE)/(1000*1000)</f>
        <v>53.786212999999996</v>
      </c>
    </row>
    <row r="9" spans="1:12" x14ac:dyDescent="0.2">
      <c r="A9" t="s">
        <v>24</v>
      </c>
      <c r="B9" s="2" t="s">
        <v>27</v>
      </c>
      <c r="C9" s="5">
        <f>VLOOKUP($A9,raw!$A:$S,9,FALSE)</f>
        <v>596144</v>
      </c>
      <c r="D9">
        <f>VLOOKUP($A9,raw!$A:$S,18,FALSE)</f>
        <v>713304</v>
      </c>
      <c r="E9" s="6">
        <f>VLOOKUP($A9,raw!$A:$S,2,FALSE)/(1000*1000)</f>
        <v>2.474818</v>
      </c>
      <c r="F9" s="6">
        <f>VLOOKUP($A9,raw!$A:$S,11,FALSE)/(1000*1000)</f>
        <v>1.2157169999999999</v>
      </c>
      <c r="G9" s="6">
        <f>VLOOKUP($A9,raw!$A:$S,4,FALSE)/(1000*1000)</f>
        <v>79.102241000000006</v>
      </c>
      <c r="H9" s="6">
        <f>VLOOKUP($A9,raw!$A:$S,13,FALSE)/(1000*1000)</f>
        <v>115.228326</v>
      </c>
      <c r="I9" s="6">
        <f>VLOOKUP($A9,raw!$A:$S,6,FALSE)/(1000*1000)</f>
        <v>1.164191</v>
      </c>
      <c r="J9" s="6">
        <f>VLOOKUP($A9,raw!$A:$S,15,FALSE)/(1000*1000)</f>
        <v>1.3083769999999999</v>
      </c>
      <c r="K9" s="6">
        <f>VLOOKUP($A9,raw!$A:$S,8,FALSE)/(1000*1000)</f>
        <v>8.1751839999999998</v>
      </c>
      <c r="L9" s="6">
        <f>VLOOKUP($A9,raw!$A:$S,17,FALSE)/(1000*1000)</f>
        <v>12.06476</v>
      </c>
    </row>
    <row r="10" spans="1:12" x14ac:dyDescent="0.2">
      <c r="A10" t="s">
        <v>25</v>
      </c>
      <c r="B10" t="s">
        <v>28</v>
      </c>
      <c r="C10" s="5">
        <f>VLOOKUP($A10,raw!$A:$S,9,FALSE)</f>
        <v>150540</v>
      </c>
      <c r="D10">
        <f>VLOOKUP($A10,raw!$A:$S,18,FALSE)</f>
        <v>173340</v>
      </c>
      <c r="E10" s="6">
        <f>VLOOKUP($A10,raw!$A:$S,2,FALSE)/(1000*1000)</f>
        <v>0.76018399999999997</v>
      </c>
      <c r="F10" s="6">
        <f>VLOOKUP($A10,raw!$A:$S,11,FALSE)/(1000*1000)</f>
        <v>0.45746700000000001</v>
      </c>
      <c r="G10" s="6">
        <f>VLOOKUP($A10,raw!$A:$S,4,FALSE)/(1000*1000)</f>
        <v>19.229776999999999</v>
      </c>
      <c r="H10" s="6">
        <f>VLOOKUP($A10,raw!$A:$S,13,FALSE)/(1000*1000)</f>
        <v>27.638508999999999</v>
      </c>
      <c r="I10" s="6">
        <f>VLOOKUP($A10,raw!$A:$S,6,FALSE)/(1000*1000)</f>
        <v>0.41484199999999999</v>
      </c>
      <c r="J10" s="6">
        <f>VLOOKUP($A10,raw!$A:$S,15,FALSE)/(1000*1000)</f>
        <v>0.40828599999999998</v>
      </c>
      <c r="K10" s="6">
        <f>VLOOKUP($A10,raw!$A:$S,8,FALSE)/(1000*1000)</f>
        <v>2.184739</v>
      </c>
      <c r="L10" s="6">
        <f>VLOOKUP($A10,raw!$A:$S,17,FALSE)/(1000*1000)</f>
        <v>3.140854</v>
      </c>
    </row>
    <row r="11" spans="1:12" x14ac:dyDescent="0.2">
      <c r="A11" t="s">
        <v>15</v>
      </c>
      <c r="B11" t="s">
        <v>29</v>
      </c>
      <c r="C11" s="5">
        <f>VLOOKUP($A11,raw!$A:$S,9,FALSE)</f>
        <v>14920</v>
      </c>
      <c r="D11">
        <f>VLOOKUP($A11,raw!$A:$S,18,FALSE)</f>
        <v>45612</v>
      </c>
      <c r="E11" s="6">
        <f>VLOOKUP($A11,raw!$A:$S,2,FALSE)/(1000*1000)</f>
        <v>1.811952</v>
      </c>
      <c r="F11" s="6">
        <f>VLOOKUP($A11,raw!$A:$S,11,FALSE)/(1000*1000)</f>
        <v>1.767571</v>
      </c>
      <c r="G11" s="6">
        <f>VLOOKUP($A11,raw!$A:$S,4,FALSE)/(1000*1000)</f>
        <v>2.0795149999999998</v>
      </c>
      <c r="H11" s="6">
        <f>VLOOKUP($A11,raw!$A:$S,13,FALSE)/(1000*1000)</f>
        <v>9.3964259999999999</v>
      </c>
      <c r="I11" s="6">
        <f>VLOOKUP($A11,raw!$A:$S,6,FALSE)/(1000*1000)</f>
        <v>0.26312099999999999</v>
      </c>
      <c r="J11" s="6">
        <f>VLOOKUP($A11,raw!$A:$S,15,FALSE)/(1000*1000)</f>
        <v>0.31263800000000003</v>
      </c>
      <c r="K11" s="6">
        <f>VLOOKUP($A11,raw!$A:$S,8,FALSE)/(1000*1000)</f>
        <v>0.82185900000000001</v>
      </c>
      <c r="L11" s="6">
        <f>VLOOKUP($A11,raw!$A:$S,17,FALSE)/(1000*1000)</f>
        <v>2.6340379999999999</v>
      </c>
    </row>
    <row r="12" spans="1:12" x14ac:dyDescent="0.2">
      <c r="A12" t="s">
        <v>20</v>
      </c>
      <c r="B12" t="s">
        <v>30</v>
      </c>
      <c r="C12" s="5">
        <f>VLOOKUP($A12,raw!$A:$S,9,FALSE)</f>
        <v>39348</v>
      </c>
      <c r="D12">
        <f>VLOOKUP($A12,raw!$A:$S,18,FALSE)</f>
        <v>789120</v>
      </c>
      <c r="E12" s="6">
        <f>VLOOKUP($A12,raw!$A:$S,2,FALSE)/(1000*1000)</f>
        <v>7.8250539999999997</v>
      </c>
      <c r="F12" s="6">
        <f>VLOOKUP($A12,raw!$A:$S,11,FALSE)/(1000*1000)</f>
        <v>2.62608</v>
      </c>
      <c r="G12" s="6">
        <f>VLOOKUP($A12,raw!$A:$S,4,FALSE)/(1000*1000)</f>
        <v>0.98872099999999996</v>
      </c>
      <c r="H12" s="6">
        <f>VLOOKUP($A12,raw!$A:$S,13,FALSE)/(1000*1000)</f>
        <v>196.001992</v>
      </c>
      <c r="I12" s="6">
        <f>VLOOKUP($A12,raw!$A:$S,6,FALSE)/(1000*1000)</f>
        <v>0.25569799999999998</v>
      </c>
      <c r="J12" s="6">
        <f>VLOOKUP($A12,raw!$A:$S,15,FALSE)/(1000*1000)</f>
        <v>1.0124979999999999</v>
      </c>
      <c r="K12" s="6">
        <f>VLOOKUP($A12,raw!$A:$S,8,FALSE)/(1000*1000)</f>
        <v>0.46556799999999998</v>
      </c>
      <c r="L12" s="6">
        <f>VLOOKUP($A12,raw!$A:$S,17,FALSE)/(1000*1000)</f>
        <v>19.932639000000002</v>
      </c>
    </row>
    <row r="13" spans="1:12" x14ac:dyDescent="0.2">
      <c r="E13" s="6"/>
      <c r="F13" s="6"/>
      <c r="G13" s="6"/>
      <c r="H13" s="6"/>
      <c r="I13" s="6"/>
      <c r="J13" s="6"/>
      <c r="K13" s="6"/>
      <c r="L13" s="6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One-time Steps Optimized</vt:lpstr>
      <vt:lpstr>Repeat Steps Optimized</vt:lpstr>
      <vt:lpstr>Optimized vs Unoptimized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TU-Pseudonym 0005058325311069</dc:creator>
  <cp:keywords/>
  <dc:description/>
  <cp:lastModifiedBy>TU-Pseudonym 0005058325311069</cp:lastModifiedBy>
  <dcterms:created xsi:type="dcterms:W3CDTF">2020-04-22T20:41:17Z</dcterms:created>
  <dcterms:modified xsi:type="dcterms:W3CDTF">2020-04-23T01:38:55Z</dcterms:modified>
  <cp:category/>
</cp:coreProperties>
</file>