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tables/table5.xml" ContentType="application/vnd.openxmlformats-officedocument.spreadsheetml.table+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tables/table6.xml" ContentType="application/vnd.openxmlformats-officedocument.spreadsheetml.table+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tables/table7.xml" ContentType="application/vnd.openxmlformats-officedocument.spreadsheetml.table+xml"/>
  <Override PartName="/xl/slicers/slicer5.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tables/table8.xml" ContentType="application/vnd.openxmlformats-officedocument.spreadsheetml.table+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tables/table9.xml" ContentType="application/vnd.openxmlformats-officedocument.spreadsheetml.table+xml"/>
  <Override PartName="/xl/slicers/slicer7.xml" ContentType="application/vnd.ms-excel.slicer+xml"/>
  <Override PartName="/xl/drawings/drawing10.xml" ContentType="application/vnd.openxmlformats-officedocument.drawing+xml"/>
  <Override PartName="/xl/tables/table10.xml" ContentType="application/vnd.openxmlformats-officedocument.spreadsheetml.table+xml"/>
  <Override PartName="/xl/slicers/slicer8.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tables/table11.xml" ContentType="application/vnd.openxmlformats-officedocument.spreadsheetml.table+xml"/>
  <Override PartName="/xl/slicers/slicer9.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tables/table12.xml" ContentType="application/vnd.openxmlformats-officedocument.spreadsheetml.table+xml"/>
  <Override PartName="/xl/slicers/slicer10.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xml"/>
  <Override PartName="/xl/tables/table13.xml" ContentType="application/vnd.openxmlformats-officedocument.spreadsheetml.table+xml"/>
  <Override PartName="/xl/slicers/slicer1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tables/table14.xml" ContentType="application/vnd.openxmlformats-officedocument.spreadsheetml.table+xml"/>
  <Override PartName="/xl/slicers/slicer12.xml" ContentType="application/vnd.ms-excel.slicer+xml"/>
  <Override PartName="/xl/drawings/drawing15.xml" ContentType="application/vnd.openxmlformats-officedocument.drawing+xml"/>
  <Override PartName="/xl/tables/table15.xml" ContentType="application/vnd.openxmlformats-officedocument.spreadsheetml.table+xml"/>
  <Override PartName="/xl/slicers/slicer1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tables/table16.xml" ContentType="application/vnd.openxmlformats-officedocument.spreadsheetml.table+xml"/>
  <Override PartName="/xl/slicers/slicer14.xml" ContentType="application/vnd.ms-excel.slicer+xml"/>
  <Override PartName="/xl/namedSheetViews/namedSheetView1.xml" ContentType="application/vnd.ms-excel.namedsheetview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tables/table17.xml" ContentType="application/vnd.openxmlformats-officedocument.spreadsheetml.table+xml"/>
  <Override PartName="/xl/slicers/slicer1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tables/table18.xml" ContentType="application/vnd.openxmlformats-officedocument.spreadsheetml.table+xml"/>
  <Override PartName="/xl/slicers/slicer16.xml" ContentType="application/vnd.ms-excel.slicer+xml"/>
  <Override PartName="/xl/drawings/drawing19.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slicers/slicer17.xml" ContentType="application/vnd.ms-excel.slicer+xml"/>
  <Override PartName="/xl/drawings/drawing20.xml" ContentType="application/vnd.openxmlformats-officedocument.drawing+xml"/>
  <Override PartName="/xl/ctrlProps/ctrlProp1.xml" ContentType="application/vnd.ms-excel.controlproperties+xml"/>
  <Override PartName="/xl/drawings/drawing21.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d.docs.live.net/b07a7ff2a689f0ac/elixir/gestion/"/>
    </mc:Choice>
  </mc:AlternateContent>
  <xr:revisionPtr revIDLastSave="5634" documentId="13_ncr:1_{64FBD3FF-F286-4BD3-BFBD-204A05FF4B8E}" xr6:coauthVersionLast="47" xr6:coauthVersionMax="47" xr10:uidLastSave="{77ABC34D-E1AE-484F-9E52-DDD5959EE2DF}"/>
  <workbookProtection workbookAlgorithmName="SHA-512" workbookHashValue="XulD4oZpFrwo0/d7xFWZHGjNMNWlgbOPxPO4+HFrU/lESsWpdwjdgQLQ5ASr8WyR+59KoQ9l7NE+GhVD5WRGqA==" workbookSaltValue="5B1zSULZZMTmqazlYrJQQg==" workbookSpinCount="100000" lockStructure="1"/>
  <bookViews>
    <workbookView xWindow="51480" yWindow="-120" windowWidth="38640" windowHeight="21120" tabRatio="813" activeTab="6" xr2:uid="{71D21679-1B0F-465D-BD33-6CB74786D34E}"/>
  </bookViews>
  <sheets>
    <sheet name="infos" sheetId="4" r:id="rId1"/>
    <sheet name="punch" sheetId="19" r:id="rId2"/>
    <sheet name="planner" sheetId="26" r:id="rId3"/>
    <sheet name="QA" sheetId="29" r:id="rId4"/>
    <sheet name="stats" sheetId="25" r:id="rId5"/>
    <sheet name="DESIGN" sheetId="16" r:id="rId6"/>
    <sheet name="MODELING" sheetId="6" r:id="rId7"/>
    <sheet name="RIGGING" sheetId="17" r:id="rId8"/>
    <sheet name="SURFACING" sheetId="5" r:id="rId9"/>
    <sheet name="ASSETS" sheetId="7" r:id="rId10"/>
    <sheet name="texture" sheetId="27" r:id="rId11"/>
    <sheet name="LAYOUT" sheetId="8" r:id="rId12"/>
    <sheet name="ANIM" sheetId="1" r:id="rId13"/>
    <sheet name="LIGHTING" sheetId="9" r:id="rId14"/>
    <sheet name="VFX" sheetId="11" r:id="rId15"/>
    <sheet name="vfx mym" sheetId="28" r:id="rId16"/>
    <sheet name="RENDER" sheetId="10" r:id="rId17"/>
    <sheet name="COMP" sheetId="12" r:id="rId18"/>
    <sheet name="SHOTS" sheetId="2" r:id="rId19"/>
    <sheet name="metaAssets" sheetId="3" r:id="rId20"/>
    <sheet name="metaShots" sheetId="20" r:id="rId21"/>
    <sheet name="Assets-Shots" sheetId="23" r:id="rId22"/>
    <sheet name="calendar" sheetId="13" r:id="rId23"/>
    <sheet name="_data_" sheetId="21" r:id="rId24"/>
  </sheets>
  <definedNames>
    <definedName name="anim_ponderation">ANIM!$L$1:$Q$1</definedName>
    <definedName name="animProgress">anim[[#Totals],[Progress]]</definedName>
    <definedName name="artist_punch">punch!$J$2</definedName>
    <definedName name="artistAverageWorkingHours">_xlfn.LAMBDA(_xlpm.artist,     _xlfn.LET(         _xlpm.result, AVERAGE(_xlfn.UNIQUE(_xlfn._xlws.FILTER(punch[Week Total], punch[Artist]=_xlpm.artist))),         TEXT(_xlpm.result, "h:mm")     ) )</definedName>
    <definedName name="artistRecommendedWorkingHours">_xlfn.LAMBDA(_xlpm.artist,     _xlfn.LET(         _xlpm.dayValue, _xlfn.DAYS(dateLivraisonFinale, TODAY()),         _xlpm.weekValue, ROUND(_xlpm.dayValue/7, 0),         _xlpm.result, getHoursToDo(_xlpm.artist)/_xlpm.weekValue,         TEXT(_xlpm.result/24, "h:mm")     ) )</definedName>
    <definedName name="ASSETS_ponderation">ASSETS!$G$1:$J$1</definedName>
    <definedName name="assetsProgress">assets[[#Totals],[Progress]]</definedName>
    <definedName name="assetWeeklyPlanner">_xlfn.LAMBDA(_xlfn.LET(_xlpm.designTasks,_xlfn._xlws.FILTER(_xlfn.HSTACK(design[Artist],INDEX({"design"},MOD(ROW(INDIRECT("1:"&amp;(COUNTA({"design"})*COUNTA(design[Artist])))),COUNTA({"design"}))+1),design[Asset Name],design[Status],TEXT(design[Progress],"0%"),TEXT(design[Hours to do],"0")&amp;" hrs"),design[add to planner]),_xlpm.modelingTasks,_xlfn._xlws.FILTER(_xlfn.HSTACK(modeling[Artist],INDEX({"modeling"},MOD(ROW(INDIRECT("1:"&amp;(COUNTA({"modeling"})*COUNTA(modeling[Artist])))),COUNTA({"modeling"}))+1),modeling[Asset Name],modeling[Status],TEXT(modeling[Progress],"0%"),TEXT(modeling[Hours to do],"0")&amp;" hrs"),modeling[add to planner]),_xlpm.riggingTasks,_xlfn._xlws.FILTER(_xlfn.HSTACK(rigging[Artist],INDEX({"rigging"},MOD(ROW(INDIRECT("1:"&amp;(COUNTA({"rigging"})*COUNTA(rigging[Artist])))),COUNTA({"rigging"}))+1),rigging[Asset Name],rigging[Status],TEXT(rigging[Progress],"0%"),TEXT(rigging[Hours to do],"0")&amp;" hrs"),rigging[add to planner]),_xlpm.surfacingTasks,_xlfn._xlws.FILTER(_xlfn.HSTACK(surfacing[Artist],INDEX({"surfacing"},MOD(ROW(INDIRECT("1:"&amp;(COUNTA({"surfacing"})*COUNTA(surfacing[Artist])))),COUNTA({"surfacing"}))+1),surfacing[Asset Name],surfacing[Status],TEXT(surfacing[Progress],"0%"),TEXT(surfacing[Hours to do],"0")&amp;" hrs"),surfacing[add to planner]),_xlpm.designT,IF(ISERROR(_xlpm.designTasks),"Z",_xlpm.designTasks),_xlpm.modelingT,IF(ISERROR(_xlpm.modelingTasks),"Z",_xlpm.modelingTasks),_xlpm.riggingT,IF(ISERROR(_xlpm.riggingTasks),"Z",_xlpm.riggingTasks),_xlpm.surfacingT,IF(ISERROR(_xlpm.surfacingTasks),"Z",_xlpm.surfacingTasks),_xlpm.assetTasks,_xlfn.VSTACK(_xlpm.designT,_xlpm.modelingT,_xlpm.riggingT,_xlpm.surfacingT),_xlfn._xlws.FILTER(_xlfn._xlws.SORT(_xlpm.assetTasks,1),_xlfn.TAKE(_xlfn._xlws.SORT(_xlpm.assetTasks,1),,1)&lt;&gt;"Z")))</definedName>
    <definedName name="comp_ponderation">'COMP'!$L$1:$N$1</definedName>
    <definedName name="compProgress">comp[[#Totals],[Progress]]</definedName>
    <definedName name="dateLivraisonFinale">_data_!$M$26</definedName>
    <definedName name="dateOeuvreV1">_data_!$M$27</definedName>
    <definedName name="daysToFinalDelivery">_xlfn.LAMBDA(     _xlfn.DAYS(dateLivraisonFinale, TODAY())&amp;" jours" )</definedName>
    <definedName name="daysToNextProductionDelivery">_xlfn.LAMBDA(     _xlfn.LET(         _xlpm.productionDates, _xlfn._xlws.FILTER(deliveryDates[Date], deliveryDates[Type]="Production"),         _xlpm.upcomingDeliveryDate, _xlfn.XLOOKUP(TRUE, _xlfn._xlws.SORT(_xlpm.productionDates) &gt;= TODAY(), _xlfn._xlws.SORT(_xlpm.productionDates)),         _xlpm.result, _xlfn.DAYS(_xlpm.upcomingDeliveryDate, TODAY()),         _xlpm.sufix, IF(_xlpm.result &lt;= 1, "jour", "jours"),         _xlpm.result &amp; " " &amp; _xlpm.sufix     ) )</definedName>
    <definedName name="daysToNextSuiviDelivery">_xlfn.LAMBDA(     _xlfn.LET(         _xlpm.productionDates, _xlfn._xlws.FILTER(deliveryDates[Date], deliveryDates[Type]="Suivi"),         _xlpm.upcomingDeliveryDate, _xlfn.XLOOKUP(TRUE, _xlfn._xlws.SORT(_xlpm.productionDates) &gt;= TODAY(), _xlfn._xlws.SORT(_xlpm.productionDates)),         _xlpm.result, _xlfn.DAYS(_xlpm.upcomingDeliveryDate, TODAY()),         _xlpm.sufix, IF(_xlpm.result &lt;= 1, "jour", "jours"),         _xlpm.result &amp; " " &amp; _xlpm.sufix     ) )</definedName>
    <definedName name="daysToOeuvreV1">_xlfn.LAMBDA(     _xlfn.DAYS(dateOeuvreV1, TODAY())&amp;" jours" )</definedName>
    <definedName name="design_ponderation">DESIGN!$J$1:$L$1</definedName>
    <definedName name="designProgress">design[[#Totals],[Progress]]</definedName>
    <definedName name="DonnéesExternes_1" localSheetId="23" hidden="1">_data_!#REF!</definedName>
    <definedName name="endDate">_xlfn.LAMBDA(_xlpm.startDate,_xlpm.duration,_xlpm.artist,     _xlfn.LET(         _xlpm.weekends, getWeekendString(_xlpm.artist),         WORKDAY.INTL(_xlpm.startDate, _xlpm.duration, _xlpm.weekends)     ) )</definedName>
    <definedName name="estimatedDeliveryDate">_xlfn.LAMBDA(     _xlfn.LET(         _xlpm.totalHoursToDo, SUM(_xlfn.MAP(infos[Artist], _xlfn.LAMBDA(_xlpm.artist, getHoursToDo(_xlpm.artist)))),         _xlpm.teamAverageWorkingHours, SUM(_xlfn.MAP(infos[Artist], _xlfn.LAMBDA(_xlpm.artist, artistAverageWorkingHours(_xlpm.artist)/7)))*24,         _xlpm.calculatedWorkingDays, ROUND(_xlpm.totalHoursToDo/_xlpm.teamAverageWorkingHours, 0),         _xlpm.result, TODAY()+_xlpm.calculatedWorkingDays,         _xlpm.result     ) )</definedName>
    <definedName name="final_progress">LAYOUT!$N$52</definedName>
    <definedName name="getArtist">_xlfn.LAMBDA(_xlpm.task, _xlfn.IFNA( _xlfn.XLOOKUP(_xlpm.task,#REF!,#REF!), "-"))</definedName>
    <definedName name="getAssets">_xlfn.LAMBDA(_xlpm.shot,_xlpm.tier,     _xlfn.LET(         _xlpm.all_index, _xlfn.SEQUENCE(COUNTA(metaSHOTS[Shot])),         _xlpm.shot_index, _xlfn.XLOOKUP(_xlpm.shot, metaSHOTS[Shot], _xlpm.all_index) - 1,         _xlpm.filter, IF(OFFSET(_xlfn.TAKE(plage_assets_shots, COUNTA(metaASSETS[Asset Name]), 1), 0, _xlpm.shot_index) = _xlpm.tier, TRUE, FALSE),         _xlpm.result, _xlfn._xlws.FILTER(metaASSETS[Asset Name], _xlpm.filter, "-"),         _xlfn.TEXTJOIN(", ",, _xlpm.result)     ) )</definedName>
    <definedName name="getAssetStatus">_xlfn.LAMBDA(_xlpm.asset,_xlpm.step,     _xlfn.LET(     _xlpm.currStatus, _xlfn.XLOOKUP(_xlpm.asset,assets[[Asset Name]:[Asset Name]],assets[[Status]:[Status]]),     _xlpm.currValue, _xlfn.XLOOKUP(_xlpm.currStatus, assetPipelineData[[Actual]:[Actual]],assetPipelineData[[Value]:[Value]]),     _xlpm.inputValue, _xlfn.XLOOKUP(_xlpm.step, assetPipelineData[[Actual]:[Actual]], assetPipelineData[[Value]:[Value]]),     IF(_xlpm.inputValue&lt;=_xlpm.currValue, TRUE, "")     ) )</definedName>
    <definedName name="getBaseLine">_xlfn.LAMBDA(_xlpm.artist,     _xlfn.LET(     _xlpm.result, SUM(         _xlfn._xlws.FILTER(design[Estimated], design[Artist]=_xlpm.artist, 0),         _xlfn._xlws.FILTER(modeling[Estimated], modeling[Artist]=_xlpm.artist, 0),         _xlfn._xlws.FILTER(rigging[Estimated], rigging[Artist]=_xlpm.artist, 0),         _xlfn._xlws.FILTER(surfacing[Estimated], surfacing[Artist]=_xlpm.artist, 0),         _xlfn._xlws.FILTER(layout[Estimated], layout[Artist]=_xlpm.artist, 0),         _xlfn._xlws.FILTER(anim[Estimated], anim[Artist]=_xlpm.artist, 0),         _xlfn._xlws.FILTER(lighting[Estimated], lighting[Artist]=_xlpm.artist, 0),         _xlfn._xlws.FILTER(vfx[Estimated], vfx[Artist]=_xlpm.artist, 0),         _xlfn._xlws.FILTER(render[Estimated], render[Artist]=_xlpm.artist, 0),         _xlfn._xlws.FILTER(comp[Estimated], comp[Artist]=_xlpm.artist, 0)         ),     _xlpm.result     ) )</definedName>
    <definedName name="getDateSequence">_xlfn.LAMBDA(_xlpm.date1,_xlpm.date2,     _xlfn.LET(         _xlpm.start, _xlpm.date1,         _xlpm.end, _xlpm.date2,         _xlfn.SEQUENCE(1, _xlpm.end-_xlpm.start+1, _xlpm.start, 1)     ) )</definedName>
    <definedName name="getElementPriority">_xlfn.LAMBDA(     _xlfn.LET(         _xlpm.isAsset, NOT(ISERROR(MATCH(#REF!, assetPipelineData[Actual], 0))),         IF(             _xlpm.isAsset,             _xlfn.XLOOKUP(#REF!, assets[Asset Name], assets[Priority]),             _xlfn.XLOOKUP(#REF!, shots[Shot], shots[Priority])         )     ) )</definedName>
    <definedName name="getHeuristic">_xlfn.LAMBDA(_xlpm.tasks, _xlfn.XLOOKUP(_xlpm.tasks,#REF!,#REF!))</definedName>
    <definedName name="getHoursToDo">_xlfn.LAMBDA(_xlpm.artist,     _xlfn.LET(     _xlpm.result,         SUM(             _xlfn._xlws.FILTER(design[Hours to do], design[Artist]=_xlpm.artist, 0),             _xlfn._xlws.FILTER(modeling[Hours to do], modeling[Artist]=_xlpm.artist, 0),             _xlfn._xlws.FILTER(rigging[Hours to do], rigging[Artist]=_xlpm.artist, 0),             _xlfn._xlws.FILTER(surfacing[Hours to do], surfacing[Artist]=_xlpm.artist, 0),             _xlfn._xlws.FILTER(layout[Hours to do], layout[Artist]=_xlpm.artist, 0),             _xlfn._xlws.FILTER(anim[Hours to do], anim[Artist]=_xlpm.artist, 0),             _xlfn._xlws.FILTER(lighting[Hours to do], lighting[Artist]=_xlpm.artist, 0),             _xlfn._xlws.FILTER(vfx[Hours to do], vfx[Artist]=_xlpm.artist, 0),             _xlfn._xlws.FILTER(render[Hours to do], render[Artist]=_xlpm.artist, 0),             _xlfn._xlws.FILTER(comp[Hours to do], comp[Artist]=_xlpm.artist, 0)         ),     _xlpm.result     ) )</definedName>
    <definedName name="getOrder">_xlfn.LAMBDA(_xlpm.task, _xlfn.XLOOKUP(_xlpm.task, next_task({25}), _xlfn.SEQUENCE(MAX(#REF!))))</definedName>
    <definedName name="getPipelineStep">_xlfn.LAMBDA(_xlpm.date,_xlpm.artist,     _xlfn.LET(         _xlpm.startDates, _xlfn._xlws.FILTER(#REF!,#REF!= _xlpm.artist),         _xlpm.endDates, _xlfn._xlws.FILTER(#REF!,#REF!= _xlpm.artist),         _xlpm.filter, _xlfn.MAP(_xlpm.startDates, _xlpm.endDates, _xlfn.LAMBDA(_xlpm.startDate,_xlpm.endDate, AND(_xlpm.startDate&lt;=_xlpm.date, _xlpm.date&lt;=_xlpm.endDate))),         _xlpm.result, _xlfn._xlws.FILTER(_xlfn._xlws.FILTER(#REF!, (#REF!=_xlpm.artist)), _xlpm.filter),         _xlpm.result     ) )</definedName>
    <definedName name="getPredecessorHeuristic">_xlfn.LAMBDA(_xlpm.task, IF(ISERROR(task_heuristic(asset_predecessor_index(_xlpm.task))), task_heuristic(_xlpm.task), task_heuristic(asset_predecessor_index(_xlpm.task))))</definedName>
    <definedName name="getPredecessorIndex">_xlfn.LAMBDA(     _xlfn.LET(         _xlpm.isAsset, NOT(ISERROR(MATCH(#REF!, assetPipelineData[Actual], 0))),         IF(             _xlpm.isAsset,             _xlfn.LET(                 _xlpm.predecessor, _xlfn.XLOOKUP(#REF!, assetPipelineData[Actual], assetPipelineData[Predecessor]),                 _xlpm.assetName,#REF!,                 _xlpm.predecessorIndex, INDEX(#REF!, MATCH( 1, (_xlpm.predecessor=#REF!)*(_xlpm.assetName=#REF!), 0)),                 IF(ISERROR(_xlpm.predecessorIndex), "-", _xlpm.predecessorIndex)             ),             _xlfn.LET(                 _xlpm.predecessor, _xlfn.XLOOKUP(#REF!, shotPipelineData[Actual], shotPipelineData[Predecessor]),                 _xlpm.shotCode,#REF!,                 _xlpm.predecessorIndex, INDEX(#REF!, MATCH( 1, (_xlpm.predecessor=#REF!)*(_xlpm.shotCode=#REF!), 0)),                 IF(ISERROR(_xlpm.predecessorIndex), "-", _xlpm.predecessorIndex)             )         )     ) )</definedName>
    <definedName name="getShots">_xlfn.LAMBDA(_xlpm.asset,     _xlfn.LET(         _xlpm.all_index, _xlfn.SEQUENCE(COUNTA(metaASSETS[Asset Name])),         _xlpm.asset_index, _xlfn.XLOOKUP(_xlpm.asset, metaASSETS[Asset Name], _xlpm.all_index) - 1,         _xlpm.filter, IF(NOT(ISBLANK(OFFSET(_xlfn.TAKE(plage_assets_shots, 1), _xlpm.asset_index, 0))), TRUE, FALSE),         _xlpm.result, _xlfn._xlws.FILTER(TRANSPOSE(metaSHOTS[Shot]), _xlpm.filter, "-"),         _xlfn.TEXTJOIN(", ",, _xlpm.result)     ) )</definedName>
    <definedName name="getShotStatus">_xlfn.LAMBDA(_xlpm.shot,_xlpm.step,     _xlfn.LET(     _xlpm.currStatus, _xlfn.XLOOKUP(_xlpm.shot,shots[[Shot]:[Shot]],shots[[Status]:[Status]]),     _xlpm.currValue, _xlfn.XLOOKUP(_xlpm.currStatus, shotPipelineData[[Actual]:[Actual]],shotPipelineData[[Value]:[Value]]),     _xlpm.inputValue, _xlfn.XLOOKUP(_xlpm.step, shotPipelineData[[Actual]:[Actual]], shotPipelineData[[Value]:[Value]]),     IF(_xlpm.inputValue&lt;=_xlpm.currValue, TRUE, "")     ) )</definedName>
    <definedName name="getTier1">_xlfn.LAMBDA(     _xlfn._xlws.FILTER(         metaASSETS[Asset Name],         _xlfn.MAP(             metaASSETS[Asset Name],             _xlfn.LAMBDA(_xlpm.asset,                 ISNUMBER(                     _xlfn.XMATCH(                         1,                         OFFSET(                             _xlfn.TAKE(                                 _xlfn.TAKE(                                     plage_assets_shots,                                     COUNTA(metaASSETS[Asset Name]),                                     COUNTA(metaSHOTS[Shot])                                 ),                                 1                             ),                             _xlfn.XMATCH(_xlpm.asset, metaASSETS[Asset Name]) - 1,                             0                         )                     )                 )             )         )     ) )</definedName>
    <definedName name="getWeekendString">_xlfn.LAMBDA(_xlpm.artist,     _xlfn.LET(         _xlpm.result, IF(_xlfn._xlws.FILTER(unavailabilityTable[[Lundi]:[Dimanche]], unavailabilityTable[Artist]=_xlpm.artist)="X", 1, 0),         _xlfn.TEXTJOIN("",TRUE, _xlpm.result)     ) )</definedName>
    <definedName name="getWeekStartDate">_xlfn.LAMBDA(_xlpm.date,     _xlfn.LET(         _xlpm.dayOfWeek, WEEKDAY(_xlpm.date, 2),         _xlpm.daysToSubtract, _xlpm.dayOfWeek - 1,         _xlpm.result, _xlpm.date - _xlpm.daysToSubtract,         _xlpm.result     ) )</definedName>
    <definedName name="getWeekTotalHours">_xlfn.LAMBDA(_xlpm.artist,_xlpm.weekNum,     SUM(_xlfn._xlws.FILTER(punch[Total Time], (punch[Artist]=_xlpm.artist)*(punch[WeekNum]=_xlpm.weekNum))) )</definedName>
    <definedName name="getWeekTotalWorkedHours">_xlfn.LAMBDA(_xlpm.artist,     _xlfn.LET(         _xlpm.result, _xlfn.IFNA(_xlfn.XLOOKUP(WEEKNUM(TODAY(), 15), _xlfn._xlws.FILTER(punch[WeekNum], punch[Artist]=_xlpm.artist), _xlfn._xlws.FILTER(punch[Week Total], punch[Artist]=_xlpm.artist)), 0),         TEXT(_xlpm.result, "[h]:mm;@")     ) )</definedName>
    <definedName name="globalCalendar_scrollbar_value">_data_!$R$13</definedName>
    <definedName name="isDone">_xlfn.LAMBDA(_xlpm.value, IF(_xlpm.value="N/A", FALSE, ROUND(_xlpm.value,0)=0))</definedName>
    <definedName name="isEndDate">_xlfn.LAMBDA(_xlpm.date,_xlpm.artist,     _xlfn.LET(         _xlpm.result, MATCH(_xlpm.date, _xlfn._xlws.FILTER(#REF!,#REF!= _xlpm.artist),0),         ISNUMBER(_xlpm.result)     ) )</definedName>
    <definedName name="isStartDate">_xlfn.LAMBDA(_xlpm.date,_xlpm.artist,     _xlfn.LET(         _xlpm.result, MATCH(_xlpm.date, _xlfn._xlws.FILTER(#REF!,#REF!= _xlpm.artist),0),         ISNUMBER(_xlpm.result)     ) )</definedName>
    <definedName name="isWorkdayOff">_xlfn.LAMBDA(_xlpm.date,_xlpm.artist,     _xlfn.LET(         _xlpm.day, _xlfn.XLOOKUP(WEEKDAY(_xlpm.date), weekdays[Code], weekdays[Jour]),         _xlpm.dayColumn, INDIRECT("unavailabilityTable" &amp; "["&amp; _xlpm.day &amp;"]"),         _xlfn._xlws.FILTER(_xlpm.dayColumn, unavailabilityTable[Artist]=_xlpm.artist)="X"     ) )</definedName>
    <definedName name="isWorking">_xlfn.LAMBDA(_xlpm.date,_xlpm.artist,     _xlfn.LET(         _xlpm.startDates, _xlfn._xlws.FILTER(#REF!,#REF!= _xlpm.artist),         _xlpm.endDates, _xlfn._xlws.FILTER(#REF!,#REF!= _xlpm.artist),         _xlpm.result, EXACT(_xlpm.startDates&lt;=_xlpm.date, _xlpm.date&lt;=_xlpm.endDates),         _xlfn.REDUCE(,_xlpm.result, _xlfn.LAMBDA(_xlpm.a,_xlpm.b, OR(_xlpm.a, _xlpm.b)))     ) )</definedName>
    <definedName name="layout_ponderation">LAYOUT!$L$1:$N$1</definedName>
    <definedName name="layoutProgress">layout[[#Totals],[Progress]]</definedName>
    <definedName name="lighting_ponderation">LIGHTING!$L$1:$N$1</definedName>
    <definedName name="lightingProgress">lighting[[#Totals],[Progress]]</definedName>
    <definedName name="modeling_ponderation">MODELING!$J$1:$L$1</definedName>
    <definedName name="modelingProgress">modeling[[#Totals],[Progress]]</definedName>
    <definedName name="next_position">_xlfn.LAMBDA(_xlpm.tasks_order, COUNTA(_xlpm.tasks_order)+1)</definedName>
    <definedName name="next_task">_xlfn.LAMBDA(_xlpm.tasks_pile,_xlfn.LET(_xlpm.all_positions,_xlfn.SEQUENCE(MAX(#REF!)),_xlpm.tasks_pile_positions,_xlfn.XLOOKUP(_xlpm.tasks_pile,#REF!,_xlpm.all_positions),_xlpm.tasks_left,_xlfn._xlws.FILTER(_xlpm.all_positions,ISERROR(_xlfn.XMATCH(_xlpm.all_positions,_xlpm.tasks_pile_positions,0)),0),_xlpm.successors,_xlfn.LET(_xlpm.successorsTasks,_xlfn.VSTACK(_xlfn.XLOOKUP(_xlpm.tasks_pile,#REF!,#REF!,,,1),_xlfn.XLOOKUP(_xlpm.tasks_pile,#REF!,#REF!,,,-1)),_xlpm.layoutTasks,_xlfn.LET(_xlpm.filter,_xlfn.MAP(metaSHOTS[Assets (Tier 1)],_xlfn.LAMBDA(_xlpm.assets,_xlfn.LET(_xlpm.tier1_assets,_xlfn.TEXTSPLIT(_xlpm.assets,", "),_xlpm.elements,_xlfn._xlws.FILTER(#REF!,#REF!="modeling"),_xlpm.modelingIndexes,_xlfn._xlws.FILTER(#REF!,#REF!="modeling"),_xlpm.indexes,_xlfn.XLOOKUP(_xlpm.tier1_assets,_xlpm.elements,_xlpm.modelingIndexes),ISNA(_xlfn.XMATCH(FALSE,ISNUMBER(_xlfn.XMATCH(_xlpm.indexes,_xlpm.tasks_pile))))))),_xlpm.elements,_xlfn._xlws.FILTER(#REF!,#REF!="layout"),_xlpm.layoutIndexes,_xlfn._xlws.FILTER(#REF!,#REF!="layout"),_xlpm.result,_xlfn.XLOOKUP(_xlfn._xlws.FILTER(metaSHOTS[Shot],_xlpm.filter,FALSE),_xlpm.elements,_xlpm.layoutIndexes),_xlfn.IFNA(_xlpm.result,FALSE)),_xlpm.result,IF(_xlfn.UNIQUE(ISNUMBER(_xlpm.layoutTasks)),_xlfn.VSTACK(_xlpm.successorsTasks,_xlpm.layoutTasks),_xlpm.successorsTasks),_xlfn.UNIQUE(_xlpm.result)),_xlpm.filteredSuccessors,_xlfn._xlws.FILTER(_xlpm.successors,NOT(ISNA(_xlpm.successors))),_xlpm.successorsToDelete,_xlfn._xlws.FILTER(_xlpm.tasks_pile,IF(ISNUMBER(_xlfn.XMATCH(_xlpm.tasks_pile,_xlpm.filteredSuccessors)),TRUE,FALSE)),_xlpm.legalSuccessors,_xlfn._xlws.FILTER(_xlpm.filteredSuccessors,NOT(ISNUMBER(_xlfn.XMATCH(_xlpm.filteredSuccessors,_xlpm.successorsToDelete,0)))),_xlpm.heuristics,getHeuristic(_xlpm.legalSuccessors),_xlpm.bestHeuristic,MAX(_xlpm.heuristics),_xlpm.bestNextTask_index,_xlfn.XLOOKUP(_xlpm.bestHeuristic,_xlpm.heuristics,_xlpm.legalSuccessors),_xlpm.defaultNextTask_position,MIN(_xlpm.tasks_left),_xlpm.defaultNextTask_index,_xlfn.XLOOKUP(_xlpm.defaultNextTask_position,_xlpm.all_positions,#REF!),_xlpm.result_task,IF(getHeuristic(_xlpm.bestNextTask_index)&gt;getHeuristic(_xlpm.defaultNextTask_index),_xlpm.bestNextTask_index,_xlpm.defaultNextTask_index),IF(COUNTA(_xlpm.tasks_left)=1,_xlfn.VSTACK(_xlpm.tasks_pile,_xlpm.result_task),next_task(_xlfn.VSTACK(_xlpm.tasks_pile,_xlpm.result_task)))))</definedName>
    <definedName name="plage_assets_shots">'Assets-Shots'!$B$2:$AZ$104</definedName>
    <definedName name="plage_planner">#REF!</definedName>
    <definedName name="plage_stats_assets">stats!$B$18:$E$120</definedName>
    <definedName name="plage_stats_shots">stats!$W$18:$AB$48</definedName>
    <definedName name="predecessor_duration">_xlfn.LAMBDA(_xlpm.task, IF(ISERROR(task_duration(predecessor_index(_xlpm.task))), 0, task_duration(predecessor_index(_xlpm.task))))</definedName>
    <definedName name="predecessor_index">_xlfn.LAMBDA(_xlpm.task, IF(ISERROR( _xlfn.XLOOKUP(_xlpm.task,#REF!,#REF!)), "-", _xlfn.XLOOKUP(_xlpm.task,#REF!,#REF!)))</definedName>
    <definedName name="previous_duration">_xlfn.LAMBDA(_xlpm.task,_xlpm.artist, IF(ISERROR(task_duration(previous_index(_xlpm.task, _xlpm.artist))), 0, task_duration(previous_index(_xlpm.task, _xlpm.artist))))</definedName>
    <definedName name="previous_index">_xlfn.LAMBDA(_xlpm.task,_xlpm.artist,     _xlfn.LET(         _xlpm.task_index, task_index(_xlpm.artist),         _xlpm.previous_tasks_indexes, _xlfn.XMATCH(_xlpm.task_index,_xlpm.task_index),         _xlpm.previous_task_index, _xlfn.XLOOKUP(_xlpm.task, _xlpm.task_index, _xlpm.previous_tasks_indexes)-1,         IF(             _xlpm.previous_task_index=0,             "-",             _xlfn.XLOOKUP(_xlpm.previous_task_index, _xlpm.previous_tasks_indexes, _xlpm.task_index)         )     ) )</definedName>
    <definedName name="previz_progress">LAYOUT!$L$52</definedName>
    <definedName name="progressProject">_xlfn.LAMBDA(     _xlfn.LET(         _xlpm.ast_estm, assets[[#Totals],[Estimated]],         _xlpm.ast_todo, assets[[#Totals],[Hours to do]],         _xlpm.sht_estm, shots[[#Totals],[Estimated]],         _xlpm.sht_todo, shots[[#Totals],[Hours to do]],         _xlpm.result, ((_xlpm.ast_estm-_xlpm.ast_todo)+(_xlpm.sht_estm-_xlpm.sht_todo))/(_xlpm.ast_estm+_xlpm.sht_estm),         _xlpm.result*100     ) )</definedName>
    <definedName name="projectStartDate">_data_!$M$24</definedName>
    <definedName name="render_ponderation">'RENDER'!$L$1:$N$1</definedName>
    <definedName name="renderProgress">render[[#Totals],[Progress]]</definedName>
    <definedName name="rigging_ponderation">'RIGGING'!$J$1:$M$1</definedName>
    <definedName name="riggingProgress">rigging[[#Totals],[Progress]]</definedName>
    <definedName name="rough_progress">LAYOUT!$M$52</definedName>
    <definedName name="scrollbar_value">_data_!$R$12</definedName>
    <definedName name="Segment_Applicable">#N/A</definedName>
    <definedName name="Segment_Artist">#N/A</definedName>
    <definedName name="Segment_Artist1">#N/A</definedName>
    <definedName name="Segment_Artist10">#N/A</definedName>
    <definedName name="Segment_Artist2">#N/A</definedName>
    <definedName name="Segment_Artist3">#N/A</definedName>
    <definedName name="Segment_Artist4">#N/A</definedName>
    <definedName name="Segment_Artist5">#N/A</definedName>
    <definedName name="Segment_Artist6">#N/A</definedName>
    <definedName name="Segment_Artist7">#N/A</definedName>
    <definedName name="Segment_Artist8">#N/A</definedName>
    <definedName name="Segment_Artist9">#N/A</definedName>
    <definedName name="Segment_Cam_fixed">#N/A</definedName>
    <definedName name="Segment_Modif">#N/A</definedName>
    <definedName name="Segment_Priority">#N/A</definedName>
    <definedName name="Segment_Ready">#N/A</definedName>
    <definedName name="Segment_Status">#N/A</definedName>
    <definedName name="Segment_Status1">#N/A</definedName>
    <definedName name="Segment_Status10">#N/A</definedName>
    <definedName name="Segment_Status11">#N/A</definedName>
    <definedName name="Segment_Status2">#N/A</definedName>
    <definedName name="Segment_Status3">#N/A</definedName>
    <definedName name="Segment_Status4">#N/A</definedName>
    <definedName name="Segment_Status5">#N/A</definedName>
    <definedName name="Segment_Status6">#N/A</definedName>
    <definedName name="Segment_Status7">#N/A</definedName>
    <definedName name="Segment_Status8">#N/A</definedName>
    <definedName name="Segment_Status9">#N/A</definedName>
    <definedName name="Segment_Type">#N/A</definedName>
    <definedName name="Segment_Type1">#N/A</definedName>
    <definedName name="Segment_Type2">#N/A</definedName>
    <definedName name="Segment_Type3">#N/A</definedName>
    <definedName name="Segment_Type4">#N/A</definedName>
    <definedName name="Segment_Type5">#N/A</definedName>
    <definedName name="Segment_Type6">#N/A</definedName>
    <definedName name="semesterStartDate">_data_!$M$25</definedName>
    <definedName name="SHOTS_ponderation">SHOTS!$I$1:$N$1</definedName>
    <definedName name="shotWeeklyPlanner">_xlfn.LAMBDA(_xlfn.IFNA(_xlfn.LET(_xlpm.lytTks,_xlfn._xlws.FILTER(_xlfn.HSTACK(layout[Artist],INDEX({"layout"},MOD(ROW(INDIRECT("1:"&amp;(COUNTA({"layout"})*COUNTA(layout[Artist])))),COUNTA({"layout"}))+1),layout[Shot],layout[Status],TEXT(layout[Progress],"0%"),TEXT(layout[Hours to do],"0")&amp;" hrs"),layout[add to planner]),_xlpm.animTks,_xlfn._xlws.FILTER(_xlfn.HSTACK(anim[Artist],INDEX({"anim"},MOD(ROW(INDIRECT("1:"&amp;(COUNTA({"anim"})*COUNTA(anim[Artist])))),COUNTA({"anim"}))+1),anim[Shot],anim[Status],TEXT(anim[Progress],"0%"),TEXT(anim[Hours to do],"0")&amp;" hrs"),anim[add to planner]),_xlpm.lgtTks,_xlfn._xlws.FILTER(_xlfn.HSTACK(lighting[Artist],INDEX({"lighting"},MOD(ROW(INDIRECT("1:"&amp;(COUNTA({"lighting"})*COUNTA(lighting[Artist])))),COUNTA({"lighting"}))+1),lighting[Shot],lighting[Status],TEXT(lighting[Progress],"0%"),TEXT(lighting[Hours to do],"0")&amp;" hrs"),lighting[add to planner]),_xlpm.vfxTks,_xlfn._xlws.FILTER(_xlfn.HSTACK(vfx[Artist],INDEX({"vfx"},MOD(ROW(INDIRECT("1:"&amp;(COUNTA({"vfx"})*COUNTA(vfx[Artist])))),COUNTA({"vfx"}))+1),vfx[Shot],vfx[Status],TEXT(vfx[Progress],"0%"),TEXT(vfx[Hours to do],"0")&amp;" hrs"),vfx[add to planner]),_xlpm.rndrTks,_xlfn._xlws.FILTER(_xlfn.HSTACK(render[Artist],INDEX({"render"},MOD(ROW(INDIRECT("1:"&amp;(COUNTA({"render"})*COUNTA(render[Artist])))),COUNTA({"render"}))+1),render[Shot],render[Status],TEXT(render[Progress],"0%"),TEXT(render[Hours to do],"0")&amp;" hrs"),render[add to planner]),_xlpm.compTks,_xlfn._xlws.FILTER(_xlfn.HSTACK(comp[Artist],INDEX({"comp"},MOD(ROW(INDIRECT("1:"&amp;(COUNTA({"comp"})*COUNTA(comp[Artist])))),COUNTA({"comp"}))+1),comp[Shot],comp[Status],TEXT(comp[Progress],"0%"),TEXT(comp[Hours to do],"0")&amp;" hrs"),comp[add to planner]),_xlpm.lytT,IF(ISERROR(_xlpm.lytTks),"Z",_xlpm.lytTks),_xlpm.animT,IF(ISERROR(_xlpm.animTks),"Z",_xlpm.animTks),_xlpm.lgtT,IF(ISERROR(_xlpm.lgtTks),"Z",_xlpm.lgtTks),_xlpm.vfxT,IF(ISERROR(_xlpm.vfxTks),"Z",_xlpm.vfxTks),_xlpm.rndrT,IF(ISERROR(_xlpm.rndrTks),"Z",_xlpm.rndrTks),_xlpm.compT,IF(ISERROR(_xlpm.compTks),"Z",_xlpm.compTks),_xlpm.shotTks,_xlfn.VSTACK(_xlpm.lytT,_xlpm.animT,_xlpm.lgtT,_xlpm.vfxT,_xlpm.rndrT,_xlpm.compT),_xlfn._xlws.FILTER(_xlfn._xlws.SORT(_xlpm.shotTks,1),_xlfn.TAKE(_xlfn._xlws.SORT(_xlpm.shotTks,1),,1)&lt;&gt;"Z")),""))</definedName>
    <definedName name="simpleStartDate">_xlfn.LAMBDA(_xlpm.task,_xlpm.artist,     _xlfn.LET(         _xlpm.previousTask, previous_index(_xlpm.task, _xlpm.artist),         IF(             ISNUMBER(_xlpm.previousTask),             endDate(simpleStartDate(_xlpm.previousTask, _xlpm.artist), previous_duration(_xlpm.task, _xlpm.artist), _xlpm.artist),             projectStartDate         )     ) )</definedName>
    <definedName name="solver_adj" localSheetId="23" hidden="1">_data_!#REF!</definedName>
    <definedName name="solver_cvg" localSheetId="23" hidden="1">0.0001</definedName>
    <definedName name="solver_drv" localSheetId="23" hidden="1">2</definedName>
    <definedName name="solver_eng" localSheetId="23" hidden="1">1</definedName>
    <definedName name="solver_est" localSheetId="23" hidden="1">1</definedName>
    <definedName name="solver_itr" localSheetId="23" hidden="1">2147483647</definedName>
    <definedName name="solver_lhs1" localSheetId="23" hidden="1">_data_!#REF!</definedName>
    <definedName name="solver_lhs2" localSheetId="23" hidden="1">_data_!#REF!</definedName>
    <definedName name="solver_lhs3" localSheetId="23" hidden="1">_data_!#REF!</definedName>
    <definedName name="solver_mip" localSheetId="23" hidden="1">2147483647</definedName>
    <definedName name="solver_mni" localSheetId="23" hidden="1">30</definedName>
    <definedName name="solver_mrt" localSheetId="23" hidden="1">0.075</definedName>
    <definedName name="solver_msl" localSheetId="23" hidden="1">2</definedName>
    <definedName name="solver_neg" localSheetId="23" hidden="1">1</definedName>
    <definedName name="solver_nod" localSheetId="23" hidden="1">2147483647</definedName>
    <definedName name="solver_num" localSheetId="23" hidden="1">3</definedName>
    <definedName name="solver_nwt" localSheetId="23" hidden="1">1</definedName>
    <definedName name="solver_opt" localSheetId="23" hidden="1">_data_!#REF!</definedName>
    <definedName name="solver_pre" localSheetId="23" hidden="1">0.000001</definedName>
    <definedName name="solver_rbv" localSheetId="23" hidden="1">2</definedName>
    <definedName name="solver_rel1" localSheetId="23" hidden="1">4</definedName>
    <definedName name="solver_rel2" localSheetId="23" hidden="1">1</definedName>
    <definedName name="solver_rel3" localSheetId="23" hidden="1">2</definedName>
    <definedName name="solver_rhs1" localSheetId="23" hidden="1">"entier"</definedName>
    <definedName name="solver_rhs2" localSheetId="23" hidden="1">_data_!#REF!</definedName>
    <definedName name="solver_rhs3" localSheetId="23" hidden="1">_data_!#REF!</definedName>
    <definedName name="solver_rlx" localSheetId="23" hidden="1">2</definedName>
    <definedName name="solver_rsd" localSheetId="23" hidden="1">0</definedName>
    <definedName name="solver_scl" localSheetId="23" hidden="1">2</definedName>
    <definedName name="solver_sho" localSheetId="23" hidden="1">2</definedName>
    <definedName name="solver_ssz" localSheetId="23" hidden="1">100</definedName>
    <definedName name="solver_tim" localSheetId="23" hidden="1">2147483647</definedName>
    <definedName name="solver_tol" localSheetId="23" hidden="1">0.01</definedName>
    <definedName name="solver_typ" localSheetId="23" hidden="1">2</definedName>
    <definedName name="solver_val" localSheetId="23" hidden="1">30000</definedName>
    <definedName name="solver_ver" localSheetId="23" hidden="1">3</definedName>
    <definedName name="startDate">_xlfn.LAMBDA(_xlpm.task,_xlpm.artist,     _xlfn.LET(         _xlpm.previousTask, asset_previous_index(_xlpm.task, _xlpm.artist),         _xlpm.predecessorTask, asset_predecessor_index(_xlpm.task),         IF(             OR(ISNUMBER(_xlpm.previousTask), ISNUMBER(_xlpm.predecessorTask)),             MAX(                 _xlfn.IFNA(startDate(_xlpm.previousTask, _xlpm.artist), 1900-1-1) + asset_previous_duration(_xlpm.task, _xlpm.artist),                 _xlfn.IFNA(startDate(_xlpm.predecessorTask, getArtist(_xlpm.predecessorTask)), 1900-1-1) + asset_predecessor_duration(_xlpm.task)             ),             projectStartDate + asset_task_duration(_xlpm.task)         )     ) )</definedName>
    <definedName name="surfacing_ponderation">SURFACING!$J$1:$L$1</definedName>
    <definedName name="surfacingProgress">surfacing[[#Totals],[Progress]]</definedName>
    <definedName name="task_duration">_xlfn.LAMBDA(_xlpm.task, _xlfn.XLOOKUP(_xlpm.task,#REF!,#REF!))</definedName>
    <definedName name="task_heuristic">_xlfn.LAMBDA(_xlpm.taskPriority,_xlpm.elementPriority,_xlpm.expectedTime,_xlpm.elementName,_xlpm.pipelineStep,     (LEN(_xlpm.taskPriority) * _xlpm.elementPriority * _xlpm.expectedTime)*IF(AND(ISNUMBER(_xlfn.XMATCH(_xlpm.elementName, getTier1())), _xlpm.pipelineStep&lt;&gt;"surfacing"), 2, 1) )</definedName>
    <definedName name="task_index">_xlfn.LAMBDA(_xlpm.artist, _xlfn._xlws.FILTER(#REF!,#REF!= _xlpm.artist))</definedName>
    <definedName name="task_pile_array">_data_!#REF!</definedName>
    <definedName name="taskCalendar_scrollbar_value">_data_!$R$12</definedName>
    <definedName name="taskFormat">_xlfn.LAMBDA(_xlpm.date,_xlpm.artist,     IF(isStartDate(_xlpm.date, _xlpm.artist),         _xlfn.LET(             _xlpm.taskIndex, _xlfn._xlws.FILTER(#REF!, (#REF!=_xlpm.artist)*(#REF!=_xlpm.date)),             _xlpm.pipStp, _xlfn.XLOOKUP(_xlpm.taskIndex,#REF!,#REF!),             _xlpm.elmnt, _xlfn.XLOOKUP(_xlpm.taskIndex,#REF!,#REF!),             _xlpm.lineBreak, CHAR(10),             _xlpm.result, CONCATENATE(UPPER(_xlpm.pipStp), _xlpm.lineBreak, _xlpm.elmnt),             _xlpm.result         ),     ""     ) )</definedName>
    <definedName name="upcomingThreshold">_data_!$S$5</definedName>
    <definedName name="vfx_ponderation">VFX!$L$1:$N$1</definedName>
    <definedName name="vfxProgress">vfx[[#Totals],[Progress]]</definedName>
    <definedName name="weeklyPlanner">_xlfn.LAMBDA(     IF(         AND(             NOT(ISERROR(assetWeeklyPlanner())),             NOT(ISERROR(shotWeeklyPlanner()))         ),         _xlfn.VSTACK(assetWeeklyPlanner(), shotWeeklyPlanner()),         IF(             AND(                 NOT(ISERROR(assetWeeklyPlanner())),                 ISERROR(shotWeeklyPlanner())             ),             assetWeeklyPlanner(),             IF(                 AND(                     ISERROR(assetWeeklyPlanner()),                     NOT(ISERROR(shotWeeklyPlanner()))                 ),                 shotWeeklyPlanner(),                 IF(                     AND(                         ISERROR(assetWeeklyPlanner()),                         ISERROR(shotWeeklyPlanner())                     ),                     "Aucune tâche."                 )             )         )     ) )</definedName>
  </definedNames>
  <calcPr calcId="191028"/>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82" i="19" l="1"/>
  <c r="E582" i="19"/>
  <c r="E581" i="19"/>
  <c r="D581" i="19"/>
  <c r="D580" i="19"/>
  <c r="E580" i="19"/>
  <c r="D579" i="19"/>
  <c r="E579" i="19"/>
  <c r="E578" i="19"/>
  <c r="D578" i="19"/>
  <c r="E577" i="19"/>
  <c r="D577" i="19"/>
  <c r="E576" i="19"/>
  <c r="D576" i="19"/>
  <c r="D575" i="19"/>
  <c r="E575" i="19"/>
  <c r="E574" i="19"/>
  <c r="D574" i="19"/>
  <c r="E573" i="19"/>
  <c r="D573" i="19"/>
  <c r="D572" i="19"/>
  <c r="E572" i="19"/>
  <c r="D571" i="19"/>
  <c r="E571" i="19"/>
  <c r="E570" i="19"/>
  <c r="D570" i="19"/>
  <c r="D569" i="19"/>
  <c r="E569" i="19"/>
  <c r="E568" i="19"/>
  <c r="D568" i="19"/>
  <c r="D567" i="19"/>
  <c r="E567" i="19"/>
  <c r="D530" i="19"/>
  <c r="D566" i="19"/>
  <c r="E566" i="19"/>
  <c r="D565" i="19"/>
  <c r="E565" i="19"/>
  <c r="D564" i="19"/>
  <c r="E564" i="19"/>
  <c r="D563" i="19"/>
  <c r="E563" i="19"/>
  <c r="D562" i="19"/>
  <c r="E562" i="19"/>
  <c r="D561" i="19"/>
  <c r="E561" i="19"/>
  <c r="E560" i="19"/>
  <c r="D560" i="19"/>
  <c r="E559" i="19"/>
  <c r="D559" i="19"/>
  <c r="D558" i="19"/>
  <c r="E558" i="19"/>
  <c r="E557" i="19"/>
  <c r="D557" i="19"/>
  <c r="E556" i="19"/>
  <c r="D556" i="19"/>
  <c r="D554" i="19" l="1"/>
  <c r="D555" i="19"/>
  <c r="E555" i="19"/>
  <c r="E554" i="19"/>
  <c r="E553" i="19"/>
  <c r="D553" i="19"/>
  <c r="D552" i="19"/>
  <c r="E552" i="19"/>
  <c r="E551" i="19"/>
  <c r="D551" i="19"/>
  <c r="E550" i="19"/>
  <c r="D550" i="19"/>
  <c r="E549" i="19"/>
  <c r="D549" i="19"/>
  <c r="E548" i="19"/>
  <c r="D548" i="19"/>
  <c r="E547" i="19"/>
  <c r="D547" i="19"/>
  <c r="E546" i="19"/>
  <c r="D546" i="19"/>
  <c r="E545" i="19"/>
  <c r="D545" i="19"/>
  <c r="D544" i="19"/>
  <c r="E544" i="19"/>
  <c r="E543" i="19"/>
  <c r="D543" i="19"/>
  <c r="E542" i="19"/>
  <c r="D542" i="19"/>
  <c r="E541" i="19"/>
  <c r="D541" i="19"/>
  <c r="D540" i="19"/>
  <c r="E540" i="19"/>
  <c r="E539" i="19"/>
  <c r="D539" i="19"/>
  <c r="E538" i="19"/>
  <c r="D538" i="19"/>
  <c r="D537" i="19"/>
  <c r="E537" i="19"/>
  <c r="D536" i="19"/>
  <c r="E536" i="19"/>
  <c r="D535" i="19"/>
  <c r="E535" i="19"/>
  <c r="E534" i="19"/>
  <c r="D534" i="19"/>
  <c r="E533" i="19"/>
  <c r="D533" i="19"/>
  <c r="D532" i="19"/>
  <c r="E532" i="19"/>
  <c r="E531" i="19"/>
  <c r="D531" i="19"/>
  <c r="E530" i="19"/>
  <c r="D529" i="19"/>
  <c r="E529" i="19"/>
  <c r="E528" i="19"/>
  <c r="D528" i="19"/>
  <c r="E527" i="19"/>
  <c r="D527" i="19"/>
  <c r="E526" i="19" l="1"/>
  <c r="D526" i="19"/>
  <c r="E525" i="19"/>
  <c r="D525" i="19"/>
  <c r="D524" i="19"/>
  <c r="E524" i="19"/>
  <c r="E523" i="19"/>
  <c r="D523" i="19"/>
  <c r="E522" i="19" l="1"/>
  <c r="D522" i="19"/>
  <c r="E521" i="19"/>
  <c r="D521" i="19"/>
  <c r="E520" i="19"/>
  <c r="D520" i="19"/>
  <c r="E519" i="19"/>
  <c r="D519" i="19"/>
  <c r="E518" i="19"/>
  <c r="D518" i="19"/>
  <c r="E517" i="19"/>
  <c r="D517" i="19"/>
  <c r="E516" i="19"/>
  <c r="D516" i="19"/>
  <c r="E515" i="19"/>
  <c r="D515" i="19"/>
  <c r="E514" i="19"/>
  <c r="D514" i="19"/>
  <c r="E513" i="19"/>
  <c r="D513" i="19"/>
  <c r="D512" i="19"/>
  <c r="E512" i="19"/>
  <c r="E511" i="19"/>
  <c r="D511" i="19"/>
  <c r="D510" i="19"/>
  <c r="E510" i="19"/>
  <c r="E509" i="19"/>
  <c r="D509" i="19"/>
  <c r="T18" i="25" a="1"/>
  <c r="T18" i="25" s="1"/>
  <c r="D508" i="19"/>
  <c r="E508" i="19"/>
  <c r="D507" i="19"/>
  <c r="E507" i="19"/>
  <c r="D506" i="19"/>
  <c r="E506" i="19"/>
  <c r="D505" i="19"/>
  <c r="E505" i="19"/>
  <c r="D504" i="19"/>
  <c r="E504" i="19"/>
  <c r="E503" i="19"/>
  <c r="D503" i="19"/>
  <c r="E502" i="19"/>
  <c r="D502" i="19"/>
  <c r="D501" i="19"/>
  <c r="E501" i="19"/>
  <c r="E500" i="19"/>
  <c r="D500" i="19"/>
  <c r="D499" i="19"/>
  <c r="E499" i="19"/>
  <c r="E498" i="19"/>
  <c r="D498" i="19"/>
  <c r="E487" i="19" l="1"/>
  <c r="E490" i="19"/>
  <c r="D497" i="19"/>
  <c r="E497" i="19"/>
  <c r="D496" i="19"/>
  <c r="E496" i="19"/>
  <c r="D495" i="19"/>
  <c r="E495" i="19"/>
  <c r="D494" i="19"/>
  <c r="E494" i="19"/>
  <c r="D493" i="19"/>
  <c r="E493" i="19"/>
  <c r="D492" i="19"/>
  <c r="E492" i="19"/>
  <c r="D490" i="19"/>
  <c r="D487" i="19"/>
  <c r="D485" i="19"/>
  <c r="E489" i="19"/>
  <c r="E491" i="19"/>
  <c r="D489" i="19"/>
  <c r="D491" i="19"/>
  <c r="E488" i="19"/>
  <c r="D488" i="19"/>
  <c r="E486" i="19"/>
  <c r="D486" i="19"/>
  <c r="E485" i="19"/>
  <c r="E484" i="19"/>
  <c r="D484" i="19"/>
  <c r="E483" i="19"/>
  <c r="D483" i="19"/>
  <c r="E482" i="19"/>
  <c r="D482" i="19"/>
  <c r="D481" i="19"/>
  <c r="E481" i="19"/>
  <c r="M30" i="21" a="1"/>
  <c r="M30" i="21" s="1"/>
  <c r="D41" i="4"/>
  <c r="D40" i="4"/>
  <c r="D39" i="4"/>
  <c r="D38" i="4"/>
  <c r="D37" i="4"/>
  <c r="D36" i="4"/>
  <c r="D35" i="4"/>
  <c r="D34" i="4"/>
  <c r="D33" i="4"/>
  <c r="D32" i="4"/>
  <c r="D31" i="4"/>
  <c r="D30" i="4"/>
  <c r="D480" i="19"/>
  <c r="E480" i="19"/>
  <c r="D479" i="19"/>
  <c r="E479" i="19"/>
  <c r="D478" i="19"/>
  <c r="E478" i="19"/>
  <c r="E477" i="19"/>
  <c r="D477" i="19"/>
  <c r="E476" i="19"/>
  <c r="D476" i="19"/>
  <c r="E475" i="19"/>
  <c r="D475" i="19"/>
  <c r="E474" i="19"/>
  <c r="D474" i="19"/>
  <c r="D473" i="19" l="1"/>
  <c r="E473" i="19"/>
  <c r="E472" i="19"/>
  <c r="D472" i="19"/>
  <c r="E471" i="19"/>
  <c r="D471" i="19"/>
  <c r="E470" i="19"/>
  <c r="D470" i="19"/>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4" i="20"/>
  <c r="L52" i="20" l="1"/>
  <c r="D469" i="19"/>
  <c r="E469" i="19"/>
  <c r="E468" i="19"/>
  <c r="D468" i="19"/>
  <c r="D467" i="19"/>
  <c r="E467" i="19"/>
  <c r="D466" i="19"/>
  <c r="E466" i="19"/>
  <c r="E465" i="19"/>
  <c r="D465" i="19"/>
  <c r="O5" i="20" l="1"/>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4" i="20"/>
  <c r="E464" i="19"/>
  <c r="D464" i="19"/>
  <c r="E463" i="19"/>
  <c r="D463" i="19"/>
  <c r="D462" i="19" l="1"/>
  <c r="E462" i="19"/>
  <c r="E461" i="19"/>
  <c r="D461" i="19"/>
  <c r="D460" i="19"/>
  <c r="E460" i="19"/>
  <c r="E459" i="19"/>
  <c r="D459" i="19"/>
  <c r="D458" i="19"/>
  <c r="E458" i="19"/>
  <c r="E457" i="19"/>
  <c r="D457" i="19"/>
  <c r="E456" i="19"/>
  <c r="D456" i="19"/>
  <c r="E455" i="19"/>
  <c r="D455" i="19"/>
  <c r="E454" i="19"/>
  <c r="D454" i="19"/>
  <c r="D453" i="19"/>
  <c r="E453" i="19"/>
  <c r="E452" i="19"/>
  <c r="D452" i="19"/>
  <c r="D451" i="19"/>
  <c r="E451" i="19"/>
  <c r="D450" i="19"/>
  <c r="E450" i="19"/>
  <c r="D449" i="19"/>
  <c r="E449" i="19"/>
  <c r="D448" i="19"/>
  <c r="E448" i="19"/>
  <c r="E447" i="19"/>
  <c r="D447" i="19"/>
  <c r="E446" i="19"/>
  <c r="D446" i="19"/>
  <c r="D445" i="19"/>
  <c r="E445" i="19"/>
  <c r="E444" i="19"/>
  <c r="D444" i="19"/>
  <c r="D443" i="19" l="1"/>
  <c r="E443" i="19"/>
  <c r="E442" i="19"/>
  <c r="D442" i="19"/>
  <c r="E441" i="19"/>
  <c r="D441" i="19"/>
  <c r="D440" i="19"/>
  <c r="E440" i="19"/>
  <c r="E439" i="19"/>
  <c r="D439" i="19"/>
  <c r="E438" i="19"/>
  <c r="D438" i="19"/>
  <c r="E437" i="19"/>
  <c r="D437" i="19"/>
  <c r="E436" i="19"/>
  <c r="D436" i="19"/>
  <c r="E435" i="19"/>
  <c r="D435" i="19"/>
  <c r="E434" i="19"/>
  <c r="D434" i="19"/>
  <c r="E433" i="19"/>
  <c r="D433" i="19"/>
  <c r="E432" i="19"/>
  <c r="D432" i="19"/>
  <c r="E431" i="19"/>
  <c r="D431" i="19"/>
  <c r="E430" i="19"/>
  <c r="D430" i="19"/>
  <c r="D429" i="19"/>
  <c r="E429" i="19"/>
  <c r="D428" i="19"/>
  <c r="E428" i="19"/>
  <c r="D427" i="19"/>
  <c r="E427" i="19"/>
  <c r="D426" i="19"/>
  <c r="E426" i="19"/>
  <c r="E424" i="19"/>
  <c r="D424" i="19"/>
  <c r="D425" i="19"/>
  <c r="E425" i="19"/>
  <c r="D423" i="19"/>
  <c r="E423" i="19"/>
  <c r="E422" i="19"/>
  <c r="D422" i="19"/>
  <c r="D421" i="19"/>
  <c r="E421" i="19"/>
  <c r="D420" i="19"/>
  <c r="E420" i="19"/>
  <c r="E419" i="19"/>
  <c r="D419" i="19"/>
  <c r="D418" i="19"/>
  <c r="E418" i="19"/>
  <c r="D417" i="19"/>
  <c r="E417" i="19"/>
  <c r="D416" i="19"/>
  <c r="E416" i="19"/>
  <c r="D415" i="19"/>
  <c r="E415"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249" i="19"/>
  <c r="E250" i="19"/>
  <c r="E251" i="19"/>
  <c r="E252" i="19"/>
  <c r="E253" i="19"/>
  <c r="E254" i="19"/>
  <c r="E255" i="19"/>
  <c r="E256" i="19"/>
  <c r="E257" i="19"/>
  <c r="E258" i="19"/>
  <c r="E259" i="19"/>
  <c r="E260" i="19"/>
  <c r="E261" i="19"/>
  <c r="E262" i="19"/>
  <c r="E263" i="19"/>
  <c r="E264" i="19"/>
  <c r="E265" i="19"/>
  <c r="E266" i="19"/>
  <c r="E267" i="19"/>
  <c r="E268" i="19"/>
  <c r="E269" i="19"/>
  <c r="E270" i="19"/>
  <c r="E271" i="19"/>
  <c r="E272" i="19"/>
  <c r="E273" i="19"/>
  <c r="E274" i="19"/>
  <c r="E275" i="19"/>
  <c r="E276" i="19"/>
  <c r="E277" i="19"/>
  <c r="E278" i="19"/>
  <c r="E279" i="19"/>
  <c r="E280" i="19"/>
  <c r="E281" i="19"/>
  <c r="E282" i="19"/>
  <c r="E283" i="19"/>
  <c r="E284" i="19"/>
  <c r="E285" i="19"/>
  <c r="E286" i="19"/>
  <c r="E287" i="19"/>
  <c r="E288" i="19"/>
  <c r="E289" i="19"/>
  <c r="E290" i="19"/>
  <c r="E291" i="19"/>
  <c r="E292" i="19"/>
  <c r="E293" i="19"/>
  <c r="E294" i="19"/>
  <c r="E295" i="19"/>
  <c r="E296" i="19"/>
  <c r="E297" i="19"/>
  <c r="E298" i="19"/>
  <c r="E299" i="19"/>
  <c r="E300" i="19"/>
  <c r="E301" i="19"/>
  <c r="E302" i="19"/>
  <c r="E303" i="19"/>
  <c r="E304" i="19"/>
  <c r="E305" i="19"/>
  <c r="E306" i="19"/>
  <c r="E307" i="19"/>
  <c r="E308" i="19"/>
  <c r="E309" i="19"/>
  <c r="E310" i="19"/>
  <c r="E311" i="19"/>
  <c r="E312" i="19"/>
  <c r="E313" i="19"/>
  <c r="E314" i="19"/>
  <c r="E315" i="19"/>
  <c r="E316" i="19"/>
  <c r="E317" i="19"/>
  <c r="E318" i="19"/>
  <c r="E319" i="19"/>
  <c r="E320" i="19"/>
  <c r="E321" i="19"/>
  <c r="E322" i="19"/>
  <c r="E323" i="19"/>
  <c r="E324" i="19"/>
  <c r="E325" i="19"/>
  <c r="E326" i="19"/>
  <c r="E327" i="19"/>
  <c r="E328" i="19"/>
  <c r="E329" i="19"/>
  <c r="E330" i="19"/>
  <c r="E331" i="19"/>
  <c r="E332" i="19"/>
  <c r="E333" i="19"/>
  <c r="E334" i="19"/>
  <c r="E335" i="19"/>
  <c r="E336" i="19"/>
  <c r="E337" i="19"/>
  <c r="E338" i="19"/>
  <c r="E339" i="19"/>
  <c r="E340" i="19"/>
  <c r="E341" i="19"/>
  <c r="E342" i="19"/>
  <c r="E343" i="19"/>
  <c r="E344" i="19"/>
  <c r="E345" i="19"/>
  <c r="E346" i="19"/>
  <c r="E347" i="19"/>
  <c r="E348" i="19"/>
  <c r="E349" i="19"/>
  <c r="E350" i="19"/>
  <c r="E351" i="19"/>
  <c r="E352" i="19"/>
  <c r="E353" i="19"/>
  <c r="E354" i="19"/>
  <c r="E355" i="19"/>
  <c r="E356" i="19"/>
  <c r="E357" i="19"/>
  <c r="E358" i="19"/>
  <c r="E359" i="19"/>
  <c r="E360" i="19"/>
  <c r="E361" i="19"/>
  <c r="E362" i="19"/>
  <c r="E363" i="19"/>
  <c r="E364" i="19"/>
  <c r="E365" i="19"/>
  <c r="E366" i="19"/>
  <c r="E367" i="19"/>
  <c r="E368" i="19"/>
  <c r="E369" i="19"/>
  <c r="E370" i="19"/>
  <c r="E371" i="19"/>
  <c r="E372" i="19"/>
  <c r="E373" i="19"/>
  <c r="E374" i="19"/>
  <c r="E375" i="19"/>
  <c r="E376" i="19"/>
  <c r="E377" i="19"/>
  <c r="E378" i="19"/>
  <c r="E379" i="19"/>
  <c r="E380" i="19"/>
  <c r="E381" i="19"/>
  <c r="E382" i="19"/>
  <c r="E383" i="19"/>
  <c r="E384" i="19"/>
  <c r="E385" i="19"/>
  <c r="E386" i="19"/>
  <c r="E387" i="19"/>
  <c r="E388" i="19"/>
  <c r="E389" i="19"/>
  <c r="E390" i="19"/>
  <c r="E391" i="19"/>
  <c r="E392" i="19"/>
  <c r="E393" i="19"/>
  <c r="E394" i="19"/>
  <c r="E395" i="19"/>
  <c r="E396" i="19"/>
  <c r="E397" i="19"/>
  <c r="E398" i="19"/>
  <c r="E399" i="19"/>
  <c r="E400" i="19"/>
  <c r="E401" i="19"/>
  <c r="E402" i="19"/>
  <c r="E403" i="19"/>
  <c r="E404" i="19"/>
  <c r="E405" i="19"/>
  <c r="E406" i="19"/>
  <c r="E407" i="19"/>
  <c r="E408" i="19"/>
  <c r="E409" i="19"/>
  <c r="E410" i="19"/>
  <c r="E411" i="19"/>
  <c r="E412" i="19"/>
  <c r="E413" i="19"/>
  <c r="E414" i="19"/>
  <c r="F582" i="19" l="1" a="1"/>
  <c r="F582" i="19" s="1"/>
  <c r="F581" i="19" a="1"/>
  <c r="F581" i="19" s="1"/>
  <c r="F580" i="19" a="1"/>
  <c r="F580" i="19" s="1"/>
  <c r="F579" i="19" a="1"/>
  <c r="F579" i="19" s="1"/>
  <c r="F578" i="19" a="1"/>
  <c r="F578" i="19" s="1"/>
  <c r="F577" i="19" a="1"/>
  <c r="F577" i="19" s="1"/>
  <c r="F576" i="19" a="1"/>
  <c r="F576" i="19" s="1"/>
  <c r="F575" i="19" a="1"/>
  <c r="F575" i="19" s="1"/>
  <c r="F574" i="19" a="1"/>
  <c r="F574" i="19" s="1"/>
  <c r="F573" i="19" a="1"/>
  <c r="F573" i="19" s="1"/>
  <c r="F572" i="19" a="1"/>
  <c r="F572" i="19" s="1"/>
  <c r="F571" i="19" a="1"/>
  <c r="F571" i="19" s="1"/>
  <c r="F570" i="19" a="1"/>
  <c r="F570" i="19" s="1"/>
  <c r="F569" i="19" a="1"/>
  <c r="F569" i="19" s="1"/>
  <c r="F568" i="19" a="1"/>
  <c r="F568" i="19" s="1"/>
  <c r="F567" i="19" a="1"/>
  <c r="F567" i="19" s="1"/>
  <c r="F565" i="19" a="1"/>
  <c r="F565" i="19" s="1"/>
  <c r="F566" i="19" a="1"/>
  <c r="F566" i="19" s="1"/>
  <c r="F564" i="19" a="1"/>
  <c r="F564" i="19" s="1"/>
  <c r="F563" i="19" a="1"/>
  <c r="F563" i="19" s="1"/>
  <c r="F562" i="19" a="1"/>
  <c r="F562" i="19" s="1"/>
  <c r="F561" i="19" a="1"/>
  <c r="F561" i="19" s="1"/>
  <c r="F560" i="19" a="1"/>
  <c r="F560" i="19" s="1"/>
  <c r="F559" i="19" a="1"/>
  <c r="F559" i="19" s="1"/>
  <c r="F558" i="19" a="1"/>
  <c r="F558" i="19" s="1"/>
  <c r="F556" i="19" a="1"/>
  <c r="F556" i="19" s="1"/>
  <c r="F557" i="19" a="1"/>
  <c r="F557" i="19" s="1"/>
  <c r="F555" i="19" a="1"/>
  <c r="F555" i="19" s="1"/>
  <c r="F554" i="19" a="1"/>
  <c r="F554" i="19" s="1"/>
  <c r="F553" i="19" a="1"/>
  <c r="F553" i="19" s="1"/>
  <c r="F551" i="19" a="1"/>
  <c r="F551" i="19" s="1"/>
  <c r="F552" i="19" a="1"/>
  <c r="F552" i="19" s="1"/>
  <c r="F550" i="19" a="1"/>
  <c r="F550" i="19" s="1"/>
  <c r="F549" i="19" a="1"/>
  <c r="F549" i="19" s="1"/>
  <c r="F548" i="19" a="1"/>
  <c r="F548" i="19" s="1"/>
  <c r="F546" i="19" a="1"/>
  <c r="F546" i="19" s="1"/>
  <c r="F547" i="19" a="1"/>
  <c r="F547" i="19" s="1"/>
  <c r="F544" i="19" a="1"/>
  <c r="F544" i="19" s="1"/>
  <c r="F545" i="19" a="1"/>
  <c r="F545" i="19" s="1"/>
  <c r="F543" i="19" a="1"/>
  <c r="F543" i="19" s="1"/>
  <c r="F541" i="19" a="1"/>
  <c r="F541" i="19" s="1"/>
  <c r="F542" i="19" a="1"/>
  <c r="F542" i="19" s="1"/>
  <c r="F540" i="19" a="1"/>
  <c r="F540" i="19" s="1"/>
  <c r="F539" i="19" a="1"/>
  <c r="F539" i="19" s="1"/>
  <c r="F538" i="19" a="1"/>
  <c r="F538" i="19" s="1"/>
  <c r="F537" i="19" a="1"/>
  <c r="F537" i="19" s="1"/>
  <c r="F536" i="19" a="1"/>
  <c r="F536" i="19" s="1"/>
  <c r="F535" i="19" a="1"/>
  <c r="F535" i="19" s="1"/>
  <c r="F534" i="19" a="1"/>
  <c r="F534" i="19" s="1"/>
  <c r="F533" i="19" a="1"/>
  <c r="F533" i="19" s="1"/>
  <c r="F532" i="19" a="1"/>
  <c r="F532" i="19" s="1"/>
  <c r="F531" i="19" a="1"/>
  <c r="F531" i="19" s="1"/>
  <c r="F530" i="19" a="1"/>
  <c r="F530" i="19" s="1"/>
  <c r="F529" i="19" a="1"/>
  <c r="F529" i="19" s="1"/>
  <c r="F528" i="19" a="1"/>
  <c r="F528" i="19" s="1"/>
  <c r="F527" i="19" a="1"/>
  <c r="F527" i="19" s="1"/>
  <c r="F526" i="19" a="1"/>
  <c r="F526" i="19" s="1"/>
  <c r="F525" i="19" a="1"/>
  <c r="F525" i="19" s="1"/>
  <c r="F524" i="19" a="1"/>
  <c r="F524" i="19" s="1"/>
  <c r="F523" i="19" a="1"/>
  <c r="F523" i="19" s="1"/>
  <c r="F522" i="19" a="1"/>
  <c r="F522" i="19" s="1"/>
  <c r="F521" i="19" a="1"/>
  <c r="F521" i="19" s="1"/>
  <c r="F520" i="19" a="1"/>
  <c r="F520" i="19" s="1"/>
  <c r="F519" i="19" a="1"/>
  <c r="F519" i="19" s="1"/>
  <c r="F518" i="19" a="1"/>
  <c r="F518" i="19" s="1"/>
  <c r="F517" i="19" a="1"/>
  <c r="F517" i="19" s="1"/>
  <c r="F516" i="19" a="1"/>
  <c r="F516" i="19" s="1"/>
  <c r="F514" i="19" a="1"/>
  <c r="F514" i="19" s="1"/>
  <c r="F513" i="19" a="1"/>
  <c r="F513" i="19" s="1"/>
  <c r="F515" i="19" a="1"/>
  <c r="F515" i="19" s="1"/>
  <c r="F512" i="19" a="1"/>
  <c r="F512" i="19" s="1"/>
  <c r="F510" i="19" a="1"/>
  <c r="F510" i="19" s="1"/>
  <c r="F511" i="19" a="1"/>
  <c r="F511" i="19" s="1"/>
  <c r="F509" i="19" a="1"/>
  <c r="F509" i="19" s="1"/>
  <c r="F508" i="19" a="1"/>
  <c r="F508" i="19" s="1"/>
  <c r="F507" i="19" a="1"/>
  <c r="F507" i="19" s="1"/>
  <c r="F506" i="19" a="1"/>
  <c r="F506" i="19" s="1"/>
  <c r="F504" i="19" a="1"/>
  <c r="F504" i="19" s="1"/>
  <c r="F505" i="19" a="1"/>
  <c r="F505" i="19" s="1"/>
  <c r="F503" i="19" a="1"/>
  <c r="F503" i="19" s="1"/>
  <c r="F502" i="19" a="1"/>
  <c r="F502" i="19" s="1"/>
  <c r="F501" i="19" a="1"/>
  <c r="F501" i="19" s="1"/>
  <c r="F500" i="19" a="1"/>
  <c r="F500" i="19" s="1"/>
  <c r="F499" i="19" a="1"/>
  <c r="F499" i="19" s="1"/>
  <c r="F498" i="19" a="1"/>
  <c r="F498" i="19" s="1"/>
  <c r="F497" i="19" a="1"/>
  <c r="F497" i="19" s="1"/>
  <c r="F496" i="19" a="1"/>
  <c r="F496" i="19" s="1"/>
  <c r="F495" i="19" a="1"/>
  <c r="F495" i="19" s="1"/>
  <c r="F494" i="19" a="1"/>
  <c r="F494" i="19" s="1"/>
  <c r="F493" i="19" a="1"/>
  <c r="F493" i="19" s="1"/>
  <c r="F492" i="19" a="1"/>
  <c r="F492" i="19" s="1"/>
  <c r="F490" i="19" a="1"/>
  <c r="F490" i="19" s="1"/>
  <c r="F487" i="19" a="1"/>
  <c r="F487" i="19" s="1"/>
  <c r="F491" i="19" a="1"/>
  <c r="F491" i="19" s="1"/>
  <c r="F489" i="19" a="1"/>
  <c r="F489" i="19" s="1"/>
  <c r="F488" i="19" a="1"/>
  <c r="F488" i="19" s="1"/>
  <c r="F486" i="19" a="1"/>
  <c r="F486" i="19" s="1"/>
  <c r="F484" i="19" a="1"/>
  <c r="F484" i="19" s="1"/>
  <c r="F485" i="19" a="1"/>
  <c r="F485" i="19" s="1"/>
  <c r="F482" i="19" a="1"/>
  <c r="F482" i="19" s="1"/>
  <c r="F483" i="19" a="1"/>
  <c r="F483" i="19" s="1"/>
  <c r="F480" i="19" a="1"/>
  <c r="F480" i="19" s="1"/>
  <c r="F481" i="19" a="1"/>
  <c r="F481" i="19" s="1"/>
  <c r="F479" i="19" a="1"/>
  <c r="F479" i="19" s="1"/>
  <c r="F478" i="19" a="1"/>
  <c r="F478" i="19" s="1"/>
  <c r="F477" i="19" a="1"/>
  <c r="F477" i="19" s="1"/>
  <c r="F476" i="19" a="1"/>
  <c r="F476" i="19" s="1"/>
  <c r="F475" i="19" a="1"/>
  <c r="F475" i="19" s="1"/>
  <c r="F474" i="19" a="1"/>
  <c r="F474" i="19" s="1"/>
  <c r="F473" i="19" a="1"/>
  <c r="F473" i="19" s="1"/>
  <c r="F472" i="19" a="1"/>
  <c r="F472" i="19" s="1"/>
  <c r="F471" i="19" a="1"/>
  <c r="F471" i="19" s="1"/>
  <c r="F470" i="19" a="1"/>
  <c r="F470" i="19" s="1"/>
  <c r="F469" i="19" a="1"/>
  <c r="F469" i="19" s="1"/>
  <c r="F468" i="19" a="1"/>
  <c r="F468" i="19" s="1"/>
  <c r="F467" i="19" a="1"/>
  <c r="F467" i="19" s="1"/>
  <c r="F466" i="19" a="1"/>
  <c r="F466" i="19" s="1"/>
  <c r="F465" i="19" a="1"/>
  <c r="F465" i="19" s="1"/>
  <c r="F464" i="19" a="1"/>
  <c r="F464" i="19" s="1"/>
  <c r="F463" i="19" a="1"/>
  <c r="F463" i="19" s="1"/>
  <c r="F462" i="19" a="1"/>
  <c r="F462" i="19" s="1"/>
  <c r="F461" i="19" a="1"/>
  <c r="F461" i="19" s="1"/>
  <c r="F460" i="19" a="1"/>
  <c r="F460" i="19" s="1"/>
  <c r="F459" i="19" a="1"/>
  <c r="F459" i="19" s="1"/>
  <c r="F457" i="19" a="1"/>
  <c r="F457" i="19" s="1"/>
  <c r="F458" i="19" a="1"/>
  <c r="F458" i="19" s="1"/>
  <c r="F456" i="19" a="1"/>
  <c r="F456" i="19" s="1"/>
  <c r="F454" i="19" a="1"/>
  <c r="F454" i="19" s="1"/>
  <c r="F455" i="19" a="1"/>
  <c r="F455" i="19" s="1"/>
  <c r="F452" i="19" a="1"/>
  <c r="F452" i="19" s="1"/>
  <c r="F453" i="19" a="1"/>
  <c r="F453" i="19" s="1"/>
  <c r="F451" i="19" a="1"/>
  <c r="F451" i="19" s="1"/>
  <c r="F450" i="19" a="1"/>
  <c r="F450" i="19" s="1"/>
  <c r="F448" i="19" a="1"/>
  <c r="F448" i="19" s="1"/>
  <c r="F449" i="19" a="1"/>
  <c r="F449" i="19" s="1"/>
  <c r="F447" i="19" a="1"/>
  <c r="F447" i="19" s="1"/>
  <c r="F446" i="19" a="1"/>
  <c r="F446" i="19" s="1"/>
  <c r="F445" i="19" a="1"/>
  <c r="F445" i="19" s="1"/>
  <c r="F443" i="19" a="1"/>
  <c r="F443" i="19" s="1"/>
  <c r="F444" i="19" a="1"/>
  <c r="F444" i="19" s="1"/>
  <c r="F441" i="19" a="1"/>
  <c r="F441" i="19" s="1"/>
  <c r="F442" i="19" a="1"/>
  <c r="F442" i="19" s="1"/>
  <c r="F440" i="19" a="1"/>
  <c r="F440" i="19" s="1"/>
  <c r="F437" i="19" a="1"/>
  <c r="F437" i="19" s="1"/>
  <c r="F439" i="19" a="1"/>
  <c r="F439" i="19" s="1"/>
  <c r="F438" i="19" a="1"/>
  <c r="F438" i="19" s="1"/>
  <c r="F436" i="19" a="1"/>
  <c r="F436" i="19" s="1"/>
  <c r="F433" i="19" a="1"/>
  <c r="F433" i="19" s="1"/>
  <c r="F435" i="19" a="1"/>
  <c r="F435" i="19" s="1"/>
  <c r="F431" i="19" a="1"/>
  <c r="F431" i="19" s="1"/>
  <c r="F434" i="19" a="1"/>
  <c r="F434" i="19" s="1"/>
  <c r="F432" i="19" a="1"/>
  <c r="F432" i="19" s="1"/>
  <c r="F430" i="19" a="1"/>
  <c r="F430" i="19" s="1"/>
  <c r="F429" i="19" a="1"/>
  <c r="F429" i="19" s="1"/>
  <c r="F428" i="19" a="1"/>
  <c r="F428" i="19" s="1"/>
  <c r="F427" i="19" a="1"/>
  <c r="F427" i="19" s="1"/>
  <c r="F424" i="19" a="1"/>
  <c r="F424" i="19" s="1"/>
  <c r="F425" i="19" a="1"/>
  <c r="F425" i="19" s="1"/>
  <c r="F426" i="19" a="1"/>
  <c r="F426" i="19" s="1"/>
  <c r="F423" i="19" a="1"/>
  <c r="F423" i="19" s="1"/>
  <c r="F421" i="19" a="1"/>
  <c r="F421" i="19" s="1"/>
  <c r="F422" i="19" a="1"/>
  <c r="F422" i="19" s="1"/>
  <c r="F420" i="19" a="1"/>
  <c r="F420" i="19" s="1"/>
  <c r="F400" i="19" a="1"/>
  <c r="F400" i="19" s="1"/>
  <c r="F419" i="19" a="1"/>
  <c r="F419" i="19" s="1"/>
  <c r="F406" i="19" a="1"/>
  <c r="F406" i="19" s="1"/>
  <c r="F206" i="19" a="1"/>
  <c r="F206" i="19" s="1"/>
  <c r="F333" i="19" a="1"/>
  <c r="F333" i="19" s="1"/>
  <c r="F374" i="19" a="1"/>
  <c r="F374" i="19" s="1"/>
  <c r="F418" i="19" a="1"/>
  <c r="F418" i="19" s="1"/>
  <c r="F358" i="19" a="1"/>
  <c r="F358" i="19" s="1"/>
  <c r="F299" i="19" a="1"/>
  <c r="F299" i="19" s="1"/>
  <c r="F347" i="19" a="1"/>
  <c r="F347" i="19" s="1"/>
  <c r="F342" i="19" a="1"/>
  <c r="F342" i="19" s="1"/>
  <c r="F385" i="19" a="1"/>
  <c r="F385" i="19" s="1"/>
  <c r="F386" i="19" a="1"/>
  <c r="F386" i="19" s="1"/>
  <c r="F273" i="19" a="1"/>
  <c r="F273" i="19" s="1"/>
  <c r="F402" i="19" a="1"/>
  <c r="F402" i="19" s="1"/>
  <c r="F289" i="19" a="1"/>
  <c r="F289" i="19" s="1"/>
  <c r="F257" i="19" a="1"/>
  <c r="F257" i="19" s="1"/>
  <c r="F383" i="19" a="1"/>
  <c r="F383" i="19" s="1"/>
  <c r="F353" i="19" a="1"/>
  <c r="F353" i="19" s="1"/>
  <c r="F366" i="19" a="1"/>
  <c r="F366" i="19" s="1"/>
  <c r="F305" i="19" a="1"/>
  <c r="F305" i="19" s="1"/>
  <c r="F370" i="19" a="1"/>
  <c r="F370" i="19" s="1"/>
  <c r="F241" i="19" a="1"/>
  <c r="F241" i="19" s="1"/>
  <c r="F369" i="19" a="1"/>
  <c r="F369" i="19" s="1"/>
  <c r="F225" i="19" a="1"/>
  <c r="F225" i="19" s="1"/>
  <c r="F310" i="19" a="1"/>
  <c r="F310" i="19" s="1"/>
  <c r="F172" i="19" a="1"/>
  <c r="F172" i="19" s="1"/>
  <c r="F379" i="19" a="1"/>
  <c r="F379" i="19" s="1"/>
  <c r="F326" i="19" a="1"/>
  <c r="F326" i="19" s="1"/>
  <c r="F380" i="19" a="1"/>
  <c r="F380" i="19" s="1"/>
  <c r="F417" i="19" a="1"/>
  <c r="F417" i="19" s="1"/>
  <c r="F388" i="19" a="1"/>
  <c r="F388" i="19" s="1"/>
  <c r="F372" i="19" a="1"/>
  <c r="F372" i="19" s="1"/>
  <c r="F356" i="19" a="1"/>
  <c r="F356" i="19" s="1"/>
  <c r="F371" i="19" a="1"/>
  <c r="F371" i="19" s="1"/>
  <c r="F155" i="19" a="1"/>
  <c r="F155" i="19" s="1"/>
  <c r="F387" i="19" a="1"/>
  <c r="F387" i="19" s="1"/>
  <c r="F354" i="19" a="1"/>
  <c r="F354" i="19" s="1"/>
  <c r="F401" i="19" a="1"/>
  <c r="F401" i="19" s="1"/>
  <c r="F287" i="19" a="1"/>
  <c r="F287" i="19" s="1"/>
  <c r="F403" i="19" a="1"/>
  <c r="F403" i="19" s="1"/>
  <c r="F321" i="19" a="1"/>
  <c r="F321" i="19" s="1"/>
  <c r="F209" i="19" a="1"/>
  <c r="F209" i="19" s="1"/>
  <c r="F189" i="19" a="1"/>
  <c r="F189" i="19" s="1"/>
  <c r="F286" i="19" a="1"/>
  <c r="F286" i="19" s="1"/>
  <c r="F284" i="19" a="1"/>
  <c r="F284" i="19" s="1"/>
  <c r="F394" i="19" a="1"/>
  <c r="F394" i="19" s="1"/>
  <c r="F377" i="19" a="1"/>
  <c r="F377" i="19" s="1"/>
  <c r="F360" i="19" a="1"/>
  <c r="F360" i="19" s="1"/>
  <c r="F331" i="19" a="1"/>
  <c r="F331" i="19" s="1"/>
  <c r="F121" i="19" a="1"/>
  <c r="F121" i="19" s="1"/>
  <c r="F278" i="19" a="1"/>
  <c r="F278" i="19" s="1"/>
  <c r="F412" i="19" a="1"/>
  <c r="F412" i="19" s="1"/>
  <c r="F410" i="19" a="1"/>
  <c r="F410" i="19" s="1"/>
  <c r="F376" i="19" a="1"/>
  <c r="F376" i="19" s="1"/>
  <c r="F357" i="19" a="1"/>
  <c r="F357" i="19" s="1"/>
  <c r="F271" i="19" a="1"/>
  <c r="F271" i="19" s="1"/>
  <c r="F74" i="19" a="1"/>
  <c r="F74" i="19" s="1"/>
  <c r="F414" i="19" a="1"/>
  <c r="F414" i="19" s="1"/>
  <c r="F411" i="19" a="1"/>
  <c r="F411" i="19" s="1"/>
  <c r="F392" i="19" a="1"/>
  <c r="F392" i="19" s="1"/>
  <c r="F375" i="19" a="1"/>
  <c r="F375" i="19" s="1"/>
  <c r="F319" i="19" a="1"/>
  <c r="F319" i="19" s="1"/>
  <c r="F270" i="19" a="1"/>
  <c r="F270" i="19" s="1"/>
  <c r="F339" i="19" a="1"/>
  <c r="F339" i="19" s="1"/>
  <c r="F413" i="19" a="1"/>
  <c r="F413" i="19" s="1"/>
  <c r="F361" i="19" a="1"/>
  <c r="F361" i="19" s="1"/>
  <c r="F409" i="19" a="1"/>
  <c r="F409" i="19" s="1"/>
  <c r="F391" i="19" a="1"/>
  <c r="F391" i="19" s="1"/>
  <c r="F373" i="19" a="1"/>
  <c r="F373" i="19" s="1"/>
  <c r="F318" i="19" a="1"/>
  <c r="F318" i="19" s="1"/>
  <c r="F304" i="19" a="1"/>
  <c r="F304" i="19" s="1"/>
  <c r="F362" i="19" a="1"/>
  <c r="F362" i="19" s="1"/>
  <c r="F332" i="19" a="1"/>
  <c r="F332" i="19" s="1"/>
  <c r="F407" i="19" a="1"/>
  <c r="F407" i="19" s="1"/>
  <c r="F389" i="19" a="1"/>
  <c r="F389" i="19" s="1"/>
  <c r="F316" i="19" a="1"/>
  <c r="F316" i="19" s="1"/>
  <c r="F254" i="19" a="1"/>
  <c r="F254" i="19" s="1"/>
  <c r="F317" i="19" a="1"/>
  <c r="F317" i="19" s="1"/>
  <c r="F163" i="19" a="1"/>
  <c r="F163" i="19" s="1"/>
  <c r="F395" i="19" a="1"/>
  <c r="F395" i="19" s="1"/>
  <c r="F393" i="19" a="1"/>
  <c r="F393" i="19" s="1"/>
  <c r="F405" i="19" a="1"/>
  <c r="F405" i="19" s="1"/>
  <c r="F352" i="19" a="1"/>
  <c r="F352" i="19" s="1"/>
  <c r="F315" i="19" a="1"/>
  <c r="F315" i="19" s="1"/>
  <c r="F398" i="19" a="1"/>
  <c r="F398" i="19" s="1"/>
  <c r="F396" i="19" a="1"/>
  <c r="F396" i="19" s="1"/>
  <c r="F138" i="19" a="1"/>
  <c r="F138" i="19" s="1"/>
  <c r="F404" i="19" a="1"/>
  <c r="F404" i="19" s="1"/>
  <c r="F351" i="19" a="1"/>
  <c r="F351" i="19" s="1"/>
  <c r="F238" i="19" a="1"/>
  <c r="F238" i="19" s="1"/>
  <c r="F397" i="19" a="1"/>
  <c r="F397" i="19" s="1"/>
  <c r="F334" i="19" a="1"/>
  <c r="F334" i="19" s="1"/>
  <c r="F378" i="19" a="1"/>
  <c r="F378" i="19" s="1"/>
  <c r="F408" i="19" a="1"/>
  <c r="F408" i="19" s="1"/>
  <c r="F350" i="19" a="1"/>
  <c r="F350" i="19" s="1"/>
  <c r="F303" i="19" a="1"/>
  <c r="F303" i="19" s="1"/>
  <c r="F381" i="19" a="1"/>
  <c r="F381" i="19" s="1"/>
  <c r="F283" i="19" a="1"/>
  <c r="F283" i="19" s="1"/>
  <c r="F368" i="19" a="1"/>
  <c r="F368" i="19" s="1"/>
  <c r="F349" i="19" a="1"/>
  <c r="F349" i="19" s="1"/>
  <c r="F302" i="19" a="1"/>
  <c r="F302" i="19" s="1"/>
  <c r="F222" i="19" a="1"/>
  <c r="F222" i="19" s="1"/>
  <c r="F335" i="19" a="1"/>
  <c r="F335" i="19" s="1"/>
  <c r="F384" i="19" a="1"/>
  <c r="F384" i="19" s="1"/>
  <c r="F367" i="19" a="1"/>
  <c r="F367" i="19" s="1"/>
  <c r="F348" i="19" a="1"/>
  <c r="F348" i="19" s="1"/>
  <c r="F300" i="19" a="1"/>
  <c r="F300" i="19" s="1"/>
  <c r="F73" i="19" a="1"/>
  <c r="F73" i="19" s="1"/>
  <c r="F294" i="19" a="1"/>
  <c r="F294" i="19" s="1"/>
  <c r="F285" i="19" a="1"/>
  <c r="F285" i="19" s="1"/>
  <c r="F223" i="19" a="1"/>
  <c r="F223" i="19" s="1"/>
  <c r="F207" i="19" a="1"/>
  <c r="F207" i="19" s="1"/>
  <c r="F190" i="19" a="1"/>
  <c r="F190" i="19" s="1"/>
  <c r="F173" i="19" a="1"/>
  <c r="F173" i="19" s="1"/>
  <c r="F156" i="19" a="1"/>
  <c r="F156" i="19" s="1"/>
  <c r="F139" i="19" a="1"/>
  <c r="F139" i="19" s="1"/>
  <c r="F122" i="19" a="1"/>
  <c r="F122" i="19" s="1"/>
  <c r="F214" i="19" a="1"/>
  <c r="F214" i="19" s="1"/>
  <c r="F399" i="19" a="1"/>
  <c r="F399" i="19" s="1"/>
  <c r="F382" i="19" a="1"/>
  <c r="F382" i="19" s="1"/>
  <c r="F365" i="19" a="1"/>
  <c r="F365" i="19" s="1"/>
  <c r="F346" i="19" a="1"/>
  <c r="F346" i="19" s="1"/>
  <c r="F192" i="19" a="1"/>
  <c r="F192" i="19" s="1"/>
  <c r="F364" i="19" a="1"/>
  <c r="F364" i="19" s="1"/>
  <c r="F337" i="19" a="1"/>
  <c r="F337" i="19" s="1"/>
  <c r="F148" i="19" a="1"/>
  <c r="F148" i="19" s="1"/>
  <c r="F132" i="19" a="1"/>
  <c r="F132" i="19" s="1"/>
  <c r="F116" i="19" a="1"/>
  <c r="F116" i="19" s="1"/>
  <c r="F100" i="19" a="1"/>
  <c r="F100" i="19" s="1"/>
  <c r="F363" i="19" a="1"/>
  <c r="F363" i="19" s="1"/>
  <c r="F147" i="19" a="1"/>
  <c r="F147" i="19" s="1"/>
  <c r="F131" i="19" a="1"/>
  <c r="F131" i="19" s="1"/>
  <c r="F115" i="19" a="1"/>
  <c r="F115" i="19" s="1"/>
  <c r="F154" i="19" a="1"/>
  <c r="F154" i="19" s="1"/>
  <c r="F167" i="19" a="1"/>
  <c r="F167" i="19" s="1"/>
  <c r="F157" i="19" a="1"/>
  <c r="F157" i="19" s="1"/>
  <c r="F137" i="19" a="1"/>
  <c r="F137" i="19" s="1"/>
  <c r="F268" i="19" a="1"/>
  <c r="F268" i="19" s="1"/>
  <c r="F252" i="19" a="1"/>
  <c r="F252" i="19" s="1"/>
  <c r="F236" i="19" a="1"/>
  <c r="F236" i="19" s="1"/>
  <c r="F220" i="19" a="1"/>
  <c r="F220" i="19" s="1"/>
  <c r="F204" i="19" a="1"/>
  <c r="F204" i="19" s="1"/>
  <c r="F187" i="19" a="1"/>
  <c r="F187" i="19" s="1"/>
  <c r="F170" i="19" a="1"/>
  <c r="F170" i="19" s="1"/>
  <c r="F153" i="19" a="1"/>
  <c r="F153" i="19" s="1"/>
  <c r="F136" i="19" a="1"/>
  <c r="F136" i="19" s="1"/>
  <c r="F119" i="19" a="1"/>
  <c r="F119" i="19" s="1"/>
  <c r="F58" i="19" a="1"/>
  <c r="F58" i="19" s="1"/>
  <c r="F267" i="19" a="1"/>
  <c r="F267" i="19" s="1"/>
  <c r="F251" i="19" a="1"/>
  <c r="F251" i="19" s="1"/>
  <c r="F235" i="19" a="1"/>
  <c r="F235" i="19" s="1"/>
  <c r="F219" i="19" a="1"/>
  <c r="F219" i="19" s="1"/>
  <c r="F203" i="19" a="1"/>
  <c r="F203" i="19" s="1"/>
  <c r="F186" i="19" a="1"/>
  <c r="F186" i="19" s="1"/>
  <c r="F169" i="19" a="1"/>
  <c r="F169" i="19" s="1"/>
  <c r="F152" i="19" a="1"/>
  <c r="F152" i="19" s="1"/>
  <c r="F135" i="19" a="1"/>
  <c r="F135" i="19" s="1"/>
  <c r="F117" i="19" a="1"/>
  <c r="F117" i="19" s="1"/>
  <c r="F57" i="19" a="1"/>
  <c r="F57" i="19" s="1"/>
  <c r="F330" i="19" a="1"/>
  <c r="F330" i="19" s="1"/>
  <c r="F314" i="19" a="1"/>
  <c r="F314" i="19" s="1"/>
  <c r="F298" i="19" a="1"/>
  <c r="F298" i="19" s="1"/>
  <c r="F282" i="19" a="1"/>
  <c r="F282" i="19" s="1"/>
  <c r="F266" i="19" a="1"/>
  <c r="F266" i="19" s="1"/>
  <c r="F250" i="19" a="1"/>
  <c r="F250" i="19" s="1"/>
  <c r="F234" i="19" a="1"/>
  <c r="F234" i="19" s="1"/>
  <c r="F218" i="19" a="1"/>
  <c r="F218" i="19" s="1"/>
  <c r="F202" i="19" a="1"/>
  <c r="F202" i="19" s="1"/>
  <c r="F185" i="19" a="1"/>
  <c r="F185" i="19" s="1"/>
  <c r="F168" i="19" a="1"/>
  <c r="F168" i="19" s="1"/>
  <c r="F151" i="19" a="1"/>
  <c r="F151" i="19" s="1"/>
  <c r="F133" i="19" a="1"/>
  <c r="F133" i="19" s="1"/>
  <c r="F42" i="19" a="1"/>
  <c r="F42" i="19" s="1"/>
  <c r="F345" i="19" a="1"/>
  <c r="F345" i="19" s="1"/>
  <c r="F329" i="19" a="1"/>
  <c r="F329" i="19" s="1"/>
  <c r="F313" i="19" a="1"/>
  <c r="F313" i="19" s="1"/>
  <c r="F297" i="19" a="1"/>
  <c r="F297" i="19" s="1"/>
  <c r="F281" i="19" a="1"/>
  <c r="F281" i="19" s="1"/>
  <c r="F265" i="19" a="1"/>
  <c r="F265" i="19" s="1"/>
  <c r="F249" i="19" a="1"/>
  <c r="F249" i="19" s="1"/>
  <c r="F233" i="19" a="1"/>
  <c r="F233" i="19" s="1"/>
  <c r="F217" i="19" a="1"/>
  <c r="F217" i="19" s="1"/>
  <c r="F201" i="19" a="1"/>
  <c r="F201" i="19" s="1"/>
  <c r="F184" i="19" a="1"/>
  <c r="F184" i="19" s="1"/>
  <c r="F149" i="19" a="1"/>
  <c r="F149" i="19" s="1"/>
  <c r="F41" i="19" a="1"/>
  <c r="F41" i="19" s="1"/>
  <c r="F344" i="19" a="1"/>
  <c r="F344" i="19" s="1"/>
  <c r="F328" i="19" a="1"/>
  <c r="F328" i="19" s="1"/>
  <c r="F312" i="19" a="1"/>
  <c r="F312" i="19" s="1"/>
  <c r="F296" i="19" a="1"/>
  <c r="F296" i="19" s="1"/>
  <c r="F280" i="19" a="1"/>
  <c r="F280" i="19" s="1"/>
  <c r="F264" i="19" a="1"/>
  <c r="F264" i="19" s="1"/>
  <c r="F248" i="19" a="1"/>
  <c r="F248" i="19" s="1"/>
  <c r="F232" i="19" a="1"/>
  <c r="F232" i="19" s="1"/>
  <c r="F216" i="19" a="1"/>
  <c r="F216" i="19" s="1"/>
  <c r="F200" i="19" a="1"/>
  <c r="F200" i="19" s="1"/>
  <c r="F183" i="19" a="1"/>
  <c r="F183" i="19" s="1"/>
  <c r="F165" i="19" a="1"/>
  <c r="F165" i="19" s="1"/>
  <c r="F114" i="19" a="1"/>
  <c r="F114" i="19" s="1"/>
  <c r="F26" i="19" a="1"/>
  <c r="F26" i="19" s="1"/>
  <c r="F327" i="19" a="1"/>
  <c r="F327" i="19" s="1"/>
  <c r="F295" i="19" a="1"/>
  <c r="F295" i="19" s="1"/>
  <c r="F279" i="19" a="1"/>
  <c r="F279" i="19" s="1"/>
  <c r="F263" i="19" a="1"/>
  <c r="F263" i="19" s="1"/>
  <c r="F247" i="19" a="1"/>
  <c r="F247" i="19" s="1"/>
  <c r="F231" i="19" a="1"/>
  <c r="F231" i="19" s="1"/>
  <c r="F215" i="19" a="1"/>
  <c r="F215" i="19" s="1"/>
  <c r="F199" i="19" a="1"/>
  <c r="F199" i="19" s="1"/>
  <c r="F181" i="19" a="1"/>
  <c r="F181" i="19" s="1"/>
  <c r="F164" i="19" a="1"/>
  <c r="F164" i="19" s="1"/>
  <c r="F130" i="19" a="1"/>
  <c r="F130" i="19" s="1"/>
  <c r="F111" i="19" a="1"/>
  <c r="F111" i="19" s="1"/>
  <c r="F25" i="19" a="1"/>
  <c r="F25" i="19" s="1"/>
  <c r="F359" i="19" a="1"/>
  <c r="F359" i="19" s="1"/>
  <c r="F343" i="19" a="1"/>
  <c r="F343" i="19" s="1"/>
  <c r="F311" i="19" a="1"/>
  <c r="F311" i="19" s="1"/>
  <c r="F390" i="19" a="1"/>
  <c r="F390" i="19" s="1"/>
  <c r="F262" i="19" a="1"/>
  <c r="F262" i="19" s="1"/>
  <c r="F246" i="19" a="1"/>
  <c r="F246" i="19" s="1"/>
  <c r="F230" i="19" a="1"/>
  <c r="F230" i="19" s="1"/>
  <c r="F197" i="19" a="1"/>
  <c r="F197" i="19" s="1"/>
  <c r="F180" i="19" a="1"/>
  <c r="F180" i="19" s="1"/>
  <c r="F146" i="19" a="1"/>
  <c r="F146" i="19" s="1"/>
  <c r="F129" i="19" a="1"/>
  <c r="F129" i="19" s="1"/>
  <c r="F110" i="19" a="1"/>
  <c r="F110" i="19" s="1"/>
  <c r="F341" i="19" a="1"/>
  <c r="F341" i="19" s="1"/>
  <c r="F325" i="19" a="1"/>
  <c r="F325" i="19" s="1"/>
  <c r="F309" i="19" a="1"/>
  <c r="F309" i="19" s="1"/>
  <c r="F293" i="19" a="1"/>
  <c r="F293" i="19" s="1"/>
  <c r="F277" i="19" a="1"/>
  <c r="F277" i="19" s="1"/>
  <c r="F261" i="19" a="1"/>
  <c r="F261" i="19" s="1"/>
  <c r="F245" i="19" a="1"/>
  <c r="F245" i="19" s="1"/>
  <c r="F229" i="19" a="1"/>
  <c r="F229" i="19" s="1"/>
  <c r="F213" i="19" a="1"/>
  <c r="F213" i="19" s="1"/>
  <c r="F196" i="19" a="1"/>
  <c r="F196" i="19" s="1"/>
  <c r="F179" i="19" a="1"/>
  <c r="F179" i="19" s="1"/>
  <c r="F162" i="19" a="1"/>
  <c r="F162" i="19" s="1"/>
  <c r="F145" i="19" a="1"/>
  <c r="F145" i="19" s="1"/>
  <c r="F128" i="19" a="1"/>
  <c r="F128" i="19" s="1"/>
  <c r="F109" i="19" a="1"/>
  <c r="F109" i="19" s="1"/>
  <c r="F340" i="19" a="1"/>
  <c r="F340" i="19" s="1"/>
  <c r="F324" i="19" a="1"/>
  <c r="F324" i="19" s="1"/>
  <c r="F308" i="19" a="1"/>
  <c r="F308" i="19" s="1"/>
  <c r="F292" i="19" a="1"/>
  <c r="F292" i="19" s="1"/>
  <c r="F276" i="19" a="1"/>
  <c r="F276" i="19" s="1"/>
  <c r="F260" i="19" a="1"/>
  <c r="F260" i="19" s="1"/>
  <c r="F244" i="19" a="1"/>
  <c r="F244" i="19" s="1"/>
  <c r="F228" i="19" a="1"/>
  <c r="F228" i="19" s="1"/>
  <c r="F212" i="19" a="1"/>
  <c r="F212" i="19" s="1"/>
  <c r="F195" i="19" a="1"/>
  <c r="F195" i="19" s="1"/>
  <c r="F178" i="19" a="1"/>
  <c r="F178" i="19" s="1"/>
  <c r="F161" i="19" a="1"/>
  <c r="F161" i="19" s="1"/>
  <c r="F144" i="19" a="1"/>
  <c r="F144" i="19" s="1"/>
  <c r="F127" i="19" a="1"/>
  <c r="F127" i="19" s="1"/>
  <c r="F106" i="19" a="1"/>
  <c r="F106" i="19" s="1"/>
  <c r="F355" i="19" a="1"/>
  <c r="F355" i="19" s="1"/>
  <c r="F323" i="19" a="1"/>
  <c r="F323" i="19" s="1"/>
  <c r="F307" i="19" a="1"/>
  <c r="F307" i="19" s="1"/>
  <c r="F291" i="19" a="1"/>
  <c r="F291" i="19" s="1"/>
  <c r="F275" i="19" a="1"/>
  <c r="F275" i="19" s="1"/>
  <c r="F259" i="19" a="1"/>
  <c r="F259" i="19" s="1"/>
  <c r="F243" i="19" a="1"/>
  <c r="F243" i="19" s="1"/>
  <c r="F227" i="19" a="1"/>
  <c r="F227" i="19" s="1"/>
  <c r="F211" i="19" a="1"/>
  <c r="F211" i="19" s="1"/>
  <c r="F194" i="19" a="1"/>
  <c r="F194" i="19" s="1"/>
  <c r="F177" i="19" a="1"/>
  <c r="F177" i="19" s="1"/>
  <c r="F160" i="19" a="1"/>
  <c r="F160" i="19" s="1"/>
  <c r="F143" i="19" a="1"/>
  <c r="F143" i="19" s="1"/>
  <c r="F126" i="19" a="1"/>
  <c r="F126" i="19" s="1"/>
  <c r="F105" i="19" a="1"/>
  <c r="F105" i="19" s="1"/>
  <c r="F338" i="19" a="1"/>
  <c r="F338" i="19" s="1"/>
  <c r="F322" i="19" a="1"/>
  <c r="F322" i="19" s="1"/>
  <c r="F306" i="19" a="1"/>
  <c r="F306" i="19" s="1"/>
  <c r="F290" i="19" a="1"/>
  <c r="F290" i="19" s="1"/>
  <c r="F274" i="19" a="1"/>
  <c r="F274" i="19" s="1"/>
  <c r="F258" i="19" a="1"/>
  <c r="F258" i="19" s="1"/>
  <c r="F242" i="19" a="1"/>
  <c r="F242" i="19" s="1"/>
  <c r="F226" i="19" a="1"/>
  <c r="F226" i="19" s="1"/>
  <c r="F210" i="19" a="1"/>
  <c r="F210" i="19" s="1"/>
  <c r="F193" i="19" a="1"/>
  <c r="F193" i="19" s="1"/>
  <c r="F176" i="19" a="1"/>
  <c r="F176" i="19" s="1"/>
  <c r="F159" i="19" a="1"/>
  <c r="F159" i="19" s="1"/>
  <c r="F142" i="19" a="1"/>
  <c r="F142" i="19" s="1"/>
  <c r="F125" i="19" a="1"/>
  <c r="F125" i="19" s="1"/>
  <c r="F101" i="19" a="1"/>
  <c r="F101" i="19" s="1"/>
  <c r="F175" i="19" a="1"/>
  <c r="F175" i="19" s="1"/>
  <c r="F158" i="19" a="1"/>
  <c r="F158" i="19" s="1"/>
  <c r="F141" i="19" a="1"/>
  <c r="F141" i="19" s="1"/>
  <c r="F124" i="19" a="1"/>
  <c r="F124" i="19" s="1"/>
  <c r="F336" i="19" a="1"/>
  <c r="F336" i="19" s="1"/>
  <c r="F320" i="19" a="1"/>
  <c r="F320" i="19" s="1"/>
  <c r="F288" i="19" a="1"/>
  <c r="F288" i="19" s="1"/>
  <c r="F272" i="19" a="1"/>
  <c r="F272" i="19" s="1"/>
  <c r="F256" i="19" a="1"/>
  <c r="F256" i="19" s="1"/>
  <c r="F240" i="19" a="1"/>
  <c r="F240" i="19" s="1"/>
  <c r="F224" i="19" a="1"/>
  <c r="F224" i="19" s="1"/>
  <c r="F208" i="19" a="1"/>
  <c r="F208" i="19" s="1"/>
  <c r="F191" i="19" a="1"/>
  <c r="F191" i="19" s="1"/>
  <c r="F174" i="19" a="1"/>
  <c r="F174" i="19" s="1"/>
  <c r="F140" i="19" a="1"/>
  <c r="F140" i="19" s="1"/>
  <c r="F123" i="19" a="1"/>
  <c r="F123" i="19" s="1"/>
  <c r="F90" i="19" a="1"/>
  <c r="F90" i="19" s="1"/>
  <c r="F255" i="19" a="1"/>
  <c r="F255" i="19" s="1"/>
  <c r="F239" i="19" a="1"/>
  <c r="F239" i="19" s="1"/>
  <c r="F89" i="19" a="1"/>
  <c r="F89" i="19" s="1"/>
  <c r="F416" i="19" a="1"/>
  <c r="F416" i="19" s="1"/>
  <c r="F107" i="19" a="1"/>
  <c r="F107" i="19" s="1"/>
  <c r="F104" i="19" a="1"/>
  <c r="F104" i="19" s="1"/>
  <c r="F198" i="19" a="1"/>
  <c r="F198" i="19" s="1"/>
  <c r="F182" i="19" a="1"/>
  <c r="F182" i="19" s="1"/>
  <c r="F166" i="19" a="1"/>
  <c r="F166" i="19" s="1"/>
  <c r="F108" i="19" a="1"/>
  <c r="F108" i="19" s="1"/>
  <c r="F134" i="19" a="1"/>
  <c r="F134" i="19" s="1"/>
  <c r="F112" i="19" a="1"/>
  <c r="F112" i="19" s="1"/>
  <c r="F102" i="19" a="1"/>
  <c r="F102" i="19" s="1"/>
  <c r="F86" i="19" a="1"/>
  <c r="F86" i="19" s="1"/>
  <c r="F70" i="19" a="1"/>
  <c r="F70" i="19" s="1"/>
  <c r="F54" i="19" a="1"/>
  <c r="F54" i="19" s="1"/>
  <c r="F38" i="19" a="1"/>
  <c r="F38" i="19" s="1"/>
  <c r="F22" i="19" a="1"/>
  <c r="F22" i="19" s="1"/>
  <c r="F27" i="19" a="1"/>
  <c r="F27" i="19" s="1"/>
  <c r="F301" i="19" a="1"/>
  <c r="F301" i="19" s="1"/>
  <c r="F269" i="19" a="1"/>
  <c r="F269" i="19" s="1"/>
  <c r="F253" i="19" a="1"/>
  <c r="F253" i="19" s="1"/>
  <c r="F237" i="19" a="1"/>
  <c r="F237" i="19" s="1"/>
  <c r="F221" i="19" a="1"/>
  <c r="F221" i="19" s="1"/>
  <c r="F205" i="19" a="1"/>
  <c r="F205" i="19" s="1"/>
  <c r="F188" i="19" a="1"/>
  <c r="F188" i="19" s="1"/>
  <c r="F171" i="19" a="1"/>
  <c r="F171" i="19" s="1"/>
  <c r="F120" i="19" a="1"/>
  <c r="F120" i="19" s="1"/>
  <c r="F18" i="19" a="1"/>
  <c r="F18" i="19" s="1"/>
  <c r="F19" i="19" a="1"/>
  <c r="F19" i="19" s="1"/>
  <c r="F16" i="19" a="1"/>
  <c r="F16" i="19" s="1"/>
  <c r="F9" i="19" a="1"/>
  <c r="F9" i="19" s="1"/>
  <c r="F6" i="19" a="1"/>
  <c r="F6" i="19" s="1"/>
  <c r="F10" i="19" a="1"/>
  <c r="F10" i="19" s="1"/>
  <c r="F88" i="19" a="1"/>
  <c r="F88" i="19" s="1"/>
  <c r="F72" i="19" a="1"/>
  <c r="F72" i="19" s="1"/>
  <c r="F56" i="19" a="1"/>
  <c r="F56" i="19" s="1"/>
  <c r="F40" i="19" a="1"/>
  <c r="F40" i="19" s="1"/>
  <c r="F24" i="19" a="1"/>
  <c r="F24" i="19" s="1"/>
  <c r="F103" i="19" a="1"/>
  <c r="F103" i="19" s="1"/>
  <c r="F87" i="19" a="1"/>
  <c r="F87" i="19" s="1"/>
  <c r="F71" i="19" a="1"/>
  <c r="F71" i="19" s="1"/>
  <c r="F55" i="19" a="1"/>
  <c r="F55" i="19" s="1"/>
  <c r="F39" i="19" a="1"/>
  <c r="F39" i="19" s="1"/>
  <c r="F23" i="19" a="1"/>
  <c r="F23" i="19" s="1"/>
  <c r="F150" i="19" a="1"/>
  <c r="F150" i="19" s="1"/>
  <c r="F118" i="19" a="1"/>
  <c r="F118" i="19" s="1"/>
  <c r="F85" i="19" a="1"/>
  <c r="F85" i="19" s="1"/>
  <c r="F69" i="19" a="1"/>
  <c r="F69" i="19" s="1"/>
  <c r="F53" i="19" a="1"/>
  <c r="F53" i="19" s="1"/>
  <c r="F37" i="19" a="1"/>
  <c r="F37" i="19" s="1"/>
  <c r="F21" i="19" a="1"/>
  <c r="F21" i="19" s="1"/>
  <c r="F84" i="19" a="1"/>
  <c r="F84" i="19" s="1"/>
  <c r="F68" i="19" a="1"/>
  <c r="F68" i="19" s="1"/>
  <c r="F52" i="19" a="1"/>
  <c r="F52" i="19" s="1"/>
  <c r="F36" i="19" a="1"/>
  <c r="F36" i="19" s="1"/>
  <c r="F15" i="19" a="1"/>
  <c r="F15" i="19" s="1"/>
  <c r="F99" i="19" a="1"/>
  <c r="F99" i="19" s="1"/>
  <c r="F83" i="19" a="1"/>
  <c r="F83" i="19" s="1"/>
  <c r="F67" i="19" a="1"/>
  <c r="F67" i="19" s="1"/>
  <c r="F51" i="19" a="1"/>
  <c r="F51" i="19" s="1"/>
  <c r="F35" i="19" a="1"/>
  <c r="F35" i="19" s="1"/>
  <c r="F7" i="19" a="1"/>
  <c r="F7" i="19" s="1"/>
  <c r="F98" i="19" a="1"/>
  <c r="F98" i="19" s="1"/>
  <c r="F82" i="19" a="1"/>
  <c r="F82" i="19" s="1"/>
  <c r="F66" i="19" a="1"/>
  <c r="F66" i="19" s="1"/>
  <c r="F50" i="19" a="1"/>
  <c r="F50" i="19" s="1"/>
  <c r="F34" i="19" a="1"/>
  <c r="F34" i="19" s="1"/>
  <c r="F113" i="19" a="1"/>
  <c r="F113" i="19" s="1"/>
  <c r="F97" i="19" a="1"/>
  <c r="F97" i="19" s="1"/>
  <c r="F81" i="19" a="1"/>
  <c r="F81" i="19" s="1"/>
  <c r="F65" i="19" a="1"/>
  <c r="F65" i="19" s="1"/>
  <c r="F49" i="19" a="1"/>
  <c r="F49" i="19" s="1"/>
  <c r="F33" i="19" a="1"/>
  <c r="F33" i="19" s="1"/>
  <c r="F96" i="19" a="1"/>
  <c r="F96" i="19" s="1"/>
  <c r="F80" i="19" a="1"/>
  <c r="F80" i="19" s="1"/>
  <c r="F64" i="19" a="1"/>
  <c r="F64" i="19" s="1"/>
  <c r="F48" i="19" a="1"/>
  <c r="F48" i="19" s="1"/>
  <c r="F32" i="19" a="1"/>
  <c r="F32" i="19" s="1"/>
  <c r="F95" i="19" a="1"/>
  <c r="F95" i="19" s="1"/>
  <c r="F79" i="19" a="1"/>
  <c r="F79" i="19" s="1"/>
  <c r="F63" i="19" a="1"/>
  <c r="F63" i="19" s="1"/>
  <c r="F47" i="19" a="1"/>
  <c r="F47" i="19" s="1"/>
  <c r="F31" i="19" a="1"/>
  <c r="F31" i="19" s="1"/>
  <c r="F94" i="19" a="1"/>
  <c r="F94" i="19" s="1"/>
  <c r="F78" i="19" a="1"/>
  <c r="F78" i="19" s="1"/>
  <c r="F62" i="19" a="1"/>
  <c r="F62" i="19" s="1"/>
  <c r="F46" i="19" a="1"/>
  <c r="F46" i="19" s="1"/>
  <c r="F30" i="19" a="1"/>
  <c r="F30" i="19" s="1"/>
  <c r="F93" i="19" a="1"/>
  <c r="F93" i="19" s="1"/>
  <c r="F77" i="19" a="1"/>
  <c r="F77" i="19" s="1"/>
  <c r="F61" i="19" a="1"/>
  <c r="F61" i="19" s="1"/>
  <c r="F45" i="19" a="1"/>
  <c r="F45" i="19" s="1"/>
  <c r="F29" i="19" a="1"/>
  <c r="F29" i="19" s="1"/>
  <c r="F415" i="19" a="1"/>
  <c r="F415" i="19" s="1"/>
  <c r="F92" i="19" a="1"/>
  <c r="F92" i="19" s="1"/>
  <c r="F76" i="19" a="1"/>
  <c r="F76" i="19" s="1"/>
  <c r="F60" i="19" a="1"/>
  <c r="F60" i="19" s="1"/>
  <c r="F44" i="19" a="1"/>
  <c r="F44" i="19" s="1"/>
  <c r="F28" i="19" a="1"/>
  <c r="F28" i="19" s="1"/>
  <c r="F91" i="19" a="1"/>
  <c r="F91" i="19" s="1"/>
  <c r="F75" i="19" a="1"/>
  <c r="F75" i="19" s="1"/>
  <c r="F59" i="19" a="1"/>
  <c r="F59" i="19" s="1"/>
  <c r="F43" i="19" a="1"/>
  <c r="F43" i="19" s="1"/>
  <c r="F17" i="19" a="1"/>
  <c r="F17" i="19" s="1"/>
  <c r="F8" i="19" a="1"/>
  <c r="F8" i="19" s="1"/>
  <c r="F14" i="19" a="1"/>
  <c r="F14" i="19" s="1"/>
  <c r="F5" i="19" a="1"/>
  <c r="F5" i="19" s="1"/>
  <c r="F13" i="19" a="1"/>
  <c r="F13" i="19" s="1"/>
  <c r="F12" i="19" a="1"/>
  <c r="F12" i="19" s="1"/>
  <c r="F20" i="19" a="1"/>
  <c r="F20" i="19" s="1"/>
  <c r="F11" i="19" a="1"/>
  <c r="F11" i="19" s="1"/>
  <c r="S5" i="8" l="1"/>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4" i="8"/>
  <c r="V10" i="1"/>
  <c r="V5" i="1" l="1"/>
  <c r="V6" i="1"/>
  <c r="V7" i="1"/>
  <c r="V8" i="1"/>
  <c r="V9"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4" i="1"/>
  <c r="E5" i="20"/>
  <c r="E6" i="20"/>
  <c r="E7" i="20"/>
  <c r="E8" i="20"/>
  <c r="E9" i="20"/>
  <c r="E10" i="20"/>
  <c r="E11" i="20"/>
  <c r="E12" i="20"/>
  <c r="E13" i="20"/>
  <c r="E14" i="20"/>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4" i="20"/>
  <c r="K50" i="28" l="1"/>
  <c r="B50" i="28"/>
  <c r="C50" i="28"/>
  <c r="D50" i="28"/>
  <c r="E50" i="28"/>
  <c r="K49" i="28"/>
  <c r="B49" i="28"/>
  <c r="C49" i="28"/>
  <c r="D49" i="28"/>
  <c r="E49" i="28"/>
  <c r="B49" i="2" l="1"/>
  <c r="C49" i="2"/>
  <c r="D49" i="2"/>
  <c r="E49" i="2"/>
  <c r="F49" i="2"/>
  <c r="H49" i="2"/>
  <c r="B48" i="2"/>
  <c r="C48" i="2"/>
  <c r="D48" i="2"/>
  <c r="E48" i="2"/>
  <c r="F48" i="2"/>
  <c r="H48" i="2"/>
  <c r="B49" i="12"/>
  <c r="E49" i="12"/>
  <c r="F49" i="12"/>
  <c r="G49" i="12"/>
  <c r="O49" i="12" a="1"/>
  <c r="O49" i="12" s="1"/>
  <c r="B48" i="12"/>
  <c r="E48" i="12"/>
  <c r="F48" i="12"/>
  <c r="G48" i="12"/>
  <c r="O48" i="12" a="1"/>
  <c r="O48" i="12" s="1"/>
  <c r="B50" i="10"/>
  <c r="E50" i="10"/>
  <c r="F50" i="10"/>
  <c r="G50" i="10"/>
  <c r="O50" i="10" a="1"/>
  <c r="O50" i="10" s="1"/>
  <c r="M50" i="2" s="1"/>
  <c r="B49" i="10"/>
  <c r="E49" i="10"/>
  <c r="F49" i="10"/>
  <c r="G49" i="10"/>
  <c r="O49" i="10" a="1"/>
  <c r="O49" i="10" s="1"/>
  <c r="B48" i="10"/>
  <c r="E48" i="10"/>
  <c r="F48" i="10"/>
  <c r="G48" i="10"/>
  <c r="B49" i="11"/>
  <c r="E49" i="11"/>
  <c r="F49" i="11"/>
  <c r="G49" i="11"/>
  <c r="O49" i="11" a="1"/>
  <c r="O49" i="11" s="1"/>
  <c r="B50" i="11"/>
  <c r="E50" i="11"/>
  <c r="F50" i="11"/>
  <c r="G50" i="11"/>
  <c r="O50" i="11" a="1"/>
  <c r="O50" i="11" s="1"/>
  <c r="B49" i="9"/>
  <c r="E49" i="9"/>
  <c r="F49" i="9"/>
  <c r="G49" i="9"/>
  <c r="O49" i="9" a="1"/>
  <c r="O49" i="9" s="1"/>
  <c r="B50" i="9"/>
  <c r="E50" i="9"/>
  <c r="F50" i="9"/>
  <c r="G50" i="9"/>
  <c r="O50" i="9" a="1"/>
  <c r="O50" i="9" s="1"/>
  <c r="K50" i="2" s="1"/>
  <c r="B49" i="1"/>
  <c r="E49" i="1"/>
  <c r="F49" i="1"/>
  <c r="G49" i="1"/>
  <c r="R49" i="1" a="1"/>
  <c r="R49" i="1" s="1"/>
  <c r="B50" i="1"/>
  <c r="E50" i="1"/>
  <c r="F50" i="1"/>
  <c r="G50" i="1"/>
  <c r="R50" i="1" a="1"/>
  <c r="R50" i="1" s="1"/>
  <c r="S50" i="1" s="1"/>
  <c r="B49" i="8"/>
  <c r="B50" i="8"/>
  <c r="B51" i="8"/>
  <c r="J49" i="8" a="1"/>
  <c r="J49" i="8" s="1"/>
  <c r="J50" i="8" a="1"/>
  <c r="J50" i="8" s="1"/>
  <c r="J51" i="8" a="1"/>
  <c r="J51" i="8" s="1"/>
  <c r="G50" i="8"/>
  <c r="F50" i="8"/>
  <c r="E50" i="8"/>
  <c r="E49" i="8"/>
  <c r="F49" i="8"/>
  <c r="G49" i="8"/>
  <c r="E51" i="21"/>
  <c r="E50" i="21"/>
  <c r="E49" i="21"/>
  <c r="O48" i="10" a="1"/>
  <c r="O48" i="10" s="1"/>
  <c r="O50" i="8" a="1"/>
  <c r="O50" i="8" s="1"/>
  <c r="P50" i="8" s="1"/>
  <c r="O49" i="8" a="1"/>
  <c r="O49" i="8" s="1"/>
  <c r="K4" i="28"/>
  <c r="K5" i="28"/>
  <c r="K6" i="28"/>
  <c r="K7" i="28"/>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46" i="28"/>
  <c r="E47" i="28"/>
  <c r="E48" i="28"/>
  <c r="D4"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B4" i="28"/>
  <c r="B5" i="28"/>
  <c r="B6" i="28"/>
  <c r="B7" i="28"/>
  <c r="B8" i="28"/>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43" i="28"/>
  <c r="B44" i="28"/>
  <c r="B45" i="28"/>
  <c r="B46" i="28"/>
  <c r="B47" i="28"/>
  <c r="B48" i="28"/>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50" i="2"/>
  <c r="B51" i="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50" i="12"/>
  <c r="B51" i="12"/>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51" i="10"/>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51" i="11"/>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51" i="9"/>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51" i="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O7" i="9" a="1"/>
  <c r="O7" i="9" s="1"/>
  <c r="P7" i="9" s="1"/>
  <c r="C7" i="2"/>
  <c r="D7" i="2"/>
  <c r="E7" i="2"/>
  <c r="F7" i="2"/>
  <c r="H7" i="2"/>
  <c r="E7" i="12"/>
  <c r="F7" i="12"/>
  <c r="G7" i="12"/>
  <c r="E7" i="10"/>
  <c r="F7" i="10"/>
  <c r="G7" i="10"/>
  <c r="E7" i="11"/>
  <c r="F7" i="11"/>
  <c r="G7" i="11"/>
  <c r="E7" i="9"/>
  <c r="F7" i="9"/>
  <c r="G7" i="9"/>
  <c r="E7" i="1"/>
  <c r="F7" i="1"/>
  <c r="G7" i="1"/>
  <c r="E7" i="8"/>
  <c r="F7" i="8"/>
  <c r="G7" i="8"/>
  <c r="E7" i="21"/>
  <c r="A7" i="20" s="1"/>
  <c r="O7" i="10" a="1"/>
  <c r="O7" i="10" s="1"/>
  <c r="O7" i="12" a="1"/>
  <c r="O7" i="12" s="1"/>
  <c r="O7" i="11" a="1"/>
  <c r="O7" i="11" s="1"/>
  <c r="R7" i="1" a="1"/>
  <c r="R7" i="1" s="1"/>
  <c r="J7" i="1" s="1"/>
  <c r="O7" i="8" a="1"/>
  <c r="O7" i="8" s="1"/>
  <c r="K52" i="8"/>
  <c r="O25" i="9" a="1"/>
  <c r="O25" i="9" s="1"/>
  <c r="E45" i="21"/>
  <c r="A23" i="5"/>
  <c r="B23" i="5"/>
  <c r="M23" i="5" a="1"/>
  <c r="M23" i="5" s="1"/>
  <c r="N23" i="5" s="1"/>
  <c r="A24" i="5"/>
  <c r="B24" i="5"/>
  <c r="A23" i="17"/>
  <c r="B23" i="17"/>
  <c r="A24" i="17"/>
  <c r="B24" i="17"/>
  <c r="N24" i="17" a="1"/>
  <c r="N24" i="17" s="1"/>
  <c r="A23" i="6"/>
  <c r="B23" i="6"/>
  <c r="M23" i="6" a="1"/>
  <c r="M23" i="6" s="1"/>
  <c r="A24" i="6"/>
  <c r="B24" i="6"/>
  <c r="M24" i="16" a="1"/>
  <c r="M24" i="16" s="1"/>
  <c r="N24" i="16" s="1"/>
  <c r="B24" i="16"/>
  <c r="A24" i="16"/>
  <c r="M23" i="16" a="1"/>
  <c r="M23" i="16" s="1"/>
  <c r="N23" i="16" s="1"/>
  <c r="B23" i="16"/>
  <c r="A23" i="16"/>
  <c r="M24" i="5" a="1"/>
  <c r="M24" i="5" s="1"/>
  <c r="J24" i="7" s="1"/>
  <c r="N23" i="17" a="1"/>
  <c r="N23" i="17" s="1"/>
  <c r="H23" i="6"/>
  <c r="M24" i="6" a="1"/>
  <c r="M24" i="6" s="1"/>
  <c r="N24" i="6" s="1"/>
  <c r="H24" i="16"/>
  <c r="H23" i="16"/>
  <c r="V41" i="21"/>
  <c r="H24" i="6"/>
  <c r="B15" i="27"/>
  <c r="B16" i="27"/>
  <c r="B17" i="27"/>
  <c r="B18" i="27"/>
  <c r="B19" i="27"/>
  <c r="B20" i="27"/>
  <c r="B21" i="27"/>
  <c r="B22" i="27"/>
  <c r="B23" i="27"/>
  <c r="B24" i="27"/>
  <c r="B25" i="27"/>
  <c r="B26" i="27"/>
  <c r="B27" i="27"/>
  <c r="B28" i="27"/>
  <c r="B29" i="27"/>
  <c r="B30" i="27"/>
  <c r="B31" i="27"/>
  <c r="B32" i="27"/>
  <c r="B33" i="27"/>
  <c r="B34" i="27"/>
  <c r="B35" i="27"/>
  <c r="B36" i="27"/>
  <c r="B37" i="27"/>
  <c r="B38" i="27"/>
  <c r="B39" i="27"/>
  <c r="B40" i="27"/>
  <c r="B41" i="27"/>
  <c r="B42" i="27"/>
  <c r="B43" i="27"/>
  <c r="B44" i="27"/>
  <c r="B45" i="27"/>
  <c r="B46" i="27"/>
  <c r="B47" i="27"/>
  <c r="B48" i="27"/>
  <c r="B49" i="27"/>
  <c r="B50" i="27"/>
  <c r="B51" i="27"/>
  <c r="B52" i="27"/>
  <c r="B53" i="27"/>
  <c r="B54" i="27"/>
  <c r="B55" i="27"/>
  <c r="B56" i="27"/>
  <c r="B57" i="27"/>
  <c r="B58" i="27"/>
  <c r="B59" i="27"/>
  <c r="B60" i="27"/>
  <c r="B61" i="27"/>
  <c r="B62" i="27"/>
  <c r="B63" i="27"/>
  <c r="B64" i="27"/>
  <c r="B65" i="27"/>
  <c r="B66" i="27"/>
  <c r="B67" i="27"/>
  <c r="B68" i="27"/>
  <c r="B69" i="27"/>
  <c r="B70" i="27"/>
  <c r="B71" i="27"/>
  <c r="B72" i="27"/>
  <c r="B73" i="27"/>
  <c r="B74" i="27"/>
  <c r="B75" i="27"/>
  <c r="B76" i="27"/>
  <c r="B77" i="27"/>
  <c r="B78" i="27"/>
  <c r="B79" i="27"/>
  <c r="B80" i="27"/>
  <c r="B81" i="27"/>
  <c r="B82" i="27"/>
  <c r="B83" i="27"/>
  <c r="B84" i="27"/>
  <c r="B85" i="27"/>
  <c r="B86" i="27"/>
  <c r="B87" i="27"/>
  <c r="B88" i="27"/>
  <c r="B89" i="27"/>
  <c r="B90" i="27"/>
  <c r="B91" i="27"/>
  <c r="B92" i="27"/>
  <c r="B93" i="27"/>
  <c r="B94" i="27"/>
  <c r="B95" i="27"/>
  <c r="B96" i="27"/>
  <c r="B97" i="27"/>
  <c r="B98" i="27"/>
  <c r="B99" i="27"/>
  <c r="B100" i="27"/>
  <c r="B101" i="27"/>
  <c r="B102" i="27"/>
  <c r="A5" i="27"/>
  <c r="B5" i="27"/>
  <c r="A6" i="27"/>
  <c r="B6" i="27"/>
  <c r="A7" i="27"/>
  <c r="B7" i="27"/>
  <c r="A8" i="27"/>
  <c r="B8" i="27"/>
  <c r="A9" i="27"/>
  <c r="B9" i="27"/>
  <c r="A10" i="27"/>
  <c r="B10" i="27"/>
  <c r="A11" i="27"/>
  <c r="B11" i="27"/>
  <c r="A12" i="27"/>
  <c r="B12" i="27"/>
  <c r="A13" i="27"/>
  <c r="B13" i="27"/>
  <c r="A14" i="27"/>
  <c r="B14" i="27"/>
  <c r="B4" i="27"/>
  <c r="A100" i="27"/>
  <c r="A101" i="27"/>
  <c r="A102" i="27"/>
  <c r="A88" i="27"/>
  <c r="A89" i="27"/>
  <c r="A90" i="27"/>
  <c r="A91" i="27"/>
  <c r="A92" i="27"/>
  <c r="A93" i="27"/>
  <c r="A94" i="27"/>
  <c r="A95" i="27"/>
  <c r="A96" i="27"/>
  <c r="A97" i="27"/>
  <c r="A98" i="27"/>
  <c r="A99" i="27"/>
  <c r="A78" i="27"/>
  <c r="A79" i="27"/>
  <c r="A80" i="27"/>
  <c r="A81" i="27"/>
  <c r="A82" i="27"/>
  <c r="A83" i="27"/>
  <c r="A84" i="27"/>
  <c r="A85" i="27"/>
  <c r="A86" i="27"/>
  <c r="A87" i="27"/>
  <c r="A67" i="27"/>
  <c r="A68" i="27"/>
  <c r="A69" i="27"/>
  <c r="A70" i="27"/>
  <c r="A71" i="27"/>
  <c r="A72" i="27"/>
  <c r="A73" i="27"/>
  <c r="A74" i="27"/>
  <c r="A75" i="27"/>
  <c r="A76" i="27"/>
  <c r="A77" i="27"/>
  <c r="A21" i="27"/>
  <c r="A22" i="27"/>
  <c r="A23" i="27"/>
  <c r="A24" i="27"/>
  <c r="A25" i="27"/>
  <c r="A26" i="27"/>
  <c r="A27" i="27"/>
  <c r="A28" i="27"/>
  <c r="A29" i="27"/>
  <c r="A30" i="27"/>
  <c r="A31" i="27"/>
  <c r="A32" i="27"/>
  <c r="A33" i="27"/>
  <c r="A34" i="27"/>
  <c r="A35" i="27"/>
  <c r="A36" i="27"/>
  <c r="A37" i="27"/>
  <c r="A38" i="27"/>
  <c r="A39" i="27"/>
  <c r="A40" i="27"/>
  <c r="A41" i="27"/>
  <c r="A42" i="27"/>
  <c r="A43" i="27"/>
  <c r="A44" i="27"/>
  <c r="A45" i="27"/>
  <c r="A46" i="27"/>
  <c r="A47" i="27"/>
  <c r="A48" i="27"/>
  <c r="A49" i="27"/>
  <c r="A50" i="27"/>
  <c r="A51" i="27"/>
  <c r="A52" i="27"/>
  <c r="A53" i="27"/>
  <c r="A54" i="27"/>
  <c r="A55" i="27"/>
  <c r="A56" i="27"/>
  <c r="A57" i="27"/>
  <c r="A58" i="27"/>
  <c r="A59" i="27"/>
  <c r="A60" i="27"/>
  <c r="A61" i="27"/>
  <c r="A62" i="27"/>
  <c r="A63" i="27"/>
  <c r="A64" i="27"/>
  <c r="A65" i="27"/>
  <c r="A66" i="27"/>
  <c r="A15" i="27"/>
  <c r="A16" i="27"/>
  <c r="A17" i="27"/>
  <c r="A18" i="27"/>
  <c r="A19" i="27"/>
  <c r="A20" i="27"/>
  <c r="A4" i="27"/>
  <c r="M53" i="21"/>
  <c r="M52" i="21"/>
  <c r="M51" i="21"/>
  <c r="M50" i="21"/>
  <c r="M49" i="21"/>
  <c r="B75" i="26" a="1"/>
  <c r="B75" i="26" s="1"/>
  <c r="B63" i="26" a="1"/>
  <c r="B63" i="26" s="1"/>
  <c r="B51" i="26" a="1"/>
  <c r="B51" i="26" s="1"/>
  <c r="B39" i="26" a="1"/>
  <c r="B39" i="26" s="1"/>
  <c r="B27" i="26" a="1"/>
  <c r="B27" i="26"/>
  <c r="B15" i="26" a="1"/>
  <c r="Z14" i="26" s="1" a="1"/>
  <c r="Z14" i="26" s="1"/>
  <c r="B15" i="26"/>
  <c r="B3" i="26" a="1"/>
  <c r="X1" i="26" s="1"/>
  <c r="B3" i="26"/>
  <c r="Z1" i="26"/>
  <c r="Y1" i="26"/>
  <c r="W1" i="26"/>
  <c r="V1" i="26"/>
  <c r="T1" i="26"/>
  <c r="S1" i="26"/>
  <c r="Q1" i="26"/>
  <c r="N1" i="26"/>
  <c r="L1" i="26"/>
  <c r="J1" i="26"/>
  <c r="O1" i="26"/>
  <c r="K1" i="26"/>
  <c r="I1" i="26"/>
  <c r="G1" i="26"/>
  <c r="F1" i="26"/>
  <c r="E1" i="26"/>
  <c r="AB1" i="26"/>
  <c r="D1" i="26"/>
  <c r="H1" i="26"/>
  <c r="B1" i="26"/>
  <c r="AC1" i="26"/>
  <c r="C1" i="26"/>
  <c r="F5" i="2"/>
  <c r="F6"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50" i="2"/>
  <c r="F51" i="2"/>
  <c r="F4" i="2"/>
  <c r="H13" i="2"/>
  <c r="C34" i="2"/>
  <c r="C35" i="2"/>
  <c r="C36" i="2"/>
  <c r="C37" i="2"/>
  <c r="C38" i="2"/>
  <c r="C39" i="2"/>
  <c r="C40" i="2"/>
  <c r="C41" i="2"/>
  <c r="C42" i="2"/>
  <c r="C43" i="2"/>
  <c r="C44" i="2"/>
  <c r="C45" i="2"/>
  <c r="C46" i="2"/>
  <c r="C47" i="2"/>
  <c r="C50" i="2"/>
  <c r="C51" i="2"/>
  <c r="D34" i="2"/>
  <c r="D35" i="2"/>
  <c r="D36" i="2"/>
  <c r="D37" i="2"/>
  <c r="D38" i="2"/>
  <c r="D39" i="2"/>
  <c r="D40" i="2"/>
  <c r="D41" i="2"/>
  <c r="D42" i="2"/>
  <c r="D43" i="2"/>
  <c r="D44" i="2"/>
  <c r="D45" i="2"/>
  <c r="D46" i="2"/>
  <c r="D47" i="2"/>
  <c r="D50" i="2"/>
  <c r="D51" i="2"/>
  <c r="E34" i="2"/>
  <c r="E35" i="2"/>
  <c r="E36" i="2"/>
  <c r="E37" i="2"/>
  <c r="E38" i="2"/>
  <c r="E39" i="2"/>
  <c r="E40" i="2"/>
  <c r="E41" i="2"/>
  <c r="E42" i="2"/>
  <c r="E43" i="2"/>
  <c r="E44" i="2"/>
  <c r="E45" i="2"/>
  <c r="E46" i="2"/>
  <c r="E47" i="2"/>
  <c r="E50" i="2"/>
  <c r="E51" i="2"/>
  <c r="G51" i="12"/>
  <c r="G50" i="12"/>
  <c r="G47" i="12"/>
  <c r="G46" i="12"/>
  <c r="G45" i="12"/>
  <c r="G44" i="12"/>
  <c r="G43" i="12"/>
  <c r="G42" i="12"/>
  <c r="G41" i="12"/>
  <c r="G40" i="12"/>
  <c r="G39" i="12"/>
  <c r="G38" i="12"/>
  <c r="G37" i="12"/>
  <c r="G36" i="12"/>
  <c r="G35" i="12"/>
  <c r="G34" i="12"/>
  <c r="F51" i="12"/>
  <c r="F50" i="12"/>
  <c r="F47" i="12"/>
  <c r="F46" i="12"/>
  <c r="F45" i="12"/>
  <c r="F44" i="12"/>
  <c r="F43" i="12"/>
  <c r="F42" i="12"/>
  <c r="F41" i="12"/>
  <c r="F40" i="12"/>
  <c r="F39" i="12"/>
  <c r="F38" i="12"/>
  <c r="F37" i="12"/>
  <c r="F36" i="12"/>
  <c r="F35" i="12"/>
  <c r="F34" i="12"/>
  <c r="E51" i="12"/>
  <c r="E50" i="12"/>
  <c r="E47" i="12"/>
  <c r="E46" i="12"/>
  <c r="E45" i="12"/>
  <c r="E44" i="12"/>
  <c r="E43" i="12"/>
  <c r="E42" i="12"/>
  <c r="E41" i="12"/>
  <c r="E40" i="12"/>
  <c r="E39" i="12"/>
  <c r="E38" i="12"/>
  <c r="E37" i="12"/>
  <c r="E36" i="12"/>
  <c r="E35" i="12"/>
  <c r="E34" i="12"/>
  <c r="E34" i="10"/>
  <c r="E35" i="10"/>
  <c r="E36" i="10"/>
  <c r="E37" i="10"/>
  <c r="E38" i="10"/>
  <c r="E39" i="10"/>
  <c r="E40" i="10"/>
  <c r="E41" i="10"/>
  <c r="E42" i="10"/>
  <c r="E43" i="10"/>
  <c r="E44" i="10"/>
  <c r="E45" i="10"/>
  <c r="E46" i="10"/>
  <c r="E47" i="10"/>
  <c r="E51" i="10"/>
  <c r="F34" i="10"/>
  <c r="F35" i="10"/>
  <c r="F36" i="10"/>
  <c r="F37" i="10"/>
  <c r="F38" i="10"/>
  <c r="F39" i="10"/>
  <c r="F40" i="10"/>
  <c r="F41" i="10"/>
  <c r="F42" i="10"/>
  <c r="F43" i="10"/>
  <c r="F44" i="10"/>
  <c r="F45" i="10"/>
  <c r="F46" i="10"/>
  <c r="F47" i="10"/>
  <c r="F51" i="10"/>
  <c r="G34" i="10"/>
  <c r="G35" i="10"/>
  <c r="G36" i="10"/>
  <c r="G37" i="10"/>
  <c r="G38" i="10"/>
  <c r="G39" i="10"/>
  <c r="G40" i="10"/>
  <c r="G41" i="10"/>
  <c r="G42" i="10"/>
  <c r="G43" i="10"/>
  <c r="G44" i="10"/>
  <c r="G45" i="10"/>
  <c r="G46" i="10"/>
  <c r="G47" i="10"/>
  <c r="G51" i="10"/>
  <c r="H34" i="2"/>
  <c r="H35" i="2"/>
  <c r="H36" i="2"/>
  <c r="H37" i="2"/>
  <c r="H38" i="2"/>
  <c r="H39" i="2"/>
  <c r="H40" i="2"/>
  <c r="H41" i="2"/>
  <c r="H42" i="2"/>
  <c r="H43" i="2"/>
  <c r="H44" i="2"/>
  <c r="H45" i="2"/>
  <c r="H46" i="2"/>
  <c r="H47" i="2"/>
  <c r="H50" i="2"/>
  <c r="H51" i="2"/>
  <c r="E34" i="11"/>
  <c r="E35" i="11"/>
  <c r="E36" i="11"/>
  <c r="E37" i="11"/>
  <c r="E38" i="11"/>
  <c r="E39" i="11"/>
  <c r="E40" i="11"/>
  <c r="E41" i="11"/>
  <c r="E42" i="11"/>
  <c r="E43" i="11"/>
  <c r="E44" i="11"/>
  <c r="E45" i="11"/>
  <c r="E46" i="11"/>
  <c r="E47" i="11"/>
  <c r="E48" i="11"/>
  <c r="E51" i="11"/>
  <c r="F34" i="11"/>
  <c r="F35" i="11"/>
  <c r="F36" i="11"/>
  <c r="F37" i="11"/>
  <c r="F38" i="11"/>
  <c r="F39" i="11"/>
  <c r="F40" i="11"/>
  <c r="F41" i="11"/>
  <c r="F42" i="11"/>
  <c r="F43" i="11"/>
  <c r="F44" i="11"/>
  <c r="F45" i="11"/>
  <c r="F46" i="11"/>
  <c r="F47" i="11"/>
  <c r="F48" i="11"/>
  <c r="F51" i="11"/>
  <c r="G34" i="11"/>
  <c r="G35" i="11"/>
  <c r="G36" i="11"/>
  <c r="G37" i="11"/>
  <c r="G38" i="11"/>
  <c r="G39" i="11"/>
  <c r="G40" i="11"/>
  <c r="G41" i="11"/>
  <c r="G42" i="11"/>
  <c r="G43" i="11"/>
  <c r="G44" i="11"/>
  <c r="G45" i="11"/>
  <c r="G46" i="11"/>
  <c r="G47" i="11"/>
  <c r="G48" i="11"/>
  <c r="G51" i="11"/>
  <c r="E34" i="9"/>
  <c r="E35" i="9"/>
  <c r="E36" i="9"/>
  <c r="E37" i="9"/>
  <c r="E38" i="9"/>
  <c r="E39" i="9"/>
  <c r="E40" i="9"/>
  <c r="E41" i="9"/>
  <c r="E42" i="9"/>
  <c r="E43" i="9"/>
  <c r="E44" i="9"/>
  <c r="E45" i="9"/>
  <c r="E46" i="9"/>
  <c r="E47" i="9"/>
  <c r="E48" i="9"/>
  <c r="E51" i="9"/>
  <c r="F34" i="9"/>
  <c r="F35" i="9"/>
  <c r="F36" i="9"/>
  <c r="F37" i="9"/>
  <c r="F38" i="9"/>
  <c r="F39" i="9"/>
  <c r="F40" i="9"/>
  <c r="F41" i="9"/>
  <c r="F42" i="9"/>
  <c r="F43" i="9"/>
  <c r="F44" i="9"/>
  <c r="F45" i="9"/>
  <c r="F46" i="9"/>
  <c r="F47" i="9"/>
  <c r="F48" i="9"/>
  <c r="F51" i="9"/>
  <c r="G34" i="9"/>
  <c r="G35" i="9"/>
  <c r="G36" i="9"/>
  <c r="G37" i="9"/>
  <c r="G38" i="9"/>
  <c r="G39" i="9"/>
  <c r="G40" i="9"/>
  <c r="G41" i="9"/>
  <c r="G42" i="9"/>
  <c r="G43" i="9"/>
  <c r="G44" i="9"/>
  <c r="G45" i="9"/>
  <c r="G46" i="9"/>
  <c r="G47" i="9"/>
  <c r="G48" i="9"/>
  <c r="G51" i="9"/>
  <c r="E34" i="1"/>
  <c r="E35" i="1"/>
  <c r="E36" i="1"/>
  <c r="E37" i="1"/>
  <c r="E38" i="1"/>
  <c r="E39" i="1"/>
  <c r="E40" i="1"/>
  <c r="E41" i="1"/>
  <c r="E42" i="1"/>
  <c r="E43" i="1"/>
  <c r="E44" i="1"/>
  <c r="E45" i="1"/>
  <c r="E46" i="1"/>
  <c r="E47" i="1"/>
  <c r="E48" i="1"/>
  <c r="E51" i="1"/>
  <c r="F34" i="1"/>
  <c r="F35" i="1"/>
  <c r="F36" i="1"/>
  <c r="F37" i="1"/>
  <c r="F38" i="1"/>
  <c r="F39" i="1"/>
  <c r="F40" i="1"/>
  <c r="F41" i="1"/>
  <c r="F42" i="1"/>
  <c r="F43" i="1"/>
  <c r="F44" i="1"/>
  <c r="F45" i="1"/>
  <c r="F46" i="1"/>
  <c r="F47" i="1"/>
  <c r="F48" i="1"/>
  <c r="F51" i="1"/>
  <c r="G34" i="1"/>
  <c r="G35" i="1"/>
  <c r="G36" i="1"/>
  <c r="G37" i="1"/>
  <c r="G38" i="1"/>
  <c r="G39" i="1"/>
  <c r="G40" i="1"/>
  <c r="G41" i="1"/>
  <c r="G42" i="1"/>
  <c r="G43" i="1"/>
  <c r="G44" i="1"/>
  <c r="G45" i="1"/>
  <c r="G46" i="1"/>
  <c r="G47" i="1"/>
  <c r="G48" i="1"/>
  <c r="G51" i="1"/>
  <c r="E34" i="8"/>
  <c r="E35" i="8"/>
  <c r="E36" i="8"/>
  <c r="E37" i="8"/>
  <c r="E38" i="8"/>
  <c r="E39" i="8"/>
  <c r="E40" i="8"/>
  <c r="E41" i="8"/>
  <c r="E42" i="8"/>
  <c r="E43" i="8"/>
  <c r="E44" i="8"/>
  <c r="E45" i="8"/>
  <c r="E46" i="8"/>
  <c r="E47" i="8"/>
  <c r="E48" i="8"/>
  <c r="E51" i="8"/>
  <c r="F34" i="8"/>
  <c r="F35" i="8"/>
  <c r="F36" i="8"/>
  <c r="F37" i="8"/>
  <c r="F38" i="8"/>
  <c r="F39" i="8"/>
  <c r="F40" i="8"/>
  <c r="F41" i="8"/>
  <c r="F42" i="8"/>
  <c r="F43" i="8"/>
  <c r="F44" i="8"/>
  <c r="F45" i="8"/>
  <c r="F46" i="8"/>
  <c r="F47" i="8"/>
  <c r="F48" i="8"/>
  <c r="F51" i="8"/>
  <c r="G34" i="8"/>
  <c r="G35" i="8"/>
  <c r="G36" i="8"/>
  <c r="G37" i="8"/>
  <c r="G38" i="8"/>
  <c r="G39" i="8"/>
  <c r="G40" i="8"/>
  <c r="G41" i="8"/>
  <c r="G42" i="8"/>
  <c r="G43" i="8"/>
  <c r="G44" i="8"/>
  <c r="G45" i="8"/>
  <c r="G46" i="8"/>
  <c r="G47" i="8"/>
  <c r="G48" i="8"/>
  <c r="G51" i="8"/>
  <c r="E4" i="21"/>
  <c r="A4" i="20" s="1"/>
  <c r="N4" i="20" s="1"/>
  <c r="E5" i="21"/>
  <c r="A5" i="20" s="1"/>
  <c r="N5" i="20" s="1"/>
  <c r="E6" i="21"/>
  <c r="A6" i="20" s="1"/>
  <c r="N6" i="20" s="1"/>
  <c r="E8" i="21"/>
  <c r="A8" i="20" s="1"/>
  <c r="N8" i="20" s="1"/>
  <c r="E9" i="21"/>
  <c r="A9" i="20" s="1"/>
  <c r="N9" i="20" s="1"/>
  <c r="E10" i="21"/>
  <c r="A10" i="20" s="1"/>
  <c r="E11" i="21"/>
  <c r="A11" i="20" s="1"/>
  <c r="N11" i="20" s="1"/>
  <c r="E12" i="21"/>
  <c r="A12" i="20" s="1"/>
  <c r="N12" i="20" s="1"/>
  <c r="E13" i="21"/>
  <c r="A13" i="20" s="1"/>
  <c r="E14" i="21"/>
  <c r="A14" i="20" s="1"/>
  <c r="N14" i="20" s="1"/>
  <c r="E15" i="21"/>
  <c r="A15" i="20" s="1"/>
  <c r="N15" i="20" s="1"/>
  <c r="E16" i="21"/>
  <c r="A16" i="20" s="1"/>
  <c r="N16" i="20" s="1"/>
  <c r="E17" i="21"/>
  <c r="A17" i="20" s="1"/>
  <c r="N17" i="20" s="1"/>
  <c r="E18" i="21"/>
  <c r="A18" i="20" s="1"/>
  <c r="E19" i="21"/>
  <c r="A19" i="20" s="1"/>
  <c r="N19" i="20" s="1"/>
  <c r="E20" i="21"/>
  <c r="A20" i="20" s="1"/>
  <c r="N20" i="20" s="1"/>
  <c r="E21" i="21"/>
  <c r="A21" i="20" s="1"/>
  <c r="N21" i="20" s="1"/>
  <c r="E22" i="21"/>
  <c r="A22" i="20" s="1"/>
  <c r="N22" i="20" s="1"/>
  <c r="E23" i="21"/>
  <c r="A23" i="20" s="1"/>
  <c r="N23" i="20" s="1"/>
  <c r="E24" i="21"/>
  <c r="E25" i="21"/>
  <c r="A25" i="20" s="1"/>
  <c r="N25" i="20" s="1"/>
  <c r="E26" i="21"/>
  <c r="E27" i="21"/>
  <c r="A27" i="20" s="1"/>
  <c r="N27" i="20" s="1"/>
  <c r="E28" i="21"/>
  <c r="A28" i="20" s="1"/>
  <c r="N28" i="20" s="1"/>
  <c r="E29" i="21"/>
  <c r="E30" i="21"/>
  <c r="E31" i="21"/>
  <c r="A31" i="20" s="1"/>
  <c r="N31" i="20" s="1"/>
  <c r="E32" i="21"/>
  <c r="E33" i="21"/>
  <c r="E34" i="21"/>
  <c r="A34" i="20" s="1"/>
  <c r="N34" i="20" s="1"/>
  <c r="E35" i="21"/>
  <c r="A35" i="20" s="1"/>
  <c r="N35" i="20" s="1"/>
  <c r="E36" i="21"/>
  <c r="E37" i="21"/>
  <c r="A37" i="20" s="1"/>
  <c r="N37" i="20" s="1"/>
  <c r="E38" i="21"/>
  <c r="A38" i="20" s="1"/>
  <c r="N38" i="20" s="1"/>
  <c r="E39" i="21"/>
  <c r="E40" i="21"/>
  <c r="E41" i="21"/>
  <c r="A41" i="20" s="1"/>
  <c r="N41" i="20" s="1"/>
  <c r="E42" i="21"/>
  <c r="E43" i="21"/>
  <c r="E44" i="21"/>
  <c r="E46" i="21"/>
  <c r="E47" i="21"/>
  <c r="E48" i="21"/>
  <c r="A48" i="20" s="1"/>
  <c r="F46" i="7"/>
  <c r="F70" i="7"/>
  <c r="F69" i="7"/>
  <c r="F43" i="7"/>
  <c r="F73" i="7"/>
  <c r="F66" i="7"/>
  <c r="F64" i="7"/>
  <c r="F48" i="7"/>
  <c r="F40" i="7"/>
  <c r="A57" i="7"/>
  <c r="A58" i="7"/>
  <c r="A59" i="7"/>
  <c r="A60" i="7"/>
  <c r="A61" i="7"/>
  <c r="A62" i="7"/>
  <c r="A63" i="7"/>
  <c r="A64" i="7"/>
  <c r="A65" i="7"/>
  <c r="A66" i="7"/>
  <c r="A67" i="7"/>
  <c r="A68" i="7"/>
  <c r="A69" i="7"/>
  <c r="A70" i="7"/>
  <c r="A71" i="7"/>
  <c r="A72" i="7"/>
  <c r="A73" i="7"/>
  <c r="A74" i="7"/>
  <c r="A75" i="7"/>
  <c r="A76" i="7"/>
  <c r="A77" i="7"/>
  <c r="A78" i="7"/>
  <c r="B57" i="7"/>
  <c r="B58" i="7"/>
  <c r="B59" i="7"/>
  <c r="B60" i="7"/>
  <c r="B61" i="7"/>
  <c r="B62" i="7"/>
  <c r="B63" i="7"/>
  <c r="B64" i="7"/>
  <c r="B65" i="7"/>
  <c r="B66" i="7"/>
  <c r="B67" i="7"/>
  <c r="B68" i="7"/>
  <c r="B69" i="7"/>
  <c r="B70" i="7"/>
  <c r="B71" i="7"/>
  <c r="B72" i="7"/>
  <c r="B73" i="7"/>
  <c r="B74" i="7"/>
  <c r="B75" i="7"/>
  <c r="B76" i="7"/>
  <c r="B77" i="7"/>
  <c r="B78" i="7"/>
  <c r="D57" i="7"/>
  <c r="D58" i="7"/>
  <c r="D59" i="7"/>
  <c r="D60" i="7"/>
  <c r="D61" i="7"/>
  <c r="D62" i="7"/>
  <c r="D63" i="7"/>
  <c r="D64" i="7"/>
  <c r="D65" i="7"/>
  <c r="D66" i="7"/>
  <c r="D67" i="7"/>
  <c r="D68" i="7"/>
  <c r="D69" i="7"/>
  <c r="D70" i="7"/>
  <c r="D71" i="7"/>
  <c r="D72" i="7"/>
  <c r="D73" i="7"/>
  <c r="D74" i="7"/>
  <c r="D75" i="7"/>
  <c r="D76" i="7"/>
  <c r="D77" i="7"/>
  <c r="D78" i="7"/>
  <c r="F74" i="7"/>
  <c r="F75" i="7"/>
  <c r="F76" i="7"/>
  <c r="F77" i="7"/>
  <c r="F78" i="7"/>
  <c r="A58" i="5"/>
  <c r="A59" i="5"/>
  <c r="A60" i="5"/>
  <c r="A61" i="5"/>
  <c r="A62" i="5"/>
  <c r="A63" i="5"/>
  <c r="A64" i="5"/>
  <c r="A65" i="5"/>
  <c r="A66" i="5"/>
  <c r="A67" i="5"/>
  <c r="A68" i="5"/>
  <c r="A69" i="5"/>
  <c r="A70" i="5"/>
  <c r="A71" i="5"/>
  <c r="A72" i="5"/>
  <c r="A73" i="5"/>
  <c r="A74" i="5"/>
  <c r="A75" i="5"/>
  <c r="A76" i="5"/>
  <c r="A77" i="5"/>
  <c r="A78" i="5"/>
  <c r="B58" i="5"/>
  <c r="B59" i="5"/>
  <c r="B60" i="5"/>
  <c r="B61" i="5"/>
  <c r="B62" i="5"/>
  <c r="B63" i="5"/>
  <c r="B64" i="5"/>
  <c r="B65" i="5"/>
  <c r="B66" i="5"/>
  <c r="B67" i="5"/>
  <c r="B68" i="5"/>
  <c r="B69" i="5"/>
  <c r="B70" i="5"/>
  <c r="B71" i="5"/>
  <c r="B72" i="5"/>
  <c r="B73" i="5"/>
  <c r="B74" i="5"/>
  <c r="B75" i="5"/>
  <c r="B76" i="5"/>
  <c r="B77" i="5"/>
  <c r="B78" i="5"/>
  <c r="M58" i="5" a="1"/>
  <c r="M58" i="5" s="1"/>
  <c r="H58" i="5" s="1"/>
  <c r="M62" i="5" a="1"/>
  <c r="M62" i="5" s="1"/>
  <c r="M63" i="5" a="1"/>
  <c r="M63" i="5" s="1"/>
  <c r="M68" i="5" a="1"/>
  <c r="M68" i="5" s="1"/>
  <c r="N68" i="5" s="1"/>
  <c r="M69" i="5" a="1"/>
  <c r="M69" i="5" s="1"/>
  <c r="M70" i="5" a="1"/>
  <c r="M70" i="5" s="1"/>
  <c r="M71" i="5" a="1"/>
  <c r="M71" i="5" s="1"/>
  <c r="M72" i="5" a="1"/>
  <c r="M72" i="5" s="1"/>
  <c r="H72" i="5" s="1"/>
  <c r="M73" i="5" a="1"/>
  <c r="M73" i="5" s="1"/>
  <c r="M74" i="5" a="1"/>
  <c r="M74" i="5" s="1"/>
  <c r="M64" i="5" a="1"/>
  <c r="M64" i="5" s="1"/>
  <c r="J64" i="7" s="1"/>
  <c r="M65" i="5" a="1"/>
  <c r="M65" i="5" s="1"/>
  <c r="M66" i="5" a="1"/>
  <c r="M66" i="5" s="1"/>
  <c r="M67" i="5" a="1"/>
  <c r="M67" i="5" s="1"/>
  <c r="M75" i="5" a="1"/>
  <c r="M75" i="5" s="1"/>
  <c r="J75" i="7" s="1"/>
  <c r="A58" i="17"/>
  <c r="A59" i="17"/>
  <c r="A60" i="17"/>
  <c r="A61" i="17"/>
  <c r="A62" i="17"/>
  <c r="A63" i="17"/>
  <c r="A64" i="17"/>
  <c r="A65" i="17"/>
  <c r="A66" i="17"/>
  <c r="A67" i="17"/>
  <c r="A68" i="17"/>
  <c r="A69" i="17"/>
  <c r="A70" i="17"/>
  <c r="A71" i="17"/>
  <c r="A72" i="17"/>
  <c r="A73" i="17"/>
  <c r="A74" i="17"/>
  <c r="A75" i="17"/>
  <c r="A76" i="17"/>
  <c r="A77" i="17"/>
  <c r="A78" i="17"/>
  <c r="B58" i="17"/>
  <c r="B59" i="17"/>
  <c r="B60" i="17"/>
  <c r="B61" i="17"/>
  <c r="B62" i="17"/>
  <c r="B63" i="17"/>
  <c r="B64" i="17"/>
  <c r="B65" i="17"/>
  <c r="B66" i="17"/>
  <c r="B67" i="17"/>
  <c r="B68" i="17"/>
  <c r="B69" i="17"/>
  <c r="B70" i="17"/>
  <c r="B71" i="17"/>
  <c r="B72" i="17"/>
  <c r="B73" i="17"/>
  <c r="B74" i="17"/>
  <c r="B75" i="17"/>
  <c r="B76" i="17"/>
  <c r="B77" i="17"/>
  <c r="B78" i="17"/>
  <c r="N63" i="17" a="1"/>
  <c r="N63" i="17" s="1"/>
  <c r="N70" i="17" a="1"/>
  <c r="N70" i="17" s="1"/>
  <c r="N71" i="17" a="1"/>
  <c r="N71" i="17" s="1"/>
  <c r="N72" i="17" a="1"/>
  <c r="N72" i="17" s="1"/>
  <c r="H72" i="17" s="1"/>
  <c r="N73" i="17" a="1"/>
  <c r="N73" i="17" s="1"/>
  <c r="N74" i="17" a="1"/>
  <c r="N74" i="17" s="1"/>
  <c r="O74" i="17" s="1"/>
  <c r="N75" i="17" a="1"/>
  <c r="N75" i="17" s="1"/>
  <c r="N76" i="17" a="1"/>
  <c r="N76" i="17" s="1"/>
  <c r="N65" i="17" a="1"/>
  <c r="N65" i="17" s="1"/>
  <c r="I65" i="7" s="1"/>
  <c r="N66" i="17" a="1"/>
  <c r="N66" i="17" s="1"/>
  <c r="N67" i="17" a="1"/>
  <c r="N67" i="17" s="1"/>
  <c r="N69" i="17" a="1"/>
  <c r="N69" i="17" s="1"/>
  <c r="N64" i="17" a="1"/>
  <c r="N64" i="17" s="1"/>
  <c r="A58" i="6"/>
  <c r="A59" i="6"/>
  <c r="A60" i="6"/>
  <c r="A61" i="6"/>
  <c r="A62" i="6"/>
  <c r="A63" i="6"/>
  <c r="A64" i="6"/>
  <c r="A65" i="6"/>
  <c r="A66" i="6"/>
  <c r="A67" i="6"/>
  <c r="A68" i="6"/>
  <c r="A69" i="6"/>
  <c r="A70" i="6"/>
  <c r="A71" i="6"/>
  <c r="A72" i="6"/>
  <c r="A73" i="6"/>
  <c r="A74" i="6"/>
  <c r="A75" i="6"/>
  <c r="A76" i="6"/>
  <c r="A77" i="6"/>
  <c r="A78" i="6"/>
  <c r="B58" i="6"/>
  <c r="B59" i="6"/>
  <c r="B60" i="6"/>
  <c r="B61" i="6"/>
  <c r="B62" i="6"/>
  <c r="B63" i="6"/>
  <c r="B64" i="6"/>
  <c r="B65" i="6"/>
  <c r="B66" i="6"/>
  <c r="B67" i="6"/>
  <c r="B68" i="6"/>
  <c r="B69" i="6"/>
  <c r="B70" i="6"/>
  <c r="B71" i="6"/>
  <c r="B72" i="6"/>
  <c r="B73" i="6"/>
  <c r="B74" i="6"/>
  <c r="B75" i="6"/>
  <c r="B76" i="6"/>
  <c r="B77" i="6"/>
  <c r="B78" i="6"/>
  <c r="M59" i="6" a="1"/>
  <c r="M59" i="6" s="1"/>
  <c r="H59" i="6" s="1"/>
  <c r="M62" i="6" a="1"/>
  <c r="M62" i="6" s="1"/>
  <c r="H62" i="6" s="1"/>
  <c r="M63" i="6" a="1"/>
  <c r="M63" i="6" s="1"/>
  <c r="H63" i="7" s="1"/>
  <c r="M69" i="6" a="1"/>
  <c r="M69" i="6" s="1"/>
  <c r="H69" i="6" s="1"/>
  <c r="M73" i="6" a="1"/>
  <c r="M73" i="6" s="1"/>
  <c r="H73" i="7" s="1"/>
  <c r="M74" i="6" a="1"/>
  <c r="M74" i="6" s="1"/>
  <c r="H74" i="7" s="1"/>
  <c r="M75" i="6" a="1"/>
  <c r="M75" i="6" s="1"/>
  <c r="N75" i="6" s="1"/>
  <c r="M64" i="6" a="1"/>
  <c r="M64" i="6" s="1"/>
  <c r="M65" i="6" a="1"/>
  <c r="M65" i="6" s="1"/>
  <c r="M66" i="6" a="1"/>
  <c r="M66" i="6" s="1"/>
  <c r="N66" i="6" s="1"/>
  <c r="M67" i="6" a="1"/>
  <c r="M67" i="6" s="1"/>
  <c r="H67" i="6" s="1"/>
  <c r="M68" i="6" a="1"/>
  <c r="M68" i="6" s="1"/>
  <c r="N68" i="6" s="1"/>
  <c r="M70" i="6" a="1"/>
  <c r="M70" i="6" s="1"/>
  <c r="H70" i="6" s="1"/>
  <c r="M72" i="6" a="1"/>
  <c r="M72" i="6" s="1"/>
  <c r="A58" i="16"/>
  <c r="A59" i="16"/>
  <c r="A60" i="16"/>
  <c r="A61" i="16"/>
  <c r="A62" i="16"/>
  <c r="A63" i="16"/>
  <c r="A64" i="16"/>
  <c r="A65" i="16"/>
  <c r="A66" i="16"/>
  <c r="A67" i="16"/>
  <c r="A68" i="16"/>
  <c r="A69" i="16"/>
  <c r="A70" i="16"/>
  <c r="A71" i="16"/>
  <c r="A72" i="16"/>
  <c r="A73" i="16"/>
  <c r="A74" i="16"/>
  <c r="A75" i="16"/>
  <c r="A76" i="16"/>
  <c r="A77" i="16"/>
  <c r="A78" i="16"/>
  <c r="B58" i="16"/>
  <c r="B59" i="16"/>
  <c r="B60" i="16"/>
  <c r="B61" i="16"/>
  <c r="B62" i="16"/>
  <c r="B63" i="16"/>
  <c r="B64" i="16"/>
  <c r="B65" i="16"/>
  <c r="B66" i="16"/>
  <c r="B67" i="16"/>
  <c r="B68" i="16"/>
  <c r="B69" i="16"/>
  <c r="B70" i="16"/>
  <c r="B71" i="16"/>
  <c r="B72" i="16"/>
  <c r="B73" i="16"/>
  <c r="B74" i="16"/>
  <c r="B75" i="16"/>
  <c r="B76" i="16"/>
  <c r="B77" i="16"/>
  <c r="B78" i="16"/>
  <c r="E12" i="3" a="1"/>
  <c r="E12" i="3" s="1"/>
  <c r="A31" i="7"/>
  <c r="A32" i="7"/>
  <c r="A33" i="7"/>
  <c r="A34" i="7"/>
  <c r="A35" i="7"/>
  <c r="A36" i="7"/>
  <c r="A37" i="7"/>
  <c r="A38" i="7"/>
  <c r="A39" i="7"/>
  <c r="A40" i="7"/>
  <c r="A41" i="7"/>
  <c r="A42" i="7"/>
  <c r="A43" i="7"/>
  <c r="A44" i="7"/>
  <c r="A45" i="7"/>
  <c r="A46" i="7"/>
  <c r="A47" i="7"/>
  <c r="A48" i="7"/>
  <c r="A49" i="7"/>
  <c r="A50" i="7"/>
  <c r="A51" i="7"/>
  <c r="A52" i="7"/>
  <c r="A53" i="7"/>
  <c r="A54" i="7"/>
  <c r="A55" i="7"/>
  <c r="A56" i="7"/>
  <c r="B31" i="7"/>
  <c r="B32" i="7"/>
  <c r="B33" i="7"/>
  <c r="B34" i="7"/>
  <c r="B35" i="7"/>
  <c r="B36" i="7"/>
  <c r="B37" i="7"/>
  <c r="B38" i="7"/>
  <c r="B39" i="7"/>
  <c r="B40" i="7"/>
  <c r="B41" i="7"/>
  <c r="B42" i="7"/>
  <c r="B43" i="7"/>
  <c r="B44" i="7"/>
  <c r="B45" i="7"/>
  <c r="B46" i="7"/>
  <c r="B47" i="7"/>
  <c r="B48" i="7"/>
  <c r="B49" i="7"/>
  <c r="B50" i="7"/>
  <c r="B51" i="7"/>
  <c r="B52" i="7"/>
  <c r="B53" i="7"/>
  <c r="B54" i="7"/>
  <c r="B55" i="7"/>
  <c r="B56" i="7"/>
  <c r="D31" i="7"/>
  <c r="D32" i="7"/>
  <c r="D33" i="7"/>
  <c r="D34" i="7"/>
  <c r="D35" i="7"/>
  <c r="D36" i="7"/>
  <c r="D37" i="7"/>
  <c r="D38" i="7"/>
  <c r="D39" i="7"/>
  <c r="D40" i="7"/>
  <c r="D41" i="7"/>
  <c r="D42" i="7"/>
  <c r="D43" i="7"/>
  <c r="D44" i="7"/>
  <c r="D45" i="7"/>
  <c r="D46" i="7"/>
  <c r="D47" i="7"/>
  <c r="D48" i="7"/>
  <c r="D49" i="7"/>
  <c r="D50" i="7"/>
  <c r="D51" i="7"/>
  <c r="D52" i="7"/>
  <c r="D53" i="7"/>
  <c r="D54" i="7"/>
  <c r="D55" i="7"/>
  <c r="D56" i="7"/>
  <c r="F42" i="7"/>
  <c r="F44" i="7"/>
  <c r="F45" i="7"/>
  <c r="F49" i="7"/>
  <c r="F50" i="7"/>
  <c r="F51" i="7"/>
  <c r="F52" i="7"/>
  <c r="F53" i="7"/>
  <c r="F54" i="7"/>
  <c r="A32" i="5"/>
  <c r="A33" i="5"/>
  <c r="A34" i="5"/>
  <c r="A35" i="5"/>
  <c r="A36" i="5"/>
  <c r="A37" i="5"/>
  <c r="A38" i="5"/>
  <c r="A39" i="5"/>
  <c r="A40" i="5"/>
  <c r="A41" i="5"/>
  <c r="A42" i="5"/>
  <c r="A43" i="5"/>
  <c r="A44" i="5"/>
  <c r="A45" i="5"/>
  <c r="A46" i="5"/>
  <c r="A47" i="5"/>
  <c r="A48" i="5"/>
  <c r="A49" i="5"/>
  <c r="A50" i="5"/>
  <c r="A51" i="5"/>
  <c r="A52" i="5"/>
  <c r="A53" i="5"/>
  <c r="A54" i="5"/>
  <c r="A55" i="5"/>
  <c r="A56" i="5"/>
  <c r="A57" i="5"/>
  <c r="B32" i="5"/>
  <c r="B33" i="5"/>
  <c r="B34" i="5"/>
  <c r="B35" i="5"/>
  <c r="B36" i="5"/>
  <c r="B37" i="5"/>
  <c r="B38" i="5"/>
  <c r="B39" i="5"/>
  <c r="B40" i="5"/>
  <c r="B41" i="5"/>
  <c r="B42" i="5"/>
  <c r="B43" i="5"/>
  <c r="B44" i="5"/>
  <c r="B45" i="5"/>
  <c r="B46" i="5"/>
  <c r="B47" i="5"/>
  <c r="B48" i="5"/>
  <c r="B49" i="5"/>
  <c r="B50" i="5"/>
  <c r="B51" i="5"/>
  <c r="B52" i="5"/>
  <c r="B53" i="5"/>
  <c r="B54" i="5"/>
  <c r="B55" i="5"/>
  <c r="B56" i="5"/>
  <c r="B57" i="5"/>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A32" i="6"/>
  <c r="A33" i="6"/>
  <c r="A34" i="6"/>
  <c r="A35" i="6"/>
  <c r="A36" i="6"/>
  <c r="A37" i="6"/>
  <c r="A38" i="6"/>
  <c r="A39" i="6"/>
  <c r="A40" i="6"/>
  <c r="A41" i="6"/>
  <c r="A42" i="6"/>
  <c r="A43" i="6"/>
  <c r="A44" i="6"/>
  <c r="A45" i="6"/>
  <c r="A46" i="6"/>
  <c r="A47" i="6"/>
  <c r="A48" i="6"/>
  <c r="A49" i="6"/>
  <c r="A50" i="6"/>
  <c r="A51" i="6"/>
  <c r="A52" i="6"/>
  <c r="A53" i="6"/>
  <c r="A54" i="6"/>
  <c r="A55" i="6"/>
  <c r="A56" i="6"/>
  <c r="A57" i="6"/>
  <c r="B32" i="6"/>
  <c r="B33" i="6"/>
  <c r="B34" i="6"/>
  <c r="B35" i="6"/>
  <c r="B36" i="6"/>
  <c r="B37" i="6"/>
  <c r="B38" i="6"/>
  <c r="B39" i="6"/>
  <c r="B40" i="6"/>
  <c r="B41" i="6"/>
  <c r="B42" i="6"/>
  <c r="B43" i="6"/>
  <c r="B44" i="6"/>
  <c r="B45" i="6"/>
  <c r="B46" i="6"/>
  <c r="B47" i="6"/>
  <c r="B48" i="6"/>
  <c r="B49" i="6"/>
  <c r="B50" i="6"/>
  <c r="B51" i="6"/>
  <c r="B52" i="6"/>
  <c r="B53" i="6"/>
  <c r="B54" i="6"/>
  <c r="B55" i="6"/>
  <c r="B56" i="6"/>
  <c r="B57" i="6"/>
  <c r="M42" i="6" a="1"/>
  <c r="M42" i="6" s="1"/>
  <c r="M45" i="6" a="1"/>
  <c r="M45" i="6" s="1"/>
  <c r="M31" i="16" a="1"/>
  <c r="M31" i="16" s="1"/>
  <c r="N31" i="16" s="1"/>
  <c r="M32" i="16" a="1"/>
  <c r="M32" i="16" s="1"/>
  <c r="G32" i="7" s="1"/>
  <c r="M33" i="16" a="1"/>
  <c r="M33" i="16" s="1"/>
  <c r="H33" i="16" s="1"/>
  <c r="M34" i="16" a="1"/>
  <c r="M34" i="16" s="1"/>
  <c r="M35" i="16" a="1"/>
  <c r="M35" i="16" s="1"/>
  <c r="H35" i="16" s="1"/>
  <c r="M36" i="16" a="1"/>
  <c r="M36" i="16" s="1"/>
  <c r="M37" i="16" a="1"/>
  <c r="M37" i="16" s="1"/>
  <c r="M38" i="16" a="1"/>
  <c r="M38" i="16" s="1"/>
  <c r="H38" i="16" s="1"/>
  <c r="M39" i="16" a="1"/>
  <c r="M39" i="16" s="1"/>
  <c r="M40" i="16" a="1"/>
  <c r="M40" i="16" s="1"/>
  <c r="H40" i="16" s="1"/>
  <c r="M41" i="16" a="1"/>
  <c r="M41" i="16" s="1"/>
  <c r="M42" i="16" a="1"/>
  <c r="M42" i="16" s="1"/>
  <c r="M43" i="16" a="1"/>
  <c r="M43" i="16" s="1"/>
  <c r="N43" i="16" s="1"/>
  <c r="M44" i="16" a="1"/>
  <c r="M44" i="16" s="1"/>
  <c r="H44" i="16" s="1"/>
  <c r="M45" i="16" a="1"/>
  <c r="M45" i="16" s="1"/>
  <c r="G45" i="7" s="1"/>
  <c r="M46" i="16" a="1"/>
  <c r="M46" i="16" s="1"/>
  <c r="M47" i="16" a="1"/>
  <c r="M47" i="16" s="1"/>
  <c r="N47" i="16" s="1"/>
  <c r="M48" i="16" a="1"/>
  <c r="M48" i="16" s="1"/>
  <c r="M49" i="16" a="1"/>
  <c r="M49" i="16" s="1"/>
  <c r="M50" i="16" a="1"/>
  <c r="M50" i="16" s="1"/>
  <c r="H50" i="16" s="1"/>
  <c r="M51" i="16" a="1"/>
  <c r="M51" i="16" s="1"/>
  <c r="M52" i="16" a="1"/>
  <c r="M52" i="16" s="1"/>
  <c r="G52" i="7" s="1"/>
  <c r="M53" i="16" a="1"/>
  <c r="M53" i="16" s="1"/>
  <c r="M54" i="16" a="1"/>
  <c r="M54" i="16" s="1"/>
  <c r="M55" i="16" a="1"/>
  <c r="M55" i="16" s="1"/>
  <c r="M56" i="16" a="1"/>
  <c r="M56" i="16" s="1"/>
  <c r="A32" i="16"/>
  <c r="A33" i="16"/>
  <c r="A34" i="16"/>
  <c r="A35" i="16"/>
  <c r="A36" i="16"/>
  <c r="A37" i="16"/>
  <c r="A38" i="16"/>
  <c r="A39" i="16"/>
  <c r="A40" i="16"/>
  <c r="A41" i="16"/>
  <c r="A42" i="16"/>
  <c r="A43" i="16"/>
  <c r="A44" i="16"/>
  <c r="A45" i="16"/>
  <c r="A46" i="16"/>
  <c r="A47" i="16"/>
  <c r="A48" i="16"/>
  <c r="A49" i="16"/>
  <c r="A50" i="16"/>
  <c r="A51" i="16"/>
  <c r="A52" i="16"/>
  <c r="A53" i="16"/>
  <c r="A54" i="16"/>
  <c r="A55" i="16"/>
  <c r="A56" i="16"/>
  <c r="A57" i="16"/>
  <c r="B32" i="16"/>
  <c r="B33" i="16"/>
  <c r="B34" i="16"/>
  <c r="B35" i="16"/>
  <c r="B36" i="16"/>
  <c r="B37" i="16"/>
  <c r="B38" i="16"/>
  <c r="B39" i="16"/>
  <c r="B40" i="16"/>
  <c r="B41" i="16"/>
  <c r="B42" i="16"/>
  <c r="B43" i="16"/>
  <c r="B44" i="16"/>
  <c r="B45" i="16"/>
  <c r="B46" i="16"/>
  <c r="B47" i="16"/>
  <c r="B48" i="16"/>
  <c r="B49" i="16"/>
  <c r="B50" i="16"/>
  <c r="B51" i="16"/>
  <c r="B52" i="16"/>
  <c r="B53" i="16"/>
  <c r="B54" i="16"/>
  <c r="B55" i="16"/>
  <c r="B56" i="16"/>
  <c r="B57" i="16"/>
  <c r="O5" i="8" a="1"/>
  <c r="O5" i="8" s="1"/>
  <c r="O6" i="8" a="1"/>
  <c r="O6" i="8" s="1"/>
  <c r="I6" i="2" s="1"/>
  <c r="O8" i="8" a="1"/>
  <c r="O8" i="8" s="1"/>
  <c r="O9" i="8" a="1"/>
  <c r="O9" i="8" s="1"/>
  <c r="O10" i="8" a="1"/>
  <c r="O10" i="8" s="1"/>
  <c r="I10" i="2" s="1"/>
  <c r="O11" i="8" a="1"/>
  <c r="O11" i="8" s="1"/>
  <c r="O12" i="8" a="1"/>
  <c r="O12" i="8" s="1"/>
  <c r="P12" i="8" s="1"/>
  <c r="O13" i="8" a="1"/>
  <c r="O13" i="8" s="1"/>
  <c r="O14" i="8" a="1"/>
  <c r="O14" i="8" s="1"/>
  <c r="I14" i="2" s="1"/>
  <c r="O15" i="8" a="1"/>
  <c r="O15" i="8" s="1"/>
  <c r="P15" i="8" s="1"/>
  <c r="O16" i="8" a="1"/>
  <c r="O16" i="8" s="1"/>
  <c r="O17" i="8" a="1"/>
  <c r="O17" i="8" s="1"/>
  <c r="O18" i="8" a="1"/>
  <c r="O18" i="8" s="1"/>
  <c r="O19" i="8" a="1"/>
  <c r="O19" i="8" s="1"/>
  <c r="I19" i="2" s="1"/>
  <c r="O20" i="8" a="1"/>
  <c r="O20" i="8" s="1"/>
  <c r="O21" i="8" a="1"/>
  <c r="O21" i="8" s="1"/>
  <c r="O22" i="8" a="1"/>
  <c r="O22" i="8" s="1"/>
  <c r="I22" i="2" s="1"/>
  <c r="O23" i="8" a="1"/>
  <c r="O23" i="8" s="1"/>
  <c r="I23" i="2" s="1"/>
  <c r="O24" i="8" a="1"/>
  <c r="O24" i="8" s="1"/>
  <c r="O25" i="8" a="1"/>
  <c r="O25" i="8" s="1"/>
  <c r="O26" i="8" a="1"/>
  <c r="O26" i="8" s="1"/>
  <c r="P26" i="8" s="1"/>
  <c r="O27" i="8" a="1"/>
  <c r="O27" i="8" s="1"/>
  <c r="P27" i="8" s="1"/>
  <c r="O28" i="8" a="1"/>
  <c r="O28" i="8" s="1"/>
  <c r="O29" i="8" a="1"/>
  <c r="O29" i="8" s="1"/>
  <c r="O30" i="8" a="1"/>
  <c r="O30" i="8" s="1"/>
  <c r="O31" i="8" a="1"/>
  <c r="O31" i="8" s="1"/>
  <c r="O32" i="8" a="1"/>
  <c r="O32" i="8" s="1"/>
  <c r="O33" i="8" a="1"/>
  <c r="O33" i="8" s="1"/>
  <c r="B16" i="25" a="1"/>
  <c r="B16" i="25"/>
  <c r="W16" i="25" a="1"/>
  <c r="W16" i="25"/>
  <c r="A43" i="20"/>
  <c r="N43" i="20" s="1"/>
  <c r="E24" i="3" a="1"/>
  <c r="E24" i="3" s="1"/>
  <c r="E9" i="3" a="1"/>
  <c r="E9" i="3" s="1"/>
  <c r="E76" i="3" a="1"/>
  <c r="E76" i="3" s="1"/>
  <c r="O50" i="12" a="1"/>
  <c r="O50" i="12" s="1"/>
  <c r="P50" i="12" s="1"/>
  <c r="O41" i="12" a="1"/>
  <c r="O41" i="12" s="1"/>
  <c r="P41" i="12" s="1"/>
  <c r="O38" i="12" a="1"/>
  <c r="O38" i="12" s="1"/>
  <c r="O37" i="12" a="1"/>
  <c r="O37" i="12" s="1"/>
  <c r="P37" i="12" s="1"/>
  <c r="O51" i="12" a="1"/>
  <c r="O51" i="12" s="1"/>
  <c r="P51" i="12" s="1"/>
  <c r="O40" i="12" a="1"/>
  <c r="O40" i="12" s="1"/>
  <c r="O42" i="12" a="1"/>
  <c r="O42" i="12" s="1"/>
  <c r="O43" i="12" a="1"/>
  <c r="O43" i="12" s="1"/>
  <c r="P43" i="12" s="1"/>
  <c r="O44" i="12" a="1"/>
  <c r="O44" i="12" s="1"/>
  <c r="O45" i="12" a="1"/>
  <c r="O45" i="12" s="1"/>
  <c r="P45" i="12" s="1"/>
  <c r="O34" i="12" a="1"/>
  <c r="O34" i="12" s="1"/>
  <c r="N34" i="2" s="1"/>
  <c r="O35" i="12" a="1"/>
  <c r="O35" i="12" s="1"/>
  <c r="P35" i="12" s="1"/>
  <c r="O36" i="12" a="1"/>
  <c r="O36" i="12" s="1"/>
  <c r="P36" i="12" s="1"/>
  <c r="O39" i="12" a="1"/>
  <c r="O39" i="12" s="1"/>
  <c r="P39" i="12" s="1"/>
  <c r="O46" i="12" a="1"/>
  <c r="O46" i="12" s="1"/>
  <c r="O47" i="12" a="1"/>
  <c r="O47" i="12" s="1"/>
  <c r="O38" i="10" a="1"/>
  <c r="O38" i="10" s="1"/>
  <c r="P38" i="10" s="1"/>
  <c r="O34" i="10" a="1"/>
  <c r="O34" i="10" s="1"/>
  <c r="P34" i="10" s="1"/>
  <c r="O47" i="11" a="1"/>
  <c r="O47" i="11" s="1"/>
  <c r="O39" i="10" a="1"/>
  <c r="O39" i="10" s="1"/>
  <c r="O37" i="10" a="1"/>
  <c r="O37" i="10" s="1"/>
  <c r="M37" i="2" s="1"/>
  <c r="O36" i="10" a="1"/>
  <c r="O36" i="10" s="1"/>
  <c r="O35" i="10" a="1"/>
  <c r="O35" i="10" s="1"/>
  <c r="P35" i="10" s="1"/>
  <c r="O46" i="11" a="1"/>
  <c r="O46" i="11" s="1"/>
  <c r="O45" i="11" a="1"/>
  <c r="O45" i="11" s="1"/>
  <c r="O44" i="11" a="1"/>
  <c r="O44" i="11" s="1"/>
  <c r="O47" i="10" a="1"/>
  <c r="O47" i="10" s="1"/>
  <c r="O46" i="10" a="1"/>
  <c r="O46" i="10" s="1"/>
  <c r="O45" i="10" a="1"/>
  <c r="O45" i="10" s="1"/>
  <c r="O44" i="10" a="1"/>
  <c r="O44" i="10" s="1"/>
  <c r="O51" i="10" a="1"/>
  <c r="O51" i="10" s="1"/>
  <c r="O43" i="10" a="1"/>
  <c r="O43" i="10" s="1"/>
  <c r="O42" i="10" a="1"/>
  <c r="O42" i="10" s="1"/>
  <c r="O41" i="10" a="1"/>
  <c r="O41" i="10" s="1"/>
  <c r="P41" i="10" s="1"/>
  <c r="O40" i="10" a="1"/>
  <c r="O40" i="10" s="1"/>
  <c r="O42" i="11" a="1"/>
  <c r="O42" i="11" s="1"/>
  <c r="O41" i="11" a="1"/>
  <c r="O41" i="11" s="1"/>
  <c r="O43" i="11" a="1"/>
  <c r="O43" i="11" s="1"/>
  <c r="O40" i="11" a="1"/>
  <c r="O40" i="11" s="1"/>
  <c r="P40" i="11" s="1"/>
  <c r="O51" i="11" a="1"/>
  <c r="O51" i="11" s="1"/>
  <c r="P51" i="11" s="1"/>
  <c r="O48" i="11" a="1"/>
  <c r="O48" i="11" s="1"/>
  <c r="O39" i="11" a="1"/>
  <c r="O39" i="11" s="1"/>
  <c r="O38" i="11" a="1"/>
  <c r="O38" i="11" s="1"/>
  <c r="O37" i="11" a="1"/>
  <c r="O37" i="11" s="1"/>
  <c r="P37" i="11" s="1"/>
  <c r="O36" i="11" a="1"/>
  <c r="O36" i="11" s="1"/>
  <c r="P36" i="11" s="1"/>
  <c r="O35" i="11" a="1"/>
  <c r="O35" i="11" s="1"/>
  <c r="O34" i="11" a="1"/>
  <c r="O34" i="11" s="1"/>
  <c r="O48" i="9" a="1"/>
  <c r="O48" i="9" s="1"/>
  <c r="O47" i="9" a="1"/>
  <c r="O47" i="9" s="1"/>
  <c r="O46" i="9" a="1"/>
  <c r="O46" i="9" s="1"/>
  <c r="P46" i="9" s="1"/>
  <c r="O45" i="9" a="1"/>
  <c r="O45" i="9" s="1"/>
  <c r="O41" i="9" a="1"/>
  <c r="O41" i="9" s="1"/>
  <c r="P41" i="9" s="1"/>
  <c r="O44" i="9" a="1"/>
  <c r="O44" i="9" s="1"/>
  <c r="O42" i="9" a="1"/>
  <c r="O42" i="9" s="1"/>
  <c r="O40" i="9" a="1"/>
  <c r="O40" i="9" s="1"/>
  <c r="O51" i="9" a="1"/>
  <c r="O51" i="9" s="1"/>
  <c r="O39" i="9" a="1"/>
  <c r="O39" i="9" s="1"/>
  <c r="O38" i="9" a="1"/>
  <c r="O38" i="9" s="1"/>
  <c r="O37" i="9" a="1"/>
  <c r="O37" i="9" s="1"/>
  <c r="O36" i="9" a="1"/>
  <c r="O36" i="9" s="1"/>
  <c r="K36" i="2" s="1"/>
  <c r="O35" i="9" a="1"/>
  <c r="O35" i="9" s="1"/>
  <c r="O34" i="9" a="1"/>
  <c r="O34" i="9" s="1"/>
  <c r="O43" i="9" a="1"/>
  <c r="O43" i="9" s="1"/>
  <c r="R47" i="1" a="1"/>
  <c r="R47" i="1" s="1"/>
  <c r="J47" i="1" s="1"/>
  <c r="R42" i="1" a="1"/>
  <c r="R42" i="1" s="1"/>
  <c r="S42" i="1" s="1"/>
  <c r="R41" i="1" a="1"/>
  <c r="R41" i="1" s="1"/>
  <c r="S41" i="1" s="1"/>
  <c r="R39" i="1" a="1"/>
  <c r="R39" i="1" s="1"/>
  <c r="J39" i="1" s="1"/>
  <c r="R37" i="1" a="1"/>
  <c r="R37" i="1" s="1"/>
  <c r="J37" i="1" s="1"/>
  <c r="R35" i="1" a="1"/>
  <c r="R35" i="1" s="1"/>
  <c r="S35" i="1" s="1"/>
  <c r="R34" i="1" a="1"/>
  <c r="R34" i="1" s="1"/>
  <c r="S34" i="1" s="1"/>
  <c r="R36" i="1" a="1"/>
  <c r="R36" i="1" s="1"/>
  <c r="R48" i="1" a="1"/>
  <c r="R48" i="1" s="1"/>
  <c r="J48" i="1" s="1"/>
  <c r="R38" i="1" a="1"/>
  <c r="R38" i="1" s="1"/>
  <c r="R46" i="1" a="1"/>
  <c r="R46" i="1" s="1"/>
  <c r="R51" i="1" a="1"/>
  <c r="R51" i="1" s="1"/>
  <c r="J51" i="2" s="1"/>
  <c r="R45" i="1" a="1"/>
  <c r="R45" i="1" s="1"/>
  <c r="J45" i="1" s="1"/>
  <c r="R44" i="1" a="1"/>
  <c r="R44" i="1" s="1"/>
  <c r="J44" i="1" s="1"/>
  <c r="R43" i="1" a="1"/>
  <c r="R43" i="1" s="1"/>
  <c r="S43" i="1" s="1"/>
  <c r="R40" i="1" a="1"/>
  <c r="R40" i="1" s="1"/>
  <c r="S40" i="1" s="1"/>
  <c r="O46" i="8" a="1"/>
  <c r="O46" i="8" s="1"/>
  <c r="O36" i="8" a="1"/>
  <c r="O36" i="8" s="1"/>
  <c r="P36" i="8" s="1"/>
  <c r="O35" i="8" a="1"/>
  <c r="O35" i="8" s="1"/>
  <c r="P35" i="8" s="1"/>
  <c r="O34" i="8" a="1"/>
  <c r="O34" i="8" s="1"/>
  <c r="P34" i="8" s="1"/>
  <c r="O45" i="8" a="1"/>
  <c r="O45" i="8" s="1"/>
  <c r="P45" i="8" s="1"/>
  <c r="O42" i="8" a="1"/>
  <c r="O42" i="8" s="1"/>
  <c r="O41" i="8" a="1"/>
  <c r="O41" i="8" s="1"/>
  <c r="O44" i="8" a="1"/>
  <c r="O44" i="8" s="1"/>
  <c r="O43" i="8" a="1"/>
  <c r="O43" i="8" s="1"/>
  <c r="O40" i="8" a="1"/>
  <c r="O40" i="8" s="1"/>
  <c r="O51" i="8" a="1"/>
  <c r="O51" i="8" s="1"/>
  <c r="O39" i="8" a="1"/>
  <c r="O39" i="8" s="1"/>
  <c r="O48" i="8" a="1"/>
  <c r="O48" i="8" s="1"/>
  <c r="P48" i="8" s="1"/>
  <c r="O38" i="8" a="1"/>
  <c r="O38" i="8" s="1"/>
  <c r="O47" i="8" a="1"/>
  <c r="O47" i="8" s="1"/>
  <c r="O37" i="8" a="1"/>
  <c r="O37" i="8" s="1"/>
  <c r="P37" i="8" s="1"/>
  <c r="E13" i="3" a="1"/>
  <c r="E13" i="3" s="1"/>
  <c r="F71" i="7"/>
  <c r="F47" i="7"/>
  <c r="F72" i="7"/>
  <c r="F37" i="7"/>
  <c r="F61" i="7"/>
  <c r="F34" i="7"/>
  <c r="F58" i="7"/>
  <c r="F38" i="7"/>
  <c r="F62" i="7"/>
  <c r="F59" i="7"/>
  <c r="F39" i="7"/>
  <c r="F63" i="7"/>
  <c r="F41" i="7"/>
  <c r="F65" i="7"/>
  <c r="F31" i="7"/>
  <c r="F55" i="7"/>
  <c r="F35" i="7"/>
  <c r="F33" i="7"/>
  <c r="F57" i="7"/>
  <c r="F36" i="7"/>
  <c r="F60" i="7"/>
  <c r="F67" i="7"/>
  <c r="F68" i="7"/>
  <c r="F32" i="7"/>
  <c r="F56" i="7"/>
  <c r="M61" i="5" a="1"/>
  <c r="M61" i="5" s="1"/>
  <c r="J61" i="7" s="1"/>
  <c r="M60" i="5" a="1"/>
  <c r="M60" i="5" s="1"/>
  <c r="N60" i="5" s="1"/>
  <c r="M59" i="5" a="1"/>
  <c r="M59" i="5" s="1"/>
  <c r="M78" i="5" a="1"/>
  <c r="M78" i="5" s="1"/>
  <c r="M77" i="5" a="1"/>
  <c r="M77" i="5" s="1"/>
  <c r="N77" i="5" s="1"/>
  <c r="M76" i="5" a="1"/>
  <c r="M76" i="5" s="1"/>
  <c r="N62" i="17" a="1"/>
  <c r="N62" i="17" s="1"/>
  <c r="O62" i="17" s="1"/>
  <c r="N61" i="17" a="1"/>
  <c r="N61" i="17" s="1"/>
  <c r="N60" i="17" a="1"/>
  <c r="N60" i="17" s="1"/>
  <c r="N59" i="17" a="1"/>
  <c r="N59" i="17" s="1"/>
  <c r="N58" i="17" a="1"/>
  <c r="N58" i="17" s="1"/>
  <c r="H58" i="17" s="1"/>
  <c r="N78" i="17" a="1"/>
  <c r="N78" i="17" s="1"/>
  <c r="N77" i="17" a="1"/>
  <c r="N77" i="17" s="1"/>
  <c r="N68" i="17" a="1"/>
  <c r="N68" i="17" s="1"/>
  <c r="I68" i="7" s="1"/>
  <c r="M61" i="6" a="1"/>
  <c r="M61" i="6" s="1"/>
  <c r="M60" i="6" a="1"/>
  <c r="M60" i="6" s="1"/>
  <c r="M58" i="6" a="1"/>
  <c r="M58" i="6" s="1"/>
  <c r="N58" i="6" s="1"/>
  <c r="M78" i="6" a="1"/>
  <c r="M78" i="6" s="1"/>
  <c r="M77" i="6" a="1"/>
  <c r="M77" i="6" s="1"/>
  <c r="H77" i="7" s="1"/>
  <c r="M76" i="6" a="1"/>
  <c r="M76" i="6" s="1"/>
  <c r="M71" i="6" a="1"/>
  <c r="M71" i="6" s="1"/>
  <c r="H71" i="7" s="1"/>
  <c r="M76" i="16" a="1"/>
  <c r="M76" i="16" s="1"/>
  <c r="G76" i="7" s="1"/>
  <c r="M74" i="16" a="1"/>
  <c r="M74" i="16" s="1"/>
  <c r="N74" i="16" s="1"/>
  <c r="M77" i="16" a="1"/>
  <c r="M77" i="16" s="1"/>
  <c r="N77" i="16" s="1"/>
  <c r="M73" i="16" a="1"/>
  <c r="M73" i="16" s="1"/>
  <c r="G73" i="7" s="1"/>
  <c r="M72" i="16" a="1"/>
  <c r="M72" i="16" s="1"/>
  <c r="M62" i="16" a="1"/>
  <c r="M62" i="16" s="1"/>
  <c r="M61" i="16" a="1"/>
  <c r="M61" i="16" s="1"/>
  <c r="H61" i="16" s="1"/>
  <c r="M70" i="16" a="1"/>
  <c r="M70" i="16" s="1"/>
  <c r="M60" i="16" a="1"/>
  <c r="M60" i="16" s="1"/>
  <c r="M71" i="16" a="1"/>
  <c r="M71" i="16" s="1"/>
  <c r="G71" i="7" s="1"/>
  <c r="M69" i="16" a="1"/>
  <c r="M69" i="16" s="1"/>
  <c r="H69" i="16" s="1"/>
  <c r="M75" i="16" a="1"/>
  <c r="M75" i="16" s="1"/>
  <c r="H75" i="16" s="1"/>
  <c r="M68" i="16" a="1"/>
  <c r="M68" i="16" s="1"/>
  <c r="M65" i="16" a="1"/>
  <c r="M65" i="16" s="1"/>
  <c r="G65" i="7" s="1"/>
  <c r="M67" i="16" a="1"/>
  <c r="M67" i="16" s="1"/>
  <c r="G67" i="7" s="1"/>
  <c r="M64" i="16" a="1"/>
  <c r="M64" i="16" s="1"/>
  <c r="N64" i="16" s="1"/>
  <c r="M66" i="16" a="1"/>
  <c r="M66" i="16" s="1"/>
  <c r="G66" i="7" s="1"/>
  <c r="M63" i="16" a="1"/>
  <c r="M63" i="16" s="1"/>
  <c r="M59" i="16" a="1"/>
  <c r="M59" i="16" s="1"/>
  <c r="G59" i="7" s="1"/>
  <c r="M58" i="16" a="1"/>
  <c r="M58" i="16" s="1"/>
  <c r="M57" i="16" a="1"/>
  <c r="M57" i="16" s="1"/>
  <c r="M78" i="16" a="1"/>
  <c r="M78" i="16" s="1"/>
  <c r="G78" i="7" s="1"/>
  <c r="M49" i="5" a="1"/>
  <c r="M49" i="5" s="1"/>
  <c r="N49" i="5" s="1"/>
  <c r="M48" i="5" a="1"/>
  <c r="M48" i="5" s="1"/>
  <c r="N48" i="5" s="1"/>
  <c r="M53" i="5" a="1"/>
  <c r="M53" i="5" s="1"/>
  <c r="N53" i="5" s="1"/>
  <c r="M42" i="5" a="1"/>
  <c r="M42" i="5" s="1"/>
  <c r="N42" i="5" s="1"/>
  <c r="M55" i="5" a="1"/>
  <c r="M55" i="5" s="1"/>
  <c r="M33" i="5" a="1"/>
  <c r="M33" i="5" s="1"/>
  <c r="N33" i="5" s="1"/>
  <c r="M43" i="5" a="1"/>
  <c r="M43" i="5" s="1"/>
  <c r="N43" i="5" s="1"/>
  <c r="M45" i="5" a="1"/>
  <c r="M45" i="5" s="1"/>
  <c r="J45" i="7" s="1"/>
  <c r="M38" i="5" a="1"/>
  <c r="M38" i="5" s="1"/>
  <c r="J38" i="7" s="1"/>
  <c r="M39" i="5" a="1"/>
  <c r="M39" i="5" s="1"/>
  <c r="J39" i="7" s="1"/>
  <c r="M52" i="5" a="1"/>
  <c r="M52" i="5" s="1"/>
  <c r="J52" i="7" s="1"/>
  <c r="M54" i="5" a="1"/>
  <c r="M54" i="5" s="1"/>
  <c r="N54" i="5" s="1"/>
  <c r="M57" i="5" a="1"/>
  <c r="M57" i="5" s="1"/>
  <c r="M44" i="5" a="1"/>
  <c r="M44" i="5" s="1"/>
  <c r="M35" i="5" a="1"/>
  <c r="M35" i="5" s="1"/>
  <c r="N35" i="5" s="1"/>
  <c r="M36" i="5" a="1"/>
  <c r="M36" i="5" s="1"/>
  <c r="N36" i="5" s="1"/>
  <c r="M47" i="5" a="1"/>
  <c r="M47" i="5" s="1"/>
  <c r="J47" i="7" s="1"/>
  <c r="M46" i="5" a="1"/>
  <c r="M46" i="5" s="1"/>
  <c r="M41" i="5" a="1"/>
  <c r="M41" i="5" s="1"/>
  <c r="J41" i="7" s="1"/>
  <c r="M40" i="5" a="1"/>
  <c r="M40" i="5" s="1"/>
  <c r="J40" i="7" s="1"/>
  <c r="M37" i="5" a="1"/>
  <c r="M37" i="5" s="1"/>
  <c r="N37" i="5" s="1"/>
  <c r="M56" i="5" a="1"/>
  <c r="M56" i="5" s="1"/>
  <c r="M32" i="5" a="1"/>
  <c r="M32" i="5" s="1"/>
  <c r="M34" i="5" a="1"/>
  <c r="M34" i="5" s="1"/>
  <c r="M51" i="5" a="1"/>
  <c r="M51" i="5" s="1"/>
  <c r="J51" i="7" s="1"/>
  <c r="M50" i="5" a="1"/>
  <c r="M50" i="5" s="1"/>
  <c r="J50" i="7" s="1"/>
  <c r="N51" i="17" a="1"/>
  <c r="N51" i="17" s="1"/>
  <c r="N48" i="17" a="1"/>
  <c r="N48" i="17" s="1"/>
  <c r="I48" i="7" s="1"/>
  <c r="N55" i="17" a="1"/>
  <c r="N55" i="17" s="1"/>
  <c r="I55" i="7" s="1"/>
  <c r="N57" i="17" a="1"/>
  <c r="N57" i="17" s="1"/>
  <c r="N54" i="17" a="1"/>
  <c r="N54" i="17" s="1"/>
  <c r="N49" i="17" a="1"/>
  <c r="N49" i="17" s="1"/>
  <c r="I49" i="7" s="1"/>
  <c r="N36" i="17" a="1"/>
  <c r="N36" i="17" s="1"/>
  <c r="I36" i="7" s="1"/>
  <c r="N50" i="17" a="1"/>
  <c r="N50" i="17" s="1"/>
  <c r="O50" i="17" s="1"/>
  <c r="N33" i="17" a="1"/>
  <c r="N33" i="17" s="1"/>
  <c r="I33" i="7" s="1"/>
  <c r="N35" i="17" a="1"/>
  <c r="N35" i="17" s="1"/>
  <c r="N32" i="17" a="1"/>
  <c r="N32" i="17" s="1"/>
  <c r="N34" i="17" a="1"/>
  <c r="N34" i="17" s="1"/>
  <c r="I34" i="7" s="1"/>
  <c r="N52" i="17" a="1"/>
  <c r="N52" i="17" s="1"/>
  <c r="N46" i="17" a="1"/>
  <c r="N46" i="17" s="1"/>
  <c r="I46" i="7" s="1"/>
  <c r="N43" i="17" a="1"/>
  <c r="N43" i="17" s="1"/>
  <c r="O43" i="17" s="1"/>
  <c r="N41" i="17" a="1"/>
  <c r="N41" i="17" s="1"/>
  <c r="N42" i="17" a="1"/>
  <c r="N42" i="17" s="1"/>
  <c r="N40" i="17" a="1"/>
  <c r="N40" i="17" s="1"/>
  <c r="I40" i="7" s="1"/>
  <c r="N39" i="17" a="1"/>
  <c r="N39" i="17" s="1"/>
  <c r="O39" i="17" s="1"/>
  <c r="N56" i="17" a="1"/>
  <c r="N56" i="17" s="1"/>
  <c r="I56" i="7" s="1"/>
  <c r="N38" i="17" a="1"/>
  <c r="N38" i="17" s="1"/>
  <c r="I38" i="7" s="1"/>
  <c r="N45" i="17" a="1"/>
  <c r="N45" i="17" s="1"/>
  <c r="O45" i="17" s="1"/>
  <c r="N53" i="17" a="1"/>
  <c r="N53" i="17" s="1"/>
  <c r="O53" i="17" s="1"/>
  <c r="N47" i="17" a="1"/>
  <c r="N47" i="17" s="1"/>
  <c r="I47" i="7" s="1"/>
  <c r="N44" i="17" a="1"/>
  <c r="N44" i="17" s="1"/>
  <c r="I44" i="7" s="1"/>
  <c r="N37" i="17" a="1"/>
  <c r="N37" i="17" s="1"/>
  <c r="O37" i="17" s="1"/>
  <c r="M47" i="6" a="1"/>
  <c r="M47" i="6" s="1"/>
  <c r="M48" i="6" a="1"/>
  <c r="M48" i="6" s="1"/>
  <c r="M51" i="6" a="1"/>
  <c r="M51" i="6" s="1"/>
  <c r="N51" i="6" s="1"/>
  <c r="M49" i="6" a="1"/>
  <c r="M49" i="6" s="1"/>
  <c r="H49" i="7" s="1"/>
  <c r="M37" i="6" a="1"/>
  <c r="M37" i="6" s="1"/>
  <c r="H37" i="7" s="1"/>
  <c r="M46" i="6" a="1"/>
  <c r="M46" i="6" s="1"/>
  <c r="M56" i="6" a="1"/>
  <c r="M56" i="6" s="1"/>
  <c r="N56" i="6" s="1"/>
  <c r="M32" i="6" a="1"/>
  <c r="M32" i="6" s="1"/>
  <c r="H32" i="6" s="1"/>
  <c r="M55" i="6" a="1"/>
  <c r="M55" i="6" s="1"/>
  <c r="N55" i="6" s="1"/>
  <c r="M57" i="6" a="1"/>
  <c r="M57" i="6" s="1"/>
  <c r="H57" i="7" s="1"/>
  <c r="M39" i="6" a="1"/>
  <c r="M39" i="6" s="1"/>
  <c r="H39" i="7" s="1"/>
  <c r="M43" i="6" a="1"/>
  <c r="M43" i="6" s="1"/>
  <c r="M34" i="6" a="1"/>
  <c r="M34" i="6" s="1"/>
  <c r="N34" i="6" s="1"/>
  <c r="M33" i="6" a="1"/>
  <c r="M33" i="6" s="1"/>
  <c r="H33" i="7" s="1"/>
  <c r="M54" i="6" a="1"/>
  <c r="M54" i="6" s="1"/>
  <c r="N54" i="6" s="1"/>
  <c r="M50" i="6" a="1"/>
  <c r="M50" i="6" s="1"/>
  <c r="M44" i="6" a="1"/>
  <c r="M44" i="6" s="1"/>
  <c r="M41" i="6" a="1"/>
  <c r="M41" i="6" s="1"/>
  <c r="M40" i="6" a="1"/>
  <c r="M40" i="6" s="1"/>
  <c r="M38" i="6" a="1"/>
  <c r="M38" i="6" s="1"/>
  <c r="N38" i="6" s="1"/>
  <c r="M36" i="6" a="1"/>
  <c r="M36" i="6" s="1"/>
  <c r="N36" i="6" s="1"/>
  <c r="M35" i="6" a="1"/>
  <c r="M35" i="6" s="1"/>
  <c r="H35" i="7" s="1"/>
  <c r="M53" i="6" a="1"/>
  <c r="M53" i="6" s="1"/>
  <c r="M52" i="6" a="1"/>
  <c r="M52" i="6" s="1"/>
  <c r="H52" i="7" s="1"/>
  <c r="E14" i="3" a="1"/>
  <c r="E14" i="3" s="1"/>
  <c r="H56" i="6"/>
  <c r="H55" i="6"/>
  <c r="H57" i="6"/>
  <c r="H54" i="6"/>
  <c r="G17" i="25" a="1"/>
  <c r="G17" i="25" s="1"/>
  <c r="F6" i="13" a="1"/>
  <c r="F6" i="13" s="1"/>
  <c r="N52" i="12"/>
  <c r="E26" i="13" s="1"/>
  <c r="M52" i="12"/>
  <c r="M2" i="12" s="1" a="1"/>
  <c r="M2" i="12" s="1"/>
  <c r="L52" i="12"/>
  <c r="L2" i="12" s="1" a="1"/>
  <c r="L2" i="12" s="1"/>
  <c r="N52" i="10"/>
  <c r="N2" i="10" s="1" a="1"/>
  <c r="N2" i="10" s="1"/>
  <c r="M52" i="10"/>
  <c r="M2" i="10" s="1" a="1"/>
  <c r="M2" i="10" s="1"/>
  <c r="L52" i="10"/>
  <c r="L2" i="10" s="1" a="1"/>
  <c r="L2" i="10" s="1"/>
  <c r="N52" i="11"/>
  <c r="E23" i="13" s="1"/>
  <c r="M52" i="11"/>
  <c r="E22" i="13" s="1"/>
  <c r="L52" i="11"/>
  <c r="L2" i="11" s="1" a="1"/>
  <c r="L2" i="11" s="1"/>
  <c r="N52" i="9"/>
  <c r="N2" i="9" s="1" a="1"/>
  <c r="N2" i="9" s="1"/>
  <c r="M52" i="9"/>
  <c r="M2" i="9" s="1" a="1"/>
  <c r="M2" i="9" s="1"/>
  <c r="L52" i="9"/>
  <c r="E20" i="13" s="1"/>
  <c r="Q52" i="1"/>
  <c r="E18" i="13" s="1"/>
  <c r="P52" i="1"/>
  <c r="E17" i="13" s="1"/>
  <c r="O52" i="1"/>
  <c r="O2" i="1" s="1" a="1"/>
  <c r="O2" i="1" s="1"/>
  <c r="N52" i="1"/>
  <c r="N2" i="1" s="1" a="1"/>
  <c r="N2" i="1" s="1"/>
  <c r="M52" i="1"/>
  <c r="E15" i="13" s="1"/>
  <c r="L52" i="1"/>
  <c r="L2" i="1" s="1" a="1"/>
  <c r="L2" i="1" s="1"/>
  <c r="L79" i="5"/>
  <c r="L2" i="5" s="1" a="1"/>
  <c r="L2" i="5" s="1"/>
  <c r="K79" i="5"/>
  <c r="K2" i="5" s="1" a="1"/>
  <c r="K2" i="5" s="1"/>
  <c r="J79" i="5"/>
  <c r="J2" i="5" s="1" a="1"/>
  <c r="J2" i="5" s="1"/>
  <c r="L79" i="17"/>
  <c r="L2" i="17" s="1" a="1"/>
  <c r="L2" i="17" s="1"/>
  <c r="K79" i="17"/>
  <c r="K2" i="17" s="1" a="1"/>
  <c r="K2" i="17" s="1"/>
  <c r="J79" i="17"/>
  <c r="J2" i="17" s="1" a="1"/>
  <c r="J2" i="17" s="1"/>
  <c r="L79" i="6"/>
  <c r="L2" i="6" s="1" a="1"/>
  <c r="L2" i="6" s="1"/>
  <c r="K79" i="6"/>
  <c r="K2" i="6" s="1" a="1"/>
  <c r="K2" i="6" s="1"/>
  <c r="J79" i="6"/>
  <c r="J2" i="6" s="1" a="1"/>
  <c r="J2" i="6" s="1"/>
  <c r="L79" i="16"/>
  <c r="L2" i="16" s="1" a="1"/>
  <c r="L2" i="16" s="1"/>
  <c r="K79" i="16"/>
  <c r="K2" i="16" s="1" a="1"/>
  <c r="K2" i="16" s="1"/>
  <c r="J79" i="16"/>
  <c r="J2" i="16" s="1" a="1"/>
  <c r="J2" i="16" s="1"/>
  <c r="M24" i="21"/>
  <c r="A5" i="16"/>
  <c r="D12" i="13"/>
  <c r="D10" i="13" s="1"/>
  <c r="C12" i="13"/>
  <c r="D28" i="13"/>
  <c r="C28" i="13"/>
  <c r="D27" i="13"/>
  <c r="C27" i="13"/>
  <c r="D26" i="13"/>
  <c r="C26" i="13"/>
  <c r="D25" i="13"/>
  <c r="C25" i="13"/>
  <c r="D24" i="13"/>
  <c r="C24" i="13"/>
  <c r="D23" i="13"/>
  <c r="D21" i="13" s="1"/>
  <c r="C23" i="13"/>
  <c r="D22" i="13"/>
  <c r="C22" i="13"/>
  <c r="C21" i="13"/>
  <c r="D20" i="13"/>
  <c r="D19" i="13"/>
  <c r="C20" i="13"/>
  <c r="C19" i="13"/>
  <c r="D16" i="13"/>
  <c r="D18" i="13"/>
  <c r="D17" i="13"/>
  <c r="C18" i="13"/>
  <c r="C17" i="13"/>
  <c r="C16" i="13"/>
  <c r="C14" i="13" s="1"/>
  <c r="D15" i="13"/>
  <c r="C15" i="13"/>
  <c r="D9" i="13"/>
  <c r="C9" i="13"/>
  <c r="D13" i="13"/>
  <c r="C13" i="13"/>
  <c r="D11" i="13"/>
  <c r="C11" i="13"/>
  <c r="D8" i="13"/>
  <c r="D7" i="13"/>
  <c r="C7" i="13"/>
  <c r="C8" i="13"/>
  <c r="E29" i="3" a="1"/>
  <c r="E29" i="3" s="1"/>
  <c r="P28" i="21" a="1"/>
  <c r="T29" i="21" s="1" a="1"/>
  <c r="T29" i="21" s="1"/>
  <c r="H71" i="6"/>
  <c r="H72" i="6"/>
  <c r="H65" i="6"/>
  <c r="H66" i="6"/>
  <c r="H64" i="6"/>
  <c r="M79" i="17"/>
  <c r="M2" i="17" s="1" a="1"/>
  <c r="M2" i="17" s="1"/>
  <c r="C10" i="13"/>
  <c r="D14" i="13"/>
  <c r="M27" i="21"/>
  <c r="D16" i="4"/>
  <c r="S14" i="26" s="1" a="1"/>
  <c r="S14" i="26" s="1"/>
  <c r="D17" i="4"/>
  <c r="D18" i="4"/>
  <c r="D19" i="4"/>
  <c r="D20" i="4"/>
  <c r="D21" i="4"/>
  <c r="D22" i="4"/>
  <c r="D23" i="4"/>
  <c r="D24" i="4"/>
  <c r="D25" i="4"/>
  <c r="D26" i="4"/>
  <c r="D27" i="4"/>
  <c r="D28" i="4"/>
  <c r="O4" i="12" a="1"/>
  <c r="O4" i="12" s="1"/>
  <c r="O5" i="12" a="1"/>
  <c r="O5" i="12" s="1"/>
  <c r="O6" i="12" a="1"/>
  <c r="O6" i="12" s="1"/>
  <c r="O8" i="12" a="1"/>
  <c r="O8" i="12" s="1"/>
  <c r="O9" i="12" a="1"/>
  <c r="O9" i="12" s="1"/>
  <c r="P9" i="12" s="1"/>
  <c r="O10" i="12" a="1"/>
  <c r="O10" i="12" s="1"/>
  <c r="N10" i="2" s="1"/>
  <c r="O11" i="12" a="1"/>
  <c r="O11" i="12" s="1"/>
  <c r="O12" i="12" a="1"/>
  <c r="O12" i="12" s="1"/>
  <c r="O13" i="12" a="1"/>
  <c r="O13" i="12" s="1"/>
  <c r="P13" i="12" s="1"/>
  <c r="O14" i="12" a="1"/>
  <c r="O14" i="12" s="1"/>
  <c r="O15" i="12" a="1"/>
  <c r="O15" i="12" s="1"/>
  <c r="O16" i="12" a="1"/>
  <c r="O16" i="12" s="1"/>
  <c r="O17" i="12" a="1"/>
  <c r="O17" i="12" s="1"/>
  <c r="P17" i="12" s="1"/>
  <c r="O18" i="12" a="1"/>
  <c r="O18" i="12" s="1"/>
  <c r="O19" i="12" a="1"/>
  <c r="O19" i="12" s="1"/>
  <c r="O20" i="12" a="1"/>
  <c r="O20" i="12" s="1"/>
  <c r="O21" i="12" a="1"/>
  <c r="O21" i="12" s="1"/>
  <c r="N21" i="2" s="1"/>
  <c r="O22" i="12" a="1"/>
  <c r="O22" i="12" s="1"/>
  <c r="O23" i="12" a="1"/>
  <c r="O23" i="12" s="1"/>
  <c r="P23" i="12" s="1"/>
  <c r="O24" i="12" a="1"/>
  <c r="O24" i="12" s="1"/>
  <c r="P24" i="12" s="1"/>
  <c r="O25" i="12" a="1"/>
  <c r="O25" i="12" s="1"/>
  <c r="O26" i="12" a="1"/>
  <c r="O26" i="12" s="1"/>
  <c r="O27" i="12" a="1"/>
  <c r="O27" i="12" s="1"/>
  <c r="P27" i="12" s="1"/>
  <c r="O28" i="12" a="1"/>
  <c r="O28" i="12" s="1"/>
  <c r="O29" i="12" a="1"/>
  <c r="O29" i="12" s="1"/>
  <c r="O30" i="12" a="1"/>
  <c r="O30" i="12" s="1"/>
  <c r="O31" i="12" a="1"/>
  <c r="O31" i="12" s="1"/>
  <c r="O32" i="12" a="1"/>
  <c r="O32" i="12" s="1"/>
  <c r="O33" i="12" a="1"/>
  <c r="O33" i="12" s="1"/>
  <c r="O4" i="10" a="1"/>
  <c r="O4" i="10" s="1"/>
  <c r="J4" i="10" s="1"/>
  <c r="O5" i="10" a="1"/>
  <c r="O5" i="10" s="1"/>
  <c r="O6" i="10" a="1"/>
  <c r="O6" i="10" s="1"/>
  <c r="O8" i="10" a="1"/>
  <c r="O8" i="10" s="1"/>
  <c r="P8" i="10" s="1"/>
  <c r="O9" i="10" a="1"/>
  <c r="O9" i="10" s="1"/>
  <c r="P9" i="10" s="1"/>
  <c r="O10" i="10" a="1"/>
  <c r="O10" i="10" s="1"/>
  <c r="O11" i="10" a="1"/>
  <c r="O11" i="10" s="1"/>
  <c r="J11" i="10" s="1"/>
  <c r="O12" i="10" a="1"/>
  <c r="O12" i="10" s="1"/>
  <c r="P12" i="10" s="1"/>
  <c r="O13" i="10" a="1"/>
  <c r="O13" i="10" s="1"/>
  <c r="O14" i="10" a="1"/>
  <c r="O14" i="10" s="1"/>
  <c r="O15" i="10" a="1"/>
  <c r="O15" i="10" s="1"/>
  <c r="O16" i="10" a="1"/>
  <c r="O16" i="10" s="1"/>
  <c r="P16" i="10" s="1"/>
  <c r="O17" i="10" a="1"/>
  <c r="O17" i="10" s="1"/>
  <c r="O18" i="10" a="1"/>
  <c r="O18" i="10" s="1"/>
  <c r="P18" i="10" s="1"/>
  <c r="O19" i="10" a="1"/>
  <c r="O19" i="10" s="1"/>
  <c r="O20" i="10" a="1"/>
  <c r="O20" i="10" s="1"/>
  <c r="P20" i="10" s="1"/>
  <c r="O21" i="10" a="1"/>
  <c r="O21" i="10" s="1"/>
  <c r="P21" i="10" s="1"/>
  <c r="O22" i="10" a="1"/>
  <c r="O22" i="10" s="1"/>
  <c r="P22" i="10" s="1"/>
  <c r="O23" i="10" a="1"/>
  <c r="O23" i="10" s="1"/>
  <c r="P23" i="10" s="1"/>
  <c r="O24" i="10" a="1"/>
  <c r="O24" i="10" s="1"/>
  <c r="J24" i="10" s="1"/>
  <c r="O25" i="10" a="1"/>
  <c r="O25" i="10" s="1"/>
  <c r="P25" i="10" s="1"/>
  <c r="O26" i="10" a="1"/>
  <c r="O26" i="10" s="1"/>
  <c r="O27" i="10" a="1"/>
  <c r="O27" i="10" s="1"/>
  <c r="O28" i="10" a="1"/>
  <c r="O28" i="10" s="1"/>
  <c r="O29" i="10" a="1"/>
  <c r="O29" i="10" s="1"/>
  <c r="P29" i="10" s="1"/>
  <c r="O30" i="10" a="1"/>
  <c r="O30" i="10" s="1"/>
  <c r="P30" i="10" s="1"/>
  <c r="O31" i="10" a="1"/>
  <c r="O31" i="10" s="1"/>
  <c r="P31" i="10" s="1"/>
  <c r="O32" i="10" a="1"/>
  <c r="O32" i="10" s="1"/>
  <c r="O33" i="10" a="1"/>
  <c r="O33" i="10" s="1"/>
  <c r="M33" i="2" s="1"/>
  <c r="O4" i="11" a="1"/>
  <c r="O4" i="11" s="1"/>
  <c r="L4" i="2" s="1"/>
  <c r="O5" i="11" a="1"/>
  <c r="O5" i="11" s="1"/>
  <c r="O6" i="11" a="1"/>
  <c r="O6" i="11" s="1"/>
  <c r="O8" i="11" a="1"/>
  <c r="O8" i="11" s="1"/>
  <c r="L8" i="2" s="1"/>
  <c r="O9" i="11" a="1"/>
  <c r="O9" i="11" s="1"/>
  <c r="L9" i="2" s="1"/>
  <c r="O10" i="11" a="1"/>
  <c r="O10" i="11" s="1"/>
  <c r="O11" i="11" a="1"/>
  <c r="O11" i="11" s="1"/>
  <c r="O12" i="11" a="1"/>
  <c r="O12" i="11" s="1"/>
  <c r="O13" i="11" a="1"/>
  <c r="O13" i="11" s="1"/>
  <c r="L13" i="2" s="1"/>
  <c r="O14" i="11" a="1"/>
  <c r="O14" i="11" s="1"/>
  <c r="O15" i="11" a="1"/>
  <c r="O15" i="11" s="1"/>
  <c r="O16" i="11" a="1"/>
  <c r="O16" i="11" s="1"/>
  <c r="O17" i="11" a="1"/>
  <c r="O17" i="11" s="1"/>
  <c r="P17" i="11" s="1"/>
  <c r="O18" i="11" a="1"/>
  <c r="O18" i="11" s="1"/>
  <c r="O19" i="11" a="1"/>
  <c r="O19" i="11" s="1"/>
  <c r="L19" i="2" s="1"/>
  <c r="O20" i="11" a="1"/>
  <c r="O20" i="11" s="1"/>
  <c r="P20" i="11" s="1"/>
  <c r="O21" i="11" a="1"/>
  <c r="O21" i="11" s="1"/>
  <c r="L21" i="2" s="1"/>
  <c r="O22" i="11" a="1"/>
  <c r="O22" i="11" s="1"/>
  <c r="O23" i="11" a="1"/>
  <c r="O23" i="11" s="1"/>
  <c r="O24" i="11" a="1"/>
  <c r="O24" i="11" s="1"/>
  <c r="P24" i="11" s="1"/>
  <c r="O25" i="11" a="1"/>
  <c r="O25" i="11" s="1"/>
  <c r="P25" i="11" s="1"/>
  <c r="O26" i="11" a="1"/>
  <c r="O26" i="11" s="1"/>
  <c r="P26" i="11" s="1"/>
  <c r="O27" i="11" a="1"/>
  <c r="O27" i="11" s="1"/>
  <c r="P27" i="11" s="1"/>
  <c r="O28" i="11" a="1"/>
  <c r="O28" i="11" s="1"/>
  <c r="O29" i="11" a="1"/>
  <c r="O29" i="11" s="1"/>
  <c r="P29" i="11" s="1"/>
  <c r="O30" i="11" a="1"/>
  <c r="O30" i="11" s="1"/>
  <c r="P30" i="11" s="1"/>
  <c r="O31" i="11" a="1"/>
  <c r="O31" i="11" s="1"/>
  <c r="P31" i="11" s="1"/>
  <c r="O32" i="11" a="1"/>
  <c r="O32" i="11" s="1"/>
  <c r="O33" i="11" a="1"/>
  <c r="O33" i="11" s="1"/>
  <c r="P33" i="11" s="1"/>
  <c r="O4" i="9" a="1"/>
  <c r="O4" i="9" s="1"/>
  <c r="P4" i="9" s="1"/>
  <c r="O5" i="9" a="1"/>
  <c r="O5" i="9" s="1"/>
  <c r="O6" i="9" a="1"/>
  <c r="O6" i="9" s="1"/>
  <c r="O8" i="9" a="1"/>
  <c r="O8" i="9" s="1"/>
  <c r="P8" i="9" s="1"/>
  <c r="O9" i="9" a="1"/>
  <c r="O9" i="9" s="1"/>
  <c r="O10" i="9" a="1"/>
  <c r="O10" i="9" s="1"/>
  <c r="P10" i="9" s="1"/>
  <c r="O11" i="9" a="1"/>
  <c r="O11" i="9" s="1"/>
  <c r="P11" i="9" s="1"/>
  <c r="O12" i="9" a="1"/>
  <c r="O12" i="9" s="1"/>
  <c r="O13" i="9" a="1"/>
  <c r="O13" i="9" s="1"/>
  <c r="O14" i="9" a="1"/>
  <c r="O14" i="9" s="1"/>
  <c r="P14" i="9" s="1"/>
  <c r="O15" i="9" a="1"/>
  <c r="O15" i="9" s="1"/>
  <c r="O16" i="9" a="1"/>
  <c r="O16" i="9" s="1"/>
  <c r="O17" i="9" a="1"/>
  <c r="O17" i="9" s="1"/>
  <c r="O18" i="9" a="1"/>
  <c r="O18" i="9" s="1"/>
  <c r="K18" i="2" s="1"/>
  <c r="O19" i="9" a="1"/>
  <c r="O19" i="9" s="1"/>
  <c r="O20" i="9" a="1"/>
  <c r="O20" i="9" s="1"/>
  <c r="O21" i="9" a="1"/>
  <c r="O21" i="9" s="1"/>
  <c r="P21" i="9" s="1"/>
  <c r="O22" i="9" a="1"/>
  <c r="O22" i="9" s="1"/>
  <c r="O23" i="9" a="1"/>
  <c r="O23" i="9" s="1"/>
  <c r="P23" i="9" s="1"/>
  <c r="O24" i="9" a="1"/>
  <c r="O24" i="9" s="1"/>
  <c r="O26" i="9" a="1"/>
  <c r="O26" i="9" s="1"/>
  <c r="O27" i="9" a="1"/>
  <c r="O27" i="9" s="1"/>
  <c r="O28" i="9" a="1"/>
  <c r="O28" i="9" s="1"/>
  <c r="P28" i="9" s="1"/>
  <c r="O29" i="9" a="1"/>
  <c r="O29" i="9" s="1"/>
  <c r="P29" i="9" s="1"/>
  <c r="O30" i="9" a="1"/>
  <c r="O30" i="9" s="1"/>
  <c r="O31" i="9" a="1"/>
  <c r="O31" i="9" s="1"/>
  <c r="O32" i="9" a="1"/>
  <c r="O32" i="9" s="1"/>
  <c r="O33" i="9" a="1"/>
  <c r="O33" i="9" s="1"/>
  <c r="P33" i="9" s="1"/>
  <c r="R4" i="1" a="1"/>
  <c r="R4" i="1" s="1"/>
  <c r="R5" i="1" a="1"/>
  <c r="R5" i="1" s="1"/>
  <c r="R6" i="1" a="1"/>
  <c r="R6" i="1" s="1"/>
  <c r="J6" i="1" s="1"/>
  <c r="R8" i="1" a="1"/>
  <c r="R8" i="1" s="1"/>
  <c r="R9" i="1" a="1"/>
  <c r="R9" i="1" s="1"/>
  <c r="J9" i="1" s="1"/>
  <c r="R10" i="1" a="1"/>
  <c r="R10" i="1" s="1"/>
  <c r="R11" i="1" a="1"/>
  <c r="R11" i="1" s="1"/>
  <c r="R12" i="1" a="1"/>
  <c r="R12" i="1" s="1"/>
  <c r="S12" i="1" s="1"/>
  <c r="R13" i="1" a="1"/>
  <c r="R13" i="1" s="1"/>
  <c r="S13" i="1" s="1"/>
  <c r="R14" i="1" a="1"/>
  <c r="R14" i="1" s="1"/>
  <c r="S14" i="1" s="1"/>
  <c r="R15" i="1" a="1"/>
  <c r="R15" i="1" s="1"/>
  <c r="R16" i="1" a="1"/>
  <c r="R16" i="1" s="1"/>
  <c r="R17" i="1" a="1"/>
  <c r="R17" i="1" s="1"/>
  <c r="R18" i="1" a="1"/>
  <c r="R18" i="1" s="1"/>
  <c r="S18" i="1" s="1"/>
  <c r="R19" i="1" a="1"/>
  <c r="R19" i="1" s="1"/>
  <c r="S19" i="1" s="1"/>
  <c r="R20" i="1" a="1"/>
  <c r="R20" i="1" s="1"/>
  <c r="J20" i="1" s="1"/>
  <c r="R21" i="1" a="1"/>
  <c r="R21" i="1" s="1"/>
  <c r="R22" i="1" a="1"/>
  <c r="R22" i="1" s="1"/>
  <c r="R23" i="1" a="1"/>
  <c r="R23" i="1" s="1"/>
  <c r="R24" i="1" a="1"/>
  <c r="R24" i="1" s="1"/>
  <c r="R25" i="1" a="1"/>
  <c r="R25" i="1" s="1"/>
  <c r="S25" i="1" s="1"/>
  <c r="R26" i="1" a="1"/>
  <c r="R26" i="1" s="1"/>
  <c r="R27" i="1" a="1"/>
  <c r="R27" i="1" s="1"/>
  <c r="R28" i="1" a="1"/>
  <c r="R28" i="1" s="1"/>
  <c r="R29" i="1" a="1"/>
  <c r="R29" i="1" s="1"/>
  <c r="R30" i="1" a="1"/>
  <c r="R30" i="1" s="1"/>
  <c r="R31" i="1" a="1"/>
  <c r="R31" i="1" s="1"/>
  <c r="R32" i="1" a="1"/>
  <c r="R32" i="1" s="1"/>
  <c r="R33" i="1" a="1"/>
  <c r="R33" i="1" s="1"/>
  <c r="O4" i="8" a="1"/>
  <c r="O4" i="8" s="1"/>
  <c r="N4" i="17" a="1"/>
  <c r="N4" i="17" s="1"/>
  <c r="N5" i="17" a="1"/>
  <c r="N5" i="17" s="1"/>
  <c r="N6" i="17" a="1"/>
  <c r="N6" i="17" s="1"/>
  <c r="N7" i="17" a="1"/>
  <c r="N7" i="17" s="1"/>
  <c r="N8" i="17" a="1"/>
  <c r="N8" i="17" s="1"/>
  <c r="N9" i="17" a="1"/>
  <c r="N9" i="17" s="1"/>
  <c r="N10" i="17" a="1"/>
  <c r="N10" i="17" s="1"/>
  <c r="I10" i="7" s="1"/>
  <c r="N11" i="17" a="1"/>
  <c r="N11" i="17" s="1"/>
  <c r="N12" i="17" a="1"/>
  <c r="N12" i="17" s="1"/>
  <c r="N13" i="17" a="1"/>
  <c r="N13" i="17" s="1"/>
  <c r="N14" i="17" a="1"/>
  <c r="N14" i="17" s="1"/>
  <c r="O14" i="17" s="1"/>
  <c r="N15" i="17" a="1"/>
  <c r="N15" i="17" s="1"/>
  <c r="O15" i="17" s="1"/>
  <c r="N16" i="17" a="1"/>
  <c r="N16" i="17" s="1"/>
  <c r="N17" i="17" a="1"/>
  <c r="N17" i="17" s="1"/>
  <c r="N18" i="17" a="1"/>
  <c r="N18" i="17" s="1"/>
  <c r="N19" i="17" a="1"/>
  <c r="N19" i="17" s="1"/>
  <c r="N20" i="17" a="1"/>
  <c r="N20" i="17" s="1"/>
  <c r="N21" i="17" a="1"/>
  <c r="N21" i="17" s="1"/>
  <c r="H21" i="17" s="1"/>
  <c r="N22" i="17" a="1"/>
  <c r="N22" i="17" s="1"/>
  <c r="H22" i="17" s="1"/>
  <c r="N25" i="17" a="1"/>
  <c r="N25" i="17" s="1"/>
  <c r="O25" i="17" s="1"/>
  <c r="N26" i="17" a="1"/>
  <c r="N26" i="17" s="1"/>
  <c r="N27" i="17" a="1"/>
  <c r="N27" i="17" s="1"/>
  <c r="O27" i="17" s="1"/>
  <c r="N28" i="17" a="1"/>
  <c r="N28" i="17" s="1"/>
  <c r="N29" i="17" a="1"/>
  <c r="N29" i="17" s="1"/>
  <c r="O29" i="17" s="1"/>
  <c r="N30" i="17" a="1"/>
  <c r="N30" i="17" s="1"/>
  <c r="N31" i="17" a="1"/>
  <c r="N31" i="17" s="1"/>
  <c r="I31" i="7" s="1"/>
  <c r="M4" i="5" a="1"/>
  <c r="M4" i="5" s="1"/>
  <c r="J4" i="7" s="1"/>
  <c r="M5" i="5" a="1"/>
  <c r="M5" i="5" s="1"/>
  <c r="J5" i="7" s="1"/>
  <c r="M6" i="5" a="1"/>
  <c r="M6" i="5" s="1"/>
  <c r="M7" i="5" a="1"/>
  <c r="M7" i="5" s="1"/>
  <c r="E7" i="7" s="1"/>
  <c r="M8" i="5" a="1"/>
  <c r="M8" i="5" s="1"/>
  <c r="M9" i="5" a="1"/>
  <c r="M9" i="5" s="1"/>
  <c r="M10" i="5" a="1"/>
  <c r="M10" i="5" s="1"/>
  <c r="H10" i="5" s="1"/>
  <c r="M11" i="5" a="1"/>
  <c r="M11" i="5" s="1"/>
  <c r="M12" i="5" a="1"/>
  <c r="M12" i="5" s="1"/>
  <c r="N12" i="5" s="1"/>
  <c r="M13" i="5" a="1"/>
  <c r="M13" i="5" s="1"/>
  <c r="M14" i="5" a="1"/>
  <c r="M14" i="5" s="1"/>
  <c r="J14" i="7" s="1"/>
  <c r="M15" i="5" a="1"/>
  <c r="M15" i="5" s="1"/>
  <c r="M16" i="5" a="1"/>
  <c r="M16" i="5" s="1"/>
  <c r="J16" i="7" s="1"/>
  <c r="M17" i="5" a="1"/>
  <c r="M17" i="5" s="1"/>
  <c r="J17" i="7" s="1"/>
  <c r="M18" i="5" a="1"/>
  <c r="M18" i="5" s="1"/>
  <c r="M19" i="5" a="1"/>
  <c r="M19" i="5" s="1"/>
  <c r="M20" i="5" a="1"/>
  <c r="M20" i="5" s="1"/>
  <c r="J20" i="7" s="1"/>
  <c r="M21" i="5" a="1"/>
  <c r="M21" i="5" s="1"/>
  <c r="N21" i="5" s="1"/>
  <c r="M22" i="5" a="1"/>
  <c r="M22" i="5" s="1"/>
  <c r="J22" i="7" s="1"/>
  <c r="M25" i="5" a="1"/>
  <c r="M25" i="5" s="1"/>
  <c r="M26" i="5" a="1"/>
  <c r="M26" i="5" s="1"/>
  <c r="M27" i="5" a="1"/>
  <c r="M27" i="5" s="1"/>
  <c r="N27" i="5" s="1"/>
  <c r="M28" i="5" a="1"/>
  <c r="M28" i="5" s="1"/>
  <c r="M29" i="5" a="1"/>
  <c r="M29" i="5" s="1"/>
  <c r="M30" i="5" a="1"/>
  <c r="M30" i="5" s="1"/>
  <c r="J30" i="7" s="1"/>
  <c r="M31" i="5" a="1"/>
  <c r="M31" i="5" s="1"/>
  <c r="M4" i="6" a="1"/>
  <c r="M4" i="6" s="1"/>
  <c r="H4" i="6" s="1"/>
  <c r="M5" i="6" a="1"/>
  <c r="M5" i="6" s="1"/>
  <c r="M6" i="6" a="1"/>
  <c r="M6" i="6" s="1"/>
  <c r="M7" i="6" a="1"/>
  <c r="M7" i="6" s="1"/>
  <c r="M8" i="6" a="1"/>
  <c r="M8" i="6" s="1"/>
  <c r="N8" i="6" s="1"/>
  <c r="M9" i="6" a="1"/>
  <c r="M9" i="6" s="1"/>
  <c r="H9" i="7" s="1"/>
  <c r="M10" i="6" a="1"/>
  <c r="M10" i="6" s="1"/>
  <c r="N10" i="6" s="1"/>
  <c r="M11" i="6" a="1"/>
  <c r="M11" i="6" s="1"/>
  <c r="N11" i="6" s="1"/>
  <c r="M12" i="6" a="1"/>
  <c r="M12" i="6" s="1"/>
  <c r="M13" i="6" a="1"/>
  <c r="M13" i="6" s="1"/>
  <c r="N13" i="6" s="1"/>
  <c r="M14" i="6" a="1"/>
  <c r="M14" i="6" s="1"/>
  <c r="N14" i="6" s="1"/>
  <c r="M15" i="6" a="1"/>
  <c r="M15" i="6" s="1"/>
  <c r="M16" i="6" a="1"/>
  <c r="M16" i="6" s="1"/>
  <c r="N16" i="6" s="1"/>
  <c r="M17" i="6" a="1"/>
  <c r="M17" i="6" s="1"/>
  <c r="H17" i="7" s="1"/>
  <c r="M18" i="6" a="1"/>
  <c r="M18" i="6" s="1"/>
  <c r="N18" i="6" s="1"/>
  <c r="M19" i="6" a="1"/>
  <c r="M19" i="6" s="1"/>
  <c r="M20" i="6" a="1"/>
  <c r="M20" i="6" s="1"/>
  <c r="H20" i="7" s="1"/>
  <c r="M21" i="6" a="1"/>
  <c r="M21" i="6" s="1"/>
  <c r="N21" i="6" s="1"/>
  <c r="M22" i="6" a="1"/>
  <c r="M22" i="6" s="1"/>
  <c r="N22" i="6" s="1"/>
  <c r="M25" i="6" a="1"/>
  <c r="M25" i="6" s="1"/>
  <c r="M26" i="6" a="1"/>
  <c r="M26" i="6" s="1"/>
  <c r="N26" i="6" s="1"/>
  <c r="M27" i="6" a="1"/>
  <c r="M27" i="6" s="1"/>
  <c r="M28" i="6" a="1"/>
  <c r="M28" i="6" s="1"/>
  <c r="M29" i="6" a="1"/>
  <c r="M29" i="6" s="1"/>
  <c r="N29" i="6" s="1"/>
  <c r="M30" i="6" a="1"/>
  <c r="M30" i="6" s="1"/>
  <c r="M31" i="6" a="1"/>
  <c r="M31" i="6" s="1"/>
  <c r="C11" i="4"/>
  <c r="U41" i="21"/>
  <c r="T41" i="21" s="1"/>
  <c r="M25" i="21"/>
  <c r="F5" i="13" s="1" a="1"/>
  <c r="F5" i="13" s="1"/>
  <c r="D6" i="4"/>
  <c r="D7" i="4"/>
  <c r="D8" i="4"/>
  <c r="D9" i="4"/>
  <c r="D10" i="4"/>
  <c r="E6" i="4" a="1"/>
  <c r="E6" i="4" s="1"/>
  <c r="E8" i="4" a="1"/>
  <c r="E8" i="4" s="1"/>
  <c r="E9" i="4" a="1"/>
  <c r="E9" i="4" s="1"/>
  <c r="E10" i="4" a="1"/>
  <c r="E10" i="4" s="1"/>
  <c r="M26" i="21"/>
  <c r="M31" i="21" s="1" a="1"/>
  <c r="M31" i="21" s="1"/>
  <c r="E30" i="3" a="1"/>
  <c r="E30" i="3" s="1"/>
  <c r="E38" i="3" a="1"/>
  <c r="E38" i="3" s="1"/>
  <c r="E6" i="3" a="1"/>
  <c r="E6" i="3" s="1"/>
  <c r="E15" i="3" a="1"/>
  <c r="E15" i="3" s="1"/>
  <c r="E25" i="3" a="1"/>
  <c r="E25" i="3" s="1"/>
  <c r="A2" i="23" a="1"/>
  <c r="A2" i="23" s="1"/>
  <c r="M11" i="16" a="1"/>
  <c r="M11" i="16" s="1"/>
  <c r="M5" i="16" a="1"/>
  <c r="M5" i="16" s="1"/>
  <c r="M10" i="16" a="1"/>
  <c r="M10" i="16" s="1"/>
  <c r="M17" i="16" a="1"/>
  <c r="M17" i="16" s="1"/>
  <c r="G17" i="7" s="1"/>
  <c r="M14" i="16" a="1"/>
  <c r="M14" i="16" s="1"/>
  <c r="N14" i="16" s="1"/>
  <c r="M8" i="16" a="1"/>
  <c r="M8" i="16" s="1"/>
  <c r="G8" i="7" s="1"/>
  <c r="M4" i="16" a="1"/>
  <c r="M4" i="16" s="1"/>
  <c r="M6" i="16" a="1"/>
  <c r="M6" i="16" s="1"/>
  <c r="M29" i="16" a="1"/>
  <c r="M29" i="16" s="1"/>
  <c r="M12" i="16" a="1"/>
  <c r="M12" i="16" s="1"/>
  <c r="N12" i="16" s="1"/>
  <c r="M21" i="16" a="1"/>
  <c r="M21" i="16" s="1"/>
  <c r="N21" i="16" s="1"/>
  <c r="M25" i="16" a="1"/>
  <c r="M25" i="16" s="1"/>
  <c r="M22" i="16" a="1"/>
  <c r="M22" i="16" s="1"/>
  <c r="M16" i="16" a="1"/>
  <c r="M16" i="16" s="1"/>
  <c r="N16" i="16" s="1"/>
  <c r="M26" i="16" a="1"/>
  <c r="M26" i="16" s="1"/>
  <c r="G26" i="7" s="1"/>
  <c r="M19" i="16" a="1"/>
  <c r="M19" i="16" s="1"/>
  <c r="N19" i="16" s="1"/>
  <c r="M15" i="16" a="1"/>
  <c r="M15" i="16" s="1"/>
  <c r="M27" i="16" a="1"/>
  <c r="M27" i="16" s="1"/>
  <c r="M9" i="16" a="1"/>
  <c r="M9" i="16" s="1"/>
  <c r="M7" i="16" a="1"/>
  <c r="M7" i="16" s="1"/>
  <c r="N7" i="16" s="1"/>
  <c r="M13" i="16" a="1"/>
  <c r="M13" i="16" s="1"/>
  <c r="N13" i="16" s="1"/>
  <c r="M28" i="16" a="1"/>
  <c r="M28" i="16" s="1"/>
  <c r="M18" i="16" a="1"/>
  <c r="M18" i="16" s="1"/>
  <c r="M20" i="16" a="1"/>
  <c r="M20" i="16" s="1"/>
  <c r="M30" i="16" a="1"/>
  <c r="M30" i="16" s="1"/>
  <c r="B4" i="7"/>
  <c r="B5" i="7"/>
  <c r="B6" i="7"/>
  <c r="B7" i="7"/>
  <c r="B8" i="7"/>
  <c r="B9" i="7"/>
  <c r="B10" i="7"/>
  <c r="B11" i="7"/>
  <c r="B12" i="7"/>
  <c r="B13" i="7"/>
  <c r="B14" i="7"/>
  <c r="B15" i="7"/>
  <c r="B16" i="7"/>
  <c r="B17" i="7"/>
  <c r="B18" i="7"/>
  <c r="B19" i="7"/>
  <c r="B20" i="7"/>
  <c r="B21" i="7"/>
  <c r="B22" i="7"/>
  <c r="B23" i="7"/>
  <c r="B24" i="7"/>
  <c r="B25" i="7"/>
  <c r="B26" i="7"/>
  <c r="B27" i="7"/>
  <c r="B28" i="7"/>
  <c r="B29" i="7"/>
  <c r="B30" i="7"/>
  <c r="B4" i="17"/>
  <c r="B5" i="17"/>
  <c r="B6" i="17"/>
  <c r="B7" i="17"/>
  <c r="B8" i="17"/>
  <c r="B9" i="17"/>
  <c r="B10" i="17"/>
  <c r="B11" i="17"/>
  <c r="B12" i="17"/>
  <c r="B13" i="17"/>
  <c r="B14" i="17"/>
  <c r="B15" i="17"/>
  <c r="B16" i="17"/>
  <c r="B17" i="17"/>
  <c r="B18" i="17"/>
  <c r="B19" i="17"/>
  <c r="B20" i="17"/>
  <c r="B21" i="17"/>
  <c r="B22" i="17"/>
  <c r="B25" i="17"/>
  <c r="B26" i="17"/>
  <c r="B27" i="17"/>
  <c r="B28" i="17"/>
  <c r="B29" i="17"/>
  <c r="B30" i="17"/>
  <c r="B31" i="17"/>
  <c r="B4" i="5"/>
  <c r="B5" i="5"/>
  <c r="B6" i="5"/>
  <c r="B7" i="5"/>
  <c r="B8" i="5"/>
  <c r="B9" i="5"/>
  <c r="B10" i="5"/>
  <c r="B11" i="5"/>
  <c r="B12" i="5"/>
  <c r="B13" i="5"/>
  <c r="B14" i="5"/>
  <c r="B15" i="5"/>
  <c r="B16" i="5"/>
  <c r="B17" i="5"/>
  <c r="B18" i="5"/>
  <c r="B19" i="5"/>
  <c r="B20" i="5"/>
  <c r="B21" i="5"/>
  <c r="B22" i="5"/>
  <c r="B25" i="5"/>
  <c r="B26" i="5"/>
  <c r="B27" i="5"/>
  <c r="B28" i="5"/>
  <c r="B29" i="5"/>
  <c r="B30" i="5"/>
  <c r="B31" i="5"/>
  <c r="B4" i="6"/>
  <c r="B5" i="6"/>
  <c r="B6" i="6"/>
  <c r="B7" i="6"/>
  <c r="B8" i="6"/>
  <c r="B9" i="6"/>
  <c r="B10" i="6"/>
  <c r="B11" i="6"/>
  <c r="B12" i="6"/>
  <c r="B13" i="6"/>
  <c r="B14" i="6"/>
  <c r="B15" i="6"/>
  <c r="B16" i="6"/>
  <c r="B17" i="6"/>
  <c r="B18" i="6"/>
  <c r="B19" i="6"/>
  <c r="B20" i="6"/>
  <c r="B21" i="6"/>
  <c r="B22" i="6"/>
  <c r="B25" i="6"/>
  <c r="B26" i="6"/>
  <c r="B27" i="6"/>
  <c r="B28" i="6"/>
  <c r="B29" i="6"/>
  <c r="B30" i="6"/>
  <c r="B31" i="6"/>
  <c r="B11" i="16"/>
  <c r="B10" i="16"/>
  <c r="B5" i="16"/>
  <c r="B25" i="16"/>
  <c r="B17" i="16"/>
  <c r="B14" i="16"/>
  <c r="B8" i="16"/>
  <c r="B4" i="16"/>
  <c r="B6" i="16"/>
  <c r="B30" i="16"/>
  <c r="B12" i="16"/>
  <c r="B21" i="16"/>
  <c r="B26" i="16"/>
  <c r="B22" i="16"/>
  <c r="B16" i="16"/>
  <c r="B27" i="16"/>
  <c r="B19" i="16"/>
  <c r="B15" i="16"/>
  <c r="B28" i="16"/>
  <c r="B9" i="16"/>
  <c r="B7" i="16"/>
  <c r="B13" i="16"/>
  <c r="B29" i="16"/>
  <c r="B18" i="16"/>
  <c r="B20" i="16"/>
  <c r="B31" i="16"/>
  <c r="A5" i="7"/>
  <c r="A6" i="7"/>
  <c r="A7" i="7"/>
  <c r="A8" i="7"/>
  <c r="A9" i="7"/>
  <c r="A10" i="7"/>
  <c r="A11" i="7"/>
  <c r="A12" i="7"/>
  <c r="A13" i="7"/>
  <c r="A14" i="7"/>
  <c r="A15" i="7"/>
  <c r="A16" i="7"/>
  <c r="A17" i="7"/>
  <c r="A18" i="7"/>
  <c r="A19" i="7"/>
  <c r="A20" i="7"/>
  <c r="A21" i="7"/>
  <c r="A22" i="7"/>
  <c r="A23" i="7"/>
  <c r="A24" i="7"/>
  <c r="A25" i="7"/>
  <c r="A26" i="7"/>
  <c r="A27" i="7"/>
  <c r="A28" i="7"/>
  <c r="A29" i="7"/>
  <c r="A30" i="7"/>
  <c r="A5" i="17"/>
  <c r="A6" i="17"/>
  <c r="A7" i="17"/>
  <c r="A8" i="17"/>
  <c r="A9" i="17"/>
  <c r="A10" i="17"/>
  <c r="A11" i="17"/>
  <c r="A12" i="17"/>
  <c r="A13" i="17"/>
  <c r="A14" i="17"/>
  <c r="A15" i="17"/>
  <c r="A16" i="17"/>
  <c r="A17" i="17"/>
  <c r="A18" i="17"/>
  <c r="A19" i="17"/>
  <c r="A20" i="17"/>
  <c r="A21" i="17"/>
  <c r="A22" i="17"/>
  <c r="A25" i="17"/>
  <c r="A26" i="17"/>
  <c r="A27" i="17"/>
  <c r="A28" i="17"/>
  <c r="A29" i="17"/>
  <c r="A30" i="17"/>
  <c r="A31" i="17"/>
  <c r="A5" i="5"/>
  <c r="A6" i="5"/>
  <c r="A7" i="5"/>
  <c r="A8" i="5"/>
  <c r="A9" i="5"/>
  <c r="A10" i="5"/>
  <c r="A11" i="5"/>
  <c r="A12" i="5"/>
  <c r="A13" i="5"/>
  <c r="A14" i="5"/>
  <c r="A15" i="5"/>
  <c r="A16" i="5"/>
  <c r="A17" i="5"/>
  <c r="A18" i="5"/>
  <c r="A19" i="5"/>
  <c r="A20" i="5"/>
  <c r="A21" i="5"/>
  <c r="A22" i="5"/>
  <c r="A25" i="5"/>
  <c r="A26" i="5"/>
  <c r="A27" i="5"/>
  <c r="A28" i="5"/>
  <c r="A29" i="5"/>
  <c r="A30" i="5"/>
  <c r="A31" i="5"/>
  <c r="A5" i="6"/>
  <c r="A6" i="6"/>
  <c r="A7" i="6"/>
  <c r="A8" i="6"/>
  <c r="A9" i="6"/>
  <c r="A10" i="6"/>
  <c r="A11" i="6"/>
  <c r="A12" i="6"/>
  <c r="A13" i="6"/>
  <c r="A14" i="6"/>
  <c r="A15" i="6"/>
  <c r="A16" i="6"/>
  <c r="A17" i="6"/>
  <c r="A18" i="6"/>
  <c r="A19" i="6"/>
  <c r="A20" i="6"/>
  <c r="A21" i="6"/>
  <c r="A22" i="6"/>
  <c r="A25" i="6"/>
  <c r="A26" i="6"/>
  <c r="A27" i="6"/>
  <c r="A28" i="6"/>
  <c r="A29" i="6"/>
  <c r="A30" i="6"/>
  <c r="A31" i="6"/>
  <c r="A4" i="7"/>
  <c r="A4" i="17"/>
  <c r="A4" i="5"/>
  <c r="A4" i="6"/>
  <c r="A11" i="16"/>
  <c r="A10" i="16"/>
  <c r="A25" i="16"/>
  <c r="A17" i="16"/>
  <c r="A14" i="16"/>
  <c r="A8" i="16"/>
  <c r="A4" i="16"/>
  <c r="A6" i="16"/>
  <c r="A30" i="16"/>
  <c r="A12" i="16"/>
  <c r="A21" i="16"/>
  <c r="A26" i="16"/>
  <c r="A22" i="16"/>
  <c r="A16" i="16"/>
  <c r="A27" i="16"/>
  <c r="A19" i="16"/>
  <c r="A15" i="16"/>
  <c r="A28" i="16"/>
  <c r="A9" i="16"/>
  <c r="A7" i="16"/>
  <c r="A13" i="16"/>
  <c r="A29" i="16"/>
  <c r="A18" i="16"/>
  <c r="A20" i="16"/>
  <c r="A31" i="16"/>
  <c r="K52" i="12"/>
  <c r="K52" i="11"/>
  <c r="V42" i="21" s="1"/>
  <c r="K52" i="9"/>
  <c r="C5" i="2"/>
  <c r="D5" i="2"/>
  <c r="C6" i="2"/>
  <c r="D6" i="2"/>
  <c r="C8" i="2"/>
  <c r="D8" i="2"/>
  <c r="C9" i="2"/>
  <c r="D9" i="2"/>
  <c r="C10" i="2"/>
  <c r="D10" i="2"/>
  <c r="C11" i="2"/>
  <c r="D11" i="2"/>
  <c r="C12" i="2"/>
  <c r="D12" i="2"/>
  <c r="C13" i="2"/>
  <c r="D13" i="2"/>
  <c r="C14" i="2"/>
  <c r="D14" i="2"/>
  <c r="C15" i="2"/>
  <c r="D15" i="2"/>
  <c r="C16" i="2"/>
  <c r="D16" i="2"/>
  <c r="C17" i="2"/>
  <c r="D17" i="2"/>
  <c r="C18" i="2"/>
  <c r="D18" i="2"/>
  <c r="C19" i="2"/>
  <c r="D19" i="2"/>
  <c r="C20" i="2"/>
  <c r="D20" i="2"/>
  <c r="C21" i="2"/>
  <c r="D21" i="2"/>
  <c r="C22" i="2"/>
  <c r="D22" i="2"/>
  <c r="C23" i="2"/>
  <c r="D23" i="2"/>
  <c r="C24" i="2"/>
  <c r="D24" i="2"/>
  <c r="C25" i="2"/>
  <c r="D25" i="2"/>
  <c r="C26" i="2"/>
  <c r="D26" i="2"/>
  <c r="C27" i="2"/>
  <c r="D27" i="2"/>
  <c r="C28" i="2"/>
  <c r="D28" i="2"/>
  <c r="C29" i="2"/>
  <c r="D29" i="2"/>
  <c r="C30" i="2"/>
  <c r="D30" i="2"/>
  <c r="C31" i="2"/>
  <c r="D31" i="2"/>
  <c r="C32" i="2"/>
  <c r="D32" i="2"/>
  <c r="C33" i="2"/>
  <c r="D33" i="2"/>
  <c r="E5" i="12"/>
  <c r="F5" i="12"/>
  <c r="E6" i="12"/>
  <c r="F6" i="12"/>
  <c r="E8" i="12"/>
  <c r="F8" i="12"/>
  <c r="E9" i="12"/>
  <c r="F9" i="12"/>
  <c r="E10" i="12"/>
  <c r="F10" i="12"/>
  <c r="E11" i="12"/>
  <c r="F11" i="12"/>
  <c r="E12" i="12"/>
  <c r="F12" i="12"/>
  <c r="E13" i="12"/>
  <c r="F13" i="12"/>
  <c r="E14" i="12"/>
  <c r="F14" i="12"/>
  <c r="E15" i="12"/>
  <c r="F15" i="12"/>
  <c r="E16" i="12"/>
  <c r="F16" i="12"/>
  <c r="E17" i="12"/>
  <c r="F17" i="12"/>
  <c r="E18" i="12"/>
  <c r="F18" i="12"/>
  <c r="E19" i="12"/>
  <c r="F19" i="12"/>
  <c r="E20" i="12"/>
  <c r="F20" i="12"/>
  <c r="E21" i="12"/>
  <c r="F21" i="12"/>
  <c r="E22" i="12"/>
  <c r="F22" i="12"/>
  <c r="E23" i="12"/>
  <c r="F23" i="12"/>
  <c r="E24" i="12"/>
  <c r="F24" i="12"/>
  <c r="E25" i="12"/>
  <c r="F25" i="12"/>
  <c r="E26" i="12"/>
  <c r="F26" i="12"/>
  <c r="E27" i="12"/>
  <c r="F27" i="12"/>
  <c r="E28" i="12"/>
  <c r="F28" i="12"/>
  <c r="E29" i="12"/>
  <c r="F29" i="12"/>
  <c r="E30" i="12"/>
  <c r="F30" i="12"/>
  <c r="E31" i="12"/>
  <c r="F31" i="12"/>
  <c r="E32" i="12"/>
  <c r="F32" i="12"/>
  <c r="E33" i="12"/>
  <c r="F33" i="12"/>
  <c r="E5" i="11"/>
  <c r="F5" i="11"/>
  <c r="E6" i="11"/>
  <c r="F6" i="11"/>
  <c r="E8" i="11"/>
  <c r="F8" i="11"/>
  <c r="E9" i="11"/>
  <c r="F9" i="11"/>
  <c r="E10" i="11"/>
  <c r="F10" i="11"/>
  <c r="E11" i="11"/>
  <c r="F11" i="11"/>
  <c r="E12" i="11"/>
  <c r="F12" i="11"/>
  <c r="E13" i="11"/>
  <c r="F13" i="11"/>
  <c r="E14" i="11"/>
  <c r="F14" i="11"/>
  <c r="E15" i="11"/>
  <c r="F15" i="11"/>
  <c r="E16" i="11"/>
  <c r="F16" i="11"/>
  <c r="E17" i="11"/>
  <c r="F17" i="11"/>
  <c r="E18" i="11"/>
  <c r="F18" i="1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5" i="10"/>
  <c r="F5" i="10"/>
  <c r="E6" i="10"/>
  <c r="F6" i="10"/>
  <c r="E8" i="10"/>
  <c r="F8" i="10"/>
  <c r="E9" i="10"/>
  <c r="F9" i="10"/>
  <c r="E10" i="10"/>
  <c r="F10" i="10"/>
  <c r="E11" i="10"/>
  <c r="F11" i="10"/>
  <c r="E12" i="10"/>
  <c r="F12" i="10"/>
  <c r="E13" i="10"/>
  <c r="F13" i="10"/>
  <c r="E14" i="10"/>
  <c r="F14" i="10"/>
  <c r="E15" i="10"/>
  <c r="F15" i="10"/>
  <c r="E16" i="10"/>
  <c r="F16" i="10"/>
  <c r="E17" i="10"/>
  <c r="F17" i="10"/>
  <c r="E18" i="10"/>
  <c r="F18" i="10"/>
  <c r="E19" i="10"/>
  <c r="F19" i="10"/>
  <c r="E20" i="10"/>
  <c r="F20" i="10"/>
  <c r="E21" i="10"/>
  <c r="F21" i="10"/>
  <c r="E22" i="10"/>
  <c r="F22" i="10"/>
  <c r="E23" i="10"/>
  <c r="F23" i="10"/>
  <c r="E24" i="10"/>
  <c r="F24" i="10"/>
  <c r="E25" i="10"/>
  <c r="F25" i="10"/>
  <c r="E26" i="10"/>
  <c r="F26" i="10"/>
  <c r="E27" i="10"/>
  <c r="F27" i="10"/>
  <c r="E28" i="10"/>
  <c r="F28" i="10"/>
  <c r="E29" i="10"/>
  <c r="F29" i="10"/>
  <c r="E30" i="10"/>
  <c r="F30" i="10"/>
  <c r="E31" i="10"/>
  <c r="F31" i="10"/>
  <c r="E32" i="10"/>
  <c r="F32" i="10"/>
  <c r="E33" i="10"/>
  <c r="F33" i="10"/>
  <c r="E5" i="9"/>
  <c r="F5" i="9"/>
  <c r="E6" i="9"/>
  <c r="F6" i="9"/>
  <c r="E8" i="9"/>
  <c r="F8" i="9"/>
  <c r="E9" i="9"/>
  <c r="F9" i="9"/>
  <c r="E10" i="9"/>
  <c r="F10" i="9"/>
  <c r="E11" i="9"/>
  <c r="F11" i="9"/>
  <c r="E12" i="9"/>
  <c r="F12" i="9"/>
  <c r="E13" i="9"/>
  <c r="F13" i="9"/>
  <c r="E14" i="9"/>
  <c r="F14" i="9"/>
  <c r="E15" i="9"/>
  <c r="F15" i="9"/>
  <c r="E16" i="9"/>
  <c r="F16" i="9"/>
  <c r="E17" i="9"/>
  <c r="F17" i="9"/>
  <c r="E18" i="9"/>
  <c r="F18" i="9"/>
  <c r="E19" i="9"/>
  <c r="F19" i="9"/>
  <c r="E20" i="9"/>
  <c r="F20" i="9"/>
  <c r="E21" i="9"/>
  <c r="F21" i="9"/>
  <c r="E22" i="9"/>
  <c r="F22" i="9"/>
  <c r="E23" i="9"/>
  <c r="F23" i="9"/>
  <c r="E24" i="9"/>
  <c r="F24" i="9"/>
  <c r="E25" i="9"/>
  <c r="F25" i="9"/>
  <c r="E26" i="9"/>
  <c r="F26" i="9"/>
  <c r="E27" i="9"/>
  <c r="F27" i="9"/>
  <c r="E28" i="9"/>
  <c r="F28" i="9"/>
  <c r="E29" i="9"/>
  <c r="F29" i="9"/>
  <c r="E30" i="9"/>
  <c r="F30" i="9"/>
  <c r="E31" i="9"/>
  <c r="F31" i="9"/>
  <c r="E32" i="9"/>
  <c r="F32" i="9"/>
  <c r="E33" i="9"/>
  <c r="F33" i="9"/>
  <c r="E5" i="1"/>
  <c r="F5" i="1"/>
  <c r="E6" i="1"/>
  <c r="F6" i="1"/>
  <c r="E8" i="1"/>
  <c r="F8" i="1"/>
  <c r="E9" i="1"/>
  <c r="F9" i="1"/>
  <c r="E10" i="1"/>
  <c r="F10" i="1"/>
  <c r="E11" i="1"/>
  <c r="F11" i="1"/>
  <c r="E12" i="1"/>
  <c r="F12" i="1"/>
  <c r="E13" i="1"/>
  <c r="F13" i="1"/>
  <c r="E14" i="1"/>
  <c r="F14" i="1"/>
  <c r="E15" i="1"/>
  <c r="F15" i="1"/>
  <c r="E16" i="1"/>
  <c r="F16" i="1"/>
  <c r="E17" i="1"/>
  <c r="F17" i="1"/>
  <c r="E18" i="1"/>
  <c r="F18" i="1"/>
  <c r="E19" i="1"/>
  <c r="F19" i="1"/>
  <c r="E20" i="1"/>
  <c r="F20" i="1"/>
  <c r="E21" i="1"/>
  <c r="F21" i="1"/>
  <c r="E22" i="1"/>
  <c r="F22" i="1"/>
  <c r="E23" i="1"/>
  <c r="F23" i="1"/>
  <c r="E24" i="1"/>
  <c r="F24" i="1"/>
  <c r="E25" i="1"/>
  <c r="F25" i="1"/>
  <c r="E26" i="1"/>
  <c r="F26" i="1"/>
  <c r="E27" i="1"/>
  <c r="F27" i="1"/>
  <c r="E28" i="1"/>
  <c r="F28" i="1"/>
  <c r="E29" i="1"/>
  <c r="F29" i="1"/>
  <c r="E30" i="1"/>
  <c r="F30" i="1"/>
  <c r="E31" i="1"/>
  <c r="F31" i="1"/>
  <c r="E32" i="1"/>
  <c r="F32" i="1"/>
  <c r="E33" i="1"/>
  <c r="F33" i="1"/>
  <c r="D4" i="2"/>
  <c r="C4" i="2"/>
  <c r="F4" i="12"/>
  <c r="E4" i="12"/>
  <c r="F4" i="11"/>
  <c r="E4" i="11"/>
  <c r="F4" i="10"/>
  <c r="E4" i="10"/>
  <c r="F4" i="9"/>
  <c r="E4" i="9"/>
  <c r="F4" i="1"/>
  <c r="E4" i="1"/>
  <c r="E5" i="8"/>
  <c r="F5" i="8"/>
  <c r="E6" i="8"/>
  <c r="F6" i="8"/>
  <c r="E8" i="8"/>
  <c r="F8" i="8"/>
  <c r="E9" i="8"/>
  <c r="F9" i="8"/>
  <c r="E10" i="8"/>
  <c r="F10" i="8"/>
  <c r="E11" i="8"/>
  <c r="F11" i="8"/>
  <c r="E12" i="8"/>
  <c r="F12" i="8"/>
  <c r="E13" i="8"/>
  <c r="F13" i="8"/>
  <c r="E14" i="8"/>
  <c r="F14" i="8"/>
  <c r="E15" i="8"/>
  <c r="F15" i="8"/>
  <c r="E16" i="8"/>
  <c r="F16" i="8"/>
  <c r="E17" i="8"/>
  <c r="F17" i="8"/>
  <c r="E18" i="8"/>
  <c r="F18" i="8"/>
  <c r="E19" i="8"/>
  <c r="F19" i="8"/>
  <c r="E20" i="8"/>
  <c r="F20" i="8"/>
  <c r="E21" i="8"/>
  <c r="F21" i="8"/>
  <c r="E22" i="8"/>
  <c r="F22" i="8"/>
  <c r="E23" i="8"/>
  <c r="F23" i="8"/>
  <c r="E24" i="8"/>
  <c r="F24" i="8"/>
  <c r="E25" i="8"/>
  <c r="F25" i="8"/>
  <c r="E26" i="8"/>
  <c r="F26" i="8"/>
  <c r="E27" i="8"/>
  <c r="F27" i="8"/>
  <c r="E28" i="8"/>
  <c r="F28" i="8"/>
  <c r="E29" i="8"/>
  <c r="F29" i="8"/>
  <c r="E30" i="8"/>
  <c r="F30" i="8"/>
  <c r="E31" i="8"/>
  <c r="F31" i="8"/>
  <c r="E32" i="8"/>
  <c r="F32" i="8"/>
  <c r="E33" i="8"/>
  <c r="F33" i="8"/>
  <c r="F4" i="8"/>
  <c r="E4" i="8"/>
  <c r="G33" i="1"/>
  <c r="G32" i="1"/>
  <c r="G31" i="8"/>
  <c r="G30" i="8"/>
  <c r="G29" i="11"/>
  <c r="G28" i="10"/>
  <c r="G27" i="11"/>
  <c r="G26" i="9"/>
  <c r="G25" i="8"/>
  <c r="G24" i="11"/>
  <c r="E23" i="2"/>
  <c r="G22" i="1"/>
  <c r="G21" i="10"/>
  <c r="G20" i="10"/>
  <c r="G19" i="10"/>
  <c r="G18" i="10"/>
  <c r="G17" i="1"/>
  <c r="G16" i="8"/>
  <c r="G15" i="9"/>
  <c r="E14" i="2"/>
  <c r="G13" i="8"/>
  <c r="E12" i="2"/>
  <c r="G11" i="9"/>
  <c r="G10" i="12"/>
  <c r="G9" i="8"/>
  <c r="G8" i="8"/>
  <c r="G6" i="8"/>
  <c r="G5" i="9"/>
  <c r="G4" i="11"/>
  <c r="K52" i="1"/>
  <c r="I79" i="17"/>
  <c r="I79" i="5"/>
  <c r="I79" i="6"/>
  <c r="I79" i="16"/>
  <c r="D29" i="7"/>
  <c r="D5" i="7"/>
  <c r="D7" i="7"/>
  <c r="D30" i="7"/>
  <c r="D6" i="7"/>
  <c r="D10" i="7"/>
  <c r="D9" i="7"/>
  <c r="D8" i="7"/>
  <c r="D14" i="7"/>
  <c r="D20" i="7"/>
  <c r="D19" i="7"/>
  <c r="D18" i="7"/>
  <c r="D17" i="7"/>
  <c r="D16" i="7"/>
  <c r="D15" i="7"/>
  <c r="D27" i="7"/>
  <c r="D21" i="7"/>
  <c r="D13" i="7"/>
  <c r="D12" i="7"/>
  <c r="D4" i="7"/>
  <c r="D11" i="7"/>
  <c r="D26" i="7"/>
  <c r="D25" i="7"/>
  <c r="D24" i="7"/>
  <c r="D23" i="7"/>
  <c r="D28" i="7"/>
  <c r="D22" i="7"/>
  <c r="G23" i="1"/>
  <c r="G18" i="1"/>
  <c r="G23" i="11"/>
  <c r="G15" i="10"/>
  <c r="L52" i="8"/>
  <c r="E11" i="13" s="1"/>
  <c r="N52" i="8"/>
  <c r="N2" i="8" s="1" a="1"/>
  <c r="N2" i="8" s="1"/>
  <c r="M52" i="8"/>
  <c r="M2" i="8" s="1" a="1"/>
  <c r="M2" i="8" s="1"/>
  <c r="F9" i="7"/>
  <c r="F8" i="7"/>
  <c r="F7" i="7"/>
  <c r="F23" i="7"/>
  <c r="F11" i="7"/>
  <c r="F12" i="7"/>
  <c r="F28" i="7"/>
  <c r="F14" i="7"/>
  <c r="F18" i="7"/>
  <c r="F24" i="7"/>
  <c r="F19" i="7"/>
  <c r="F26" i="7"/>
  <c r="F25" i="7"/>
  <c r="F27" i="7"/>
  <c r="F17" i="7"/>
  <c r="F30" i="7"/>
  <c r="F5" i="7"/>
  <c r="F20" i="7"/>
  <c r="F22" i="7"/>
  <c r="F16" i="7"/>
  <c r="F10" i="7"/>
  <c r="F13" i="7"/>
  <c r="F6" i="7"/>
  <c r="F29" i="7"/>
  <c r="F21" i="7"/>
  <c r="F15" i="7"/>
  <c r="F4" i="7"/>
  <c r="H22" i="2"/>
  <c r="H10" i="2"/>
  <c r="H21" i="2"/>
  <c r="H26" i="2"/>
  <c r="H20" i="2"/>
  <c r="H8" i="2"/>
  <c r="H19" i="2"/>
  <c r="H9" i="2"/>
  <c r="H27" i="2"/>
  <c r="H25" i="2"/>
  <c r="H24" i="2"/>
  <c r="H23" i="2"/>
  <c r="H6" i="2"/>
  <c r="H28" i="2"/>
  <c r="H15" i="2"/>
  <c r="H14" i="2"/>
  <c r="H11" i="2"/>
  <c r="H18" i="2"/>
  <c r="H30" i="2"/>
  <c r="H16" i="2"/>
  <c r="H12" i="2"/>
  <c r="H5" i="2"/>
  <c r="H17" i="2"/>
  <c r="H31" i="2"/>
  <c r="H29" i="2"/>
  <c r="H32" i="2"/>
  <c r="H4" i="2"/>
  <c r="E7" i="4" a="1"/>
  <c r="E7" i="4" s="1"/>
  <c r="G28" i="12"/>
  <c r="G28" i="11"/>
  <c r="G28" i="9"/>
  <c r="E28" i="2"/>
  <c r="G12" i="1"/>
  <c r="G31" i="11"/>
  <c r="G31" i="12"/>
  <c r="G31" i="10"/>
  <c r="E31" i="2"/>
  <c r="G15" i="8"/>
  <c r="G13" i="11"/>
  <c r="E21" i="2"/>
  <c r="H22" i="16"/>
  <c r="H22" i="6"/>
  <c r="H25" i="16"/>
  <c r="H10" i="16"/>
  <c r="H10" i="6"/>
  <c r="H4" i="16"/>
  <c r="H5" i="16"/>
  <c r="H11" i="16"/>
  <c r="H21" i="16"/>
  <c r="H15" i="16"/>
  <c r="H13" i="16"/>
  <c r="H18" i="16"/>
  <c r="H9" i="16"/>
  <c r="H28" i="16"/>
  <c r="H30" i="16"/>
  <c r="H19" i="16"/>
  <c r="H27" i="16"/>
  <c r="H16" i="16"/>
  <c r="H7" i="16"/>
  <c r="H26" i="16"/>
  <c r="H12" i="16"/>
  <c r="H8" i="16"/>
  <c r="H14" i="16"/>
  <c r="H20" i="16"/>
  <c r="H20" i="6"/>
  <c r="H17" i="16"/>
  <c r="H29" i="16"/>
  <c r="H6" i="16"/>
  <c r="G9" i="12"/>
  <c r="G15" i="12"/>
  <c r="G17" i="10"/>
  <c r="G28" i="8"/>
  <c r="G28" i="1"/>
  <c r="G31" i="9"/>
  <c r="G26" i="8"/>
  <c r="G9" i="11"/>
  <c r="G16" i="9"/>
  <c r="G9" i="10"/>
  <c r="G9" i="1"/>
  <c r="G27" i="9"/>
  <c r="G9" i="9"/>
  <c r="E27" i="2"/>
  <c r="H33" i="2"/>
  <c r="E13" i="2"/>
  <c r="G18" i="8"/>
  <c r="G13" i="12"/>
  <c r="G14" i="10"/>
  <c r="G13" i="9"/>
  <c r="G14" i="8"/>
  <c r="G19" i="9"/>
  <c r="G24" i="8"/>
  <c r="G6" i="1"/>
  <c r="G31" i="1"/>
  <c r="G13" i="1"/>
  <c r="E20" i="2"/>
  <c r="G24" i="1"/>
  <c r="G24" i="9"/>
  <c r="G21" i="1"/>
  <c r="G27" i="10"/>
  <c r="G11" i="8"/>
  <c r="E9" i="2"/>
  <c r="G23" i="12"/>
  <c r="G30" i="1"/>
  <c r="G13" i="10"/>
  <c r="E30" i="2"/>
  <c r="G24" i="12"/>
  <c r="G21" i="11"/>
  <c r="E5" i="2"/>
  <c r="E18" i="2"/>
  <c r="G12" i="12"/>
  <c r="G26" i="12"/>
  <c r="G25" i="10"/>
  <c r="E10" i="2"/>
  <c r="G25" i="9"/>
  <c r="G33" i="8"/>
  <c r="G5" i="12"/>
  <c r="G5" i="11"/>
  <c r="G6" i="9"/>
  <c r="G21" i="9"/>
  <c r="G21" i="8"/>
  <c r="G26" i="11"/>
  <c r="G12" i="11"/>
  <c r="G11" i="10"/>
  <c r="E26" i="2"/>
  <c r="G12" i="8"/>
  <c r="G21" i="12"/>
  <c r="G20" i="8"/>
  <c r="G5" i="10"/>
  <c r="G12" i="10"/>
  <c r="G25" i="11"/>
  <c r="G23" i="10"/>
  <c r="G12" i="9"/>
  <c r="G20" i="9"/>
  <c r="E15" i="2"/>
  <c r="G18" i="9"/>
  <c r="G23" i="8"/>
  <c r="G15" i="1"/>
  <c r="G23" i="9"/>
  <c r="E16" i="2"/>
  <c r="G26" i="1"/>
  <c r="E24" i="2"/>
  <c r="G5" i="1"/>
  <c r="G19" i="8"/>
  <c r="G30" i="10"/>
  <c r="G30" i="11"/>
  <c r="G30" i="12"/>
  <c r="E8" i="2"/>
  <c r="G27" i="12"/>
  <c r="G14" i="9"/>
  <c r="G4" i="8"/>
  <c r="G10" i="1"/>
  <c r="G17" i="12"/>
  <c r="G8" i="10"/>
  <c r="G27" i="1"/>
  <c r="G6" i="12"/>
  <c r="G8" i="9"/>
  <c r="G4" i="1"/>
  <c r="G27" i="8"/>
  <c r="G29" i="10"/>
  <c r="G20" i="12"/>
  <c r="G4" i="10"/>
  <c r="G17" i="9"/>
  <c r="G8" i="1"/>
  <c r="G4" i="9"/>
  <c r="G16" i="12"/>
  <c r="G8" i="11"/>
  <c r="G22" i="12"/>
  <c r="G18" i="12"/>
  <c r="G29" i="9"/>
  <c r="G22" i="8"/>
  <c r="E6" i="2"/>
  <c r="E19" i="2"/>
  <c r="E29" i="2"/>
  <c r="G16" i="11"/>
  <c r="G19" i="12"/>
  <c r="G17" i="11"/>
  <c r="G8" i="12"/>
  <c r="G20" i="11"/>
  <c r="G30" i="9"/>
  <c r="G22" i="11"/>
  <c r="G29" i="12"/>
  <c r="G17" i="8"/>
  <c r="G33" i="11"/>
  <c r="G33" i="12"/>
  <c r="E33" i="2"/>
  <c r="G19" i="1"/>
  <c r="G6" i="11"/>
  <c r="G29" i="1"/>
  <c r="G20" i="1"/>
  <c r="G15" i="11"/>
  <c r="G16" i="10"/>
  <c r="G18" i="11"/>
  <c r="G4" i="12"/>
  <c r="G33" i="10"/>
  <c r="G22" i="10"/>
  <c r="G19" i="11"/>
  <c r="E25" i="2"/>
  <c r="G32" i="10"/>
  <c r="G10" i="8"/>
  <c r="E22" i="2"/>
  <c r="G32" i="8"/>
  <c r="G33" i="9"/>
  <c r="E11" i="2"/>
  <c r="G6" i="10"/>
  <c r="G14" i="1"/>
  <c r="G32" i="11"/>
  <c r="G11" i="11"/>
  <c r="G32" i="12"/>
  <c r="G11" i="12"/>
  <c r="E32" i="2"/>
  <c r="G22" i="9"/>
  <c r="G26" i="10"/>
  <c r="G29" i="8"/>
  <c r="E17" i="2"/>
  <c r="G11" i="1"/>
  <c r="G32" i="9"/>
  <c r="G16" i="1"/>
  <c r="E4" i="2"/>
  <c r="G5" i="8"/>
  <c r="G10" i="10"/>
  <c r="G14" i="12"/>
  <c r="G25" i="1"/>
  <c r="G10" i="9"/>
  <c r="G10" i="11"/>
  <c r="G25" i="12"/>
  <c r="G24" i="10"/>
  <c r="G14" i="11"/>
  <c r="K52" i="10"/>
  <c r="H10" i="17"/>
  <c r="H30" i="6"/>
  <c r="H7" i="6"/>
  <c r="H26" i="6"/>
  <c r="H8" i="6"/>
  <c r="H18" i="6"/>
  <c r="H19" i="6"/>
  <c r="H27" i="6"/>
  <c r="H21" i="6"/>
  <c r="H28" i="6"/>
  <c r="H9" i="6"/>
  <c r="H29" i="6"/>
  <c r="H9" i="17"/>
  <c r="H7" i="17"/>
  <c r="H8" i="17"/>
  <c r="H68" i="6" l="1"/>
  <c r="A18" i="28"/>
  <c r="N18" i="20"/>
  <c r="A13" i="28"/>
  <c r="N13" i="20"/>
  <c r="E41" i="3" a="1"/>
  <c r="E41" i="3" s="1"/>
  <c r="N10" i="20"/>
  <c r="A7" i="2"/>
  <c r="N7" i="20"/>
  <c r="J12" i="1"/>
  <c r="Y29" i="21" a="1"/>
  <c r="Y29" i="21" s="1"/>
  <c r="Y30" i="21" a="1"/>
  <c r="Y30" i="21" s="1"/>
  <c r="Y32" i="21" a="1"/>
  <c r="Y32" i="21" s="1"/>
  <c r="Y31" i="21" a="1"/>
  <c r="Y31" i="21" s="1"/>
  <c r="Y28" i="21" a="1"/>
  <c r="Y28" i="21" s="1"/>
  <c r="D11" i="4"/>
  <c r="G69" i="7"/>
  <c r="N8" i="16"/>
  <c r="N67" i="16"/>
  <c r="H73" i="16"/>
  <c r="N59" i="16"/>
  <c r="H74" i="16"/>
  <c r="N73" i="16"/>
  <c r="H77" i="16"/>
  <c r="N69" i="16"/>
  <c r="G46" i="7"/>
  <c r="N46" i="16"/>
  <c r="N6" i="16"/>
  <c r="G6" i="7"/>
  <c r="G33" i="7"/>
  <c r="H67" i="16"/>
  <c r="H44" i="6"/>
  <c r="H44" i="5" s="1"/>
  <c r="G31" i="7"/>
  <c r="G12" i="7"/>
  <c r="H31" i="16"/>
  <c r="N26" i="16"/>
  <c r="G23" i="7"/>
  <c r="N50" i="16"/>
  <c r="G16" i="7"/>
  <c r="G24" i="7"/>
  <c r="G77" i="7"/>
  <c r="E4" i="3" a="1"/>
  <c r="E4" i="3" s="1"/>
  <c r="A44" i="20"/>
  <c r="N44" i="20" s="1"/>
  <c r="J50" i="1"/>
  <c r="G68" i="7"/>
  <c r="N68" i="16"/>
  <c r="G54" i="7"/>
  <c r="N54" i="16"/>
  <c r="H54" i="16"/>
  <c r="H34" i="16"/>
  <c r="H34" i="6" s="1"/>
  <c r="G34" i="7"/>
  <c r="H49" i="16"/>
  <c r="H49" i="6" s="1"/>
  <c r="H49" i="17" s="1"/>
  <c r="G49" i="7"/>
  <c r="N49" i="16"/>
  <c r="G72" i="7"/>
  <c r="N72" i="16"/>
  <c r="H72" i="16"/>
  <c r="N62" i="16"/>
  <c r="H62" i="16"/>
  <c r="G62" i="7"/>
  <c r="G4" i="7"/>
  <c r="N4" i="16"/>
  <c r="N20" i="16"/>
  <c r="G20" i="7"/>
  <c r="H70" i="16"/>
  <c r="G70" i="7"/>
  <c r="N70" i="16"/>
  <c r="G11" i="7"/>
  <c r="N11" i="16"/>
  <c r="G58" i="7"/>
  <c r="N58" i="16"/>
  <c r="H58" i="16"/>
  <c r="N9" i="16"/>
  <c r="G9" i="7"/>
  <c r="N42" i="16"/>
  <c r="H42" i="16"/>
  <c r="H42" i="6" s="1"/>
  <c r="H42" i="5" s="1"/>
  <c r="G42" i="7"/>
  <c r="N27" i="16"/>
  <c r="G27" i="7"/>
  <c r="N63" i="16"/>
  <c r="G63" i="7"/>
  <c r="H63" i="16"/>
  <c r="G37" i="7"/>
  <c r="H37" i="16"/>
  <c r="H37" i="6" s="1"/>
  <c r="N37" i="16"/>
  <c r="G25" i="7"/>
  <c r="N25" i="16"/>
  <c r="Z2" i="26" a="1"/>
  <c r="Z2" i="26" s="1"/>
  <c r="S2" i="26" a="1"/>
  <c r="S2" i="26" s="1"/>
  <c r="N35" i="16"/>
  <c r="L2" i="26" a="1"/>
  <c r="L2" i="26" s="1"/>
  <c r="N17" i="16"/>
  <c r="H66" i="16"/>
  <c r="N38" i="16"/>
  <c r="N33" i="16"/>
  <c r="N66" i="16"/>
  <c r="N45" i="16"/>
  <c r="O34" i="17"/>
  <c r="H46" i="16"/>
  <c r="H46" i="6" s="1"/>
  <c r="G21" i="7"/>
  <c r="G7" i="7"/>
  <c r="H78" i="16"/>
  <c r="H45" i="16"/>
  <c r="H45" i="6" s="1"/>
  <c r="H45" i="5" s="1"/>
  <c r="M1" i="26"/>
  <c r="N78" i="16"/>
  <c r="H40" i="6"/>
  <c r="H40" i="17" s="1"/>
  <c r="P1" i="26"/>
  <c r="R1" i="26"/>
  <c r="G13" i="7"/>
  <c r="I29" i="7"/>
  <c r="G19" i="7"/>
  <c r="U1" i="26"/>
  <c r="F79" i="7"/>
  <c r="G50" i="7"/>
  <c r="AA1" i="26"/>
  <c r="H26" i="17"/>
  <c r="N46" i="6"/>
  <c r="E60" i="7"/>
  <c r="J60" i="7"/>
  <c r="N29" i="2"/>
  <c r="N28" i="2"/>
  <c r="N31" i="2"/>
  <c r="N2" i="12" a="1"/>
  <c r="N2" i="12" s="1"/>
  <c r="L34" i="2"/>
  <c r="M2" i="11" a="1"/>
  <c r="M2" i="11" s="1"/>
  <c r="U42" i="21" s="1"/>
  <c r="T42" i="21" s="1"/>
  <c r="L46" i="2"/>
  <c r="N2" i="11" a="1"/>
  <c r="N2" i="11" s="1"/>
  <c r="L32" i="2"/>
  <c r="K45" i="2"/>
  <c r="K47" i="2"/>
  <c r="K26" i="2"/>
  <c r="K43" i="2"/>
  <c r="I43" i="2"/>
  <c r="I32" i="2"/>
  <c r="I29" i="2"/>
  <c r="I25" i="2"/>
  <c r="I28" i="2"/>
  <c r="P22" i="8"/>
  <c r="A4" i="1"/>
  <c r="A29" i="20"/>
  <c r="N29" i="20" s="1"/>
  <c r="A46" i="20"/>
  <c r="N46" i="20" s="1"/>
  <c r="A40" i="20"/>
  <c r="A38" i="10"/>
  <c r="N16" i="5"/>
  <c r="A33" i="20"/>
  <c r="A32" i="20"/>
  <c r="A30" i="20"/>
  <c r="H69" i="5"/>
  <c r="A47" i="20"/>
  <c r="A26" i="20"/>
  <c r="A24" i="20"/>
  <c r="N24" i="20" s="1"/>
  <c r="A45" i="20"/>
  <c r="H29" i="17"/>
  <c r="A42" i="20"/>
  <c r="A42" i="2" s="1"/>
  <c r="H66" i="17"/>
  <c r="A39" i="20"/>
  <c r="A36" i="20"/>
  <c r="N36" i="20" s="1"/>
  <c r="I41" i="7"/>
  <c r="O41" i="17"/>
  <c r="H59" i="5"/>
  <c r="N52" i="6"/>
  <c r="H44" i="7"/>
  <c r="H60" i="5"/>
  <c r="O56" i="17"/>
  <c r="N71" i="6"/>
  <c r="A4" i="28"/>
  <c r="A4" i="8"/>
  <c r="A4" i="9"/>
  <c r="A4" i="10"/>
  <c r="A4" i="11"/>
  <c r="A4" i="12"/>
  <c r="A4" i="2"/>
  <c r="H56" i="5"/>
  <c r="O49" i="17"/>
  <c r="H67" i="5"/>
  <c r="I50" i="7"/>
  <c r="H67" i="17"/>
  <c r="H77" i="6"/>
  <c r="H77" i="5" s="1"/>
  <c r="E63" i="7"/>
  <c r="H70" i="17"/>
  <c r="H29" i="7"/>
  <c r="N37" i="6"/>
  <c r="H54" i="17"/>
  <c r="H8" i="7"/>
  <c r="I74" i="7"/>
  <c r="N23" i="6"/>
  <c r="H23" i="7"/>
  <c r="N31" i="6"/>
  <c r="H31" i="7"/>
  <c r="H31" i="6"/>
  <c r="H31" i="17" s="1"/>
  <c r="A16" i="8"/>
  <c r="A16" i="1"/>
  <c r="A16" i="28"/>
  <c r="A16" i="2"/>
  <c r="A16" i="11"/>
  <c r="A16" i="9"/>
  <c r="A16" i="12"/>
  <c r="A16" i="10"/>
  <c r="H18" i="5"/>
  <c r="E18" i="7"/>
  <c r="N33" i="6"/>
  <c r="H21" i="7"/>
  <c r="B3" i="4"/>
  <c r="D29" i="4"/>
  <c r="N35" i="6"/>
  <c r="O58" i="17"/>
  <c r="H65" i="5"/>
  <c r="A49" i="20"/>
  <c r="N48" i="20" s="1"/>
  <c r="O10" i="17"/>
  <c r="H4" i="5"/>
  <c r="N4" i="5"/>
  <c r="N39" i="5"/>
  <c r="O38" i="17"/>
  <c r="A27" i="1"/>
  <c r="H21" i="5"/>
  <c r="A27" i="2"/>
  <c r="H30" i="17"/>
  <c r="E39" i="7"/>
  <c r="E32" i="7"/>
  <c r="N38" i="5"/>
  <c r="H16" i="6"/>
  <c r="H16" i="5" s="1"/>
  <c r="H20" i="5"/>
  <c r="H56" i="7"/>
  <c r="H54" i="7"/>
  <c r="I22" i="7"/>
  <c r="H22" i="5"/>
  <c r="N9" i="6"/>
  <c r="N39" i="6"/>
  <c r="H24" i="17"/>
  <c r="I24" i="7"/>
  <c r="H5" i="6"/>
  <c r="H5" i="17" s="1"/>
  <c r="H5" i="7"/>
  <c r="A22" i="28"/>
  <c r="A22" i="12"/>
  <c r="A22" i="8"/>
  <c r="A22" i="9"/>
  <c r="A22" i="10"/>
  <c r="A22" i="11"/>
  <c r="A22" i="2"/>
  <c r="A22" i="1"/>
  <c r="A21" i="28"/>
  <c r="A21" i="2"/>
  <c r="A21" i="11"/>
  <c r="A21" i="10"/>
  <c r="A21" i="12"/>
  <c r="A21" i="9"/>
  <c r="A21" i="1"/>
  <c r="H23" i="17"/>
  <c r="I23" i="7"/>
  <c r="O23" i="17"/>
  <c r="A12" i="28"/>
  <c r="A12" i="12"/>
  <c r="A12" i="1"/>
  <c r="A12" i="2"/>
  <c r="A12" i="8"/>
  <c r="A12" i="11"/>
  <c r="A12" i="9"/>
  <c r="H53" i="7"/>
  <c r="N53" i="6"/>
  <c r="N6" i="5"/>
  <c r="E6" i="7"/>
  <c r="J6" i="7"/>
  <c r="A9" i="28"/>
  <c r="A9" i="11"/>
  <c r="A9" i="9"/>
  <c r="A9" i="12"/>
  <c r="A9" i="1"/>
  <c r="A9" i="2"/>
  <c r="A9" i="8"/>
  <c r="H14" i="7"/>
  <c r="N22" i="5"/>
  <c r="E77" i="7"/>
  <c r="I58" i="7"/>
  <c r="I27" i="7"/>
  <c r="N30" i="5"/>
  <c r="H54" i="5"/>
  <c r="N45" i="5"/>
  <c r="J77" i="7"/>
  <c r="I43" i="7"/>
  <c r="H38" i="7"/>
  <c r="N44" i="6"/>
  <c r="A50" i="20"/>
  <c r="E72" i="7"/>
  <c r="H73" i="6"/>
  <c r="H73" i="17" s="1"/>
  <c r="E35" i="7"/>
  <c r="H65" i="17"/>
  <c r="O55" i="17"/>
  <c r="H14" i="6"/>
  <c r="H14" i="17" s="1"/>
  <c r="E69" i="7"/>
  <c r="A35" i="1"/>
  <c r="H75" i="7"/>
  <c r="H24" i="7"/>
  <c r="H10" i="7"/>
  <c r="I15" i="7"/>
  <c r="O36" i="17"/>
  <c r="E34" i="7"/>
  <c r="A18" i="8"/>
  <c r="I14" i="7"/>
  <c r="E24" i="7"/>
  <c r="A18" i="1"/>
  <c r="A18" i="9"/>
  <c r="A18" i="11"/>
  <c r="A18" i="12"/>
  <c r="A18" i="2"/>
  <c r="J54" i="7"/>
  <c r="H32" i="17"/>
  <c r="O44" i="17"/>
  <c r="N57" i="6"/>
  <c r="H16" i="7"/>
  <c r="J23" i="7"/>
  <c r="A18" i="10"/>
  <c r="H69" i="17"/>
  <c r="E54" i="7"/>
  <c r="E23" i="7"/>
  <c r="H63" i="6"/>
  <c r="H63" i="5" s="1"/>
  <c r="J42" i="7"/>
  <c r="H4" i="7"/>
  <c r="H13" i="7"/>
  <c r="H13" i="6"/>
  <c r="H13" i="5" s="1"/>
  <c r="A51" i="20"/>
  <c r="J12" i="7"/>
  <c r="H5" i="5"/>
  <c r="H30" i="5"/>
  <c r="J10" i="7"/>
  <c r="H33" i="6"/>
  <c r="H33" i="5" s="1"/>
  <c r="H46" i="7"/>
  <c r="H19" i="17"/>
  <c r="O19" i="17"/>
  <c r="I19" i="7"/>
  <c r="O71" i="17"/>
  <c r="H71" i="17"/>
  <c r="I71" i="7"/>
  <c r="H18" i="17"/>
  <c r="I18" i="7"/>
  <c r="O18" i="17"/>
  <c r="N45" i="6"/>
  <c r="H45" i="7"/>
  <c r="H72" i="7"/>
  <c r="N72" i="6"/>
  <c r="N11" i="5"/>
  <c r="E11" i="7"/>
  <c r="J11" i="7"/>
  <c r="J44" i="7"/>
  <c r="E44" i="7"/>
  <c r="N44" i="5"/>
  <c r="H57" i="5"/>
  <c r="J57" i="7"/>
  <c r="N57" i="5"/>
  <c r="E57" i="7"/>
  <c r="N29" i="5"/>
  <c r="J29" i="7"/>
  <c r="E8" i="7"/>
  <c r="J8" i="7"/>
  <c r="H8" i="5"/>
  <c r="N8" i="5"/>
  <c r="I60" i="7"/>
  <c r="O60" i="17"/>
  <c r="H60" i="17"/>
  <c r="J71" i="7"/>
  <c r="E71" i="7"/>
  <c r="H71" i="5"/>
  <c r="A17" i="28"/>
  <c r="A17" i="10"/>
  <c r="A17" i="8"/>
  <c r="A17" i="2"/>
  <c r="A17" i="11"/>
  <c r="A17" i="9"/>
  <c r="A17" i="1"/>
  <c r="A17" i="12"/>
  <c r="N15" i="6"/>
  <c r="H15" i="7"/>
  <c r="O13" i="17"/>
  <c r="I13" i="7"/>
  <c r="A15" i="28"/>
  <c r="A15" i="1"/>
  <c r="A15" i="11"/>
  <c r="A15" i="8"/>
  <c r="A15" i="12"/>
  <c r="A15" i="9"/>
  <c r="A15" i="10"/>
  <c r="A15" i="2"/>
  <c r="I12" i="7"/>
  <c r="O12" i="17"/>
  <c r="O11" i="17"/>
  <c r="I11" i="7"/>
  <c r="A14" i="28"/>
  <c r="A14" i="1"/>
  <c r="A14" i="11"/>
  <c r="A14" i="8"/>
  <c r="A14" i="2"/>
  <c r="A14" i="12"/>
  <c r="A14" i="9"/>
  <c r="A14" i="10"/>
  <c r="H9" i="5"/>
  <c r="J9" i="7"/>
  <c r="N9" i="5"/>
  <c r="E9" i="7"/>
  <c r="I51" i="7"/>
  <c r="E51" i="7"/>
  <c r="O51" i="17"/>
  <c r="J25" i="7"/>
  <c r="N25" i="5"/>
  <c r="N78" i="5"/>
  <c r="J78" i="7"/>
  <c r="N62" i="5"/>
  <c r="J62" i="7"/>
  <c r="H62" i="5"/>
  <c r="O59" i="17"/>
  <c r="I59" i="7"/>
  <c r="H59" i="17"/>
  <c r="A19" i="12"/>
  <c r="A19" i="9"/>
  <c r="A19" i="10"/>
  <c r="A19" i="1"/>
  <c r="A19" i="28"/>
  <c r="A19" i="8"/>
  <c r="A19" i="2"/>
  <c r="A19" i="11"/>
  <c r="I9" i="7"/>
  <c r="O9" i="17"/>
  <c r="N55" i="5"/>
  <c r="J55" i="7"/>
  <c r="A11" i="12"/>
  <c r="A11" i="9"/>
  <c r="A11" i="2"/>
  <c r="A11" i="8"/>
  <c r="A11" i="11"/>
  <c r="A11" i="10"/>
  <c r="A11" i="1"/>
  <c r="A11" i="28"/>
  <c r="I64" i="7"/>
  <c r="E64" i="7"/>
  <c r="O64" i="17"/>
  <c r="H64" i="17"/>
  <c r="A10" i="28"/>
  <c r="A10" i="12"/>
  <c r="A10" i="8"/>
  <c r="A10" i="2"/>
  <c r="A10" i="10"/>
  <c r="A10" i="11"/>
  <c r="A10" i="1"/>
  <c r="A10" i="9"/>
  <c r="O7" i="17"/>
  <c r="I7" i="7"/>
  <c r="E19" i="7"/>
  <c r="N19" i="5"/>
  <c r="J19" i="7"/>
  <c r="O6" i="17"/>
  <c r="I6" i="7"/>
  <c r="A8" i="28"/>
  <c r="A8" i="10"/>
  <c r="A8" i="8"/>
  <c r="A8" i="2"/>
  <c r="A8" i="11"/>
  <c r="A8" i="1"/>
  <c r="A8" i="12"/>
  <c r="A8" i="9"/>
  <c r="A20" i="8"/>
  <c r="A20" i="12"/>
  <c r="A20" i="9"/>
  <c r="A20" i="28"/>
  <c r="A20" i="10"/>
  <c r="A20" i="2"/>
  <c r="A20" i="1"/>
  <c r="A20" i="11"/>
  <c r="I5" i="7"/>
  <c r="O5" i="17"/>
  <c r="A6" i="2"/>
  <c r="A6" i="1"/>
  <c r="A6" i="11"/>
  <c r="A6" i="12"/>
  <c r="A6" i="9"/>
  <c r="A6" i="28"/>
  <c r="J73" i="7"/>
  <c r="N73" i="5"/>
  <c r="E73" i="7"/>
  <c r="I28" i="7"/>
  <c r="O28" i="17"/>
  <c r="O4" i="17"/>
  <c r="H4" i="17"/>
  <c r="I4" i="7"/>
  <c r="I52" i="7"/>
  <c r="K52" i="7" s="1" a="1"/>
  <c r="K52" i="7" s="1"/>
  <c r="L52" i="7" s="1"/>
  <c r="O52" i="17"/>
  <c r="A5" i="8"/>
  <c r="A5" i="1"/>
  <c r="A5" i="11"/>
  <c r="A5" i="12"/>
  <c r="A5" i="9"/>
  <c r="A5" i="10"/>
  <c r="A5" i="2"/>
  <c r="N31" i="5"/>
  <c r="E31" i="7"/>
  <c r="N27" i="6"/>
  <c r="H27" i="7"/>
  <c r="E27" i="7"/>
  <c r="H25" i="6"/>
  <c r="H25" i="5" s="1"/>
  <c r="H25" i="7"/>
  <c r="N25" i="6"/>
  <c r="H78" i="7"/>
  <c r="H78" i="6"/>
  <c r="N78" i="6"/>
  <c r="O76" i="17"/>
  <c r="I76" i="7"/>
  <c r="N12" i="6"/>
  <c r="H12" i="7"/>
  <c r="A28" i="10"/>
  <c r="J46" i="7"/>
  <c r="E46" i="7"/>
  <c r="I57" i="7"/>
  <c r="H57" i="17"/>
  <c r="H7" i="7"/>
  <c r="N7" i="6"/>
  <c r="H60" i="6"/>
  <c r="H60" i="7"/>
  <c r="N60" i="6"/>
  <c r="I73" i="7"/>
  <c r="O73" i="17"/>
  <c r="H50" i="7"/>
  <c r="N50" i="6"/>
  <c r="J13" i="7"/>
  <c r="N13" i="5"/>
  <c r="E13" i="7"/>
  <c r="H20" i="17"/>
  <c r="I20" i="7"/>
  <c r="O20" i="17"/>
  <c r="N47" i="6"/>
  <c r="H47" i="7"/>
  <c r="N66" i="5"/>
  <c r="J66" i="7"/>
  <c r="H34" i="7"/>
  <c r="N18" i="5"/>
  <c r="J48" i="7"/>
  <c r="H12" i="6"/>
  <c r="H68" i="5"/>
  <c r="N73" i="6"/>
  <c r="H50" i="6"/>
  <c r="H50" i="5" s="1"/>
  <c r="H28" i="17"/>
  <c r="A21" i="8"/>
  <c r="A12" i="10"/>
  <c r="O40" i="17"/>
  <c r="E40" i="7"/>
  <c r="N10" i="5"/>
  <c r="J53" i="7"/>
  <c r="J27" i="7"/>
  <c r="E10" i="7"/>
  <c r="N5" i="6"/>
  <c r="H75" i="6"/>
  <c r="H75" i="5" s="1"/>
  <c r="O47" i="17"/>
  <c r="J35" i="7"/>
  <c r="H6" i="5"/>
  <c r="H29" i="5"/>
  <c r="H19" i="5"/>
  <c r="H15" i="6"/>
  <c r="H15" i="17" s="1"/>
  <c r="J18" i="7"/>
  <c r="O46" i="17"/>
  <c r="N77" i="6"/>
  <c r="J21" i="7"/>
  <c r="N4" i="6"/>
  <c r="H68" i="17"/>
  <c r="E36" i="7"/>
  <c r="E52" i="7"/>
  <c r="N47" i="5"/>
  <c r="E50" i="7"/>
  <c r="O30" i="17"/>
  <c r="H38" i="6"/>
  <c r="N63" i="6"/>
  <c r="H26" i="7"/>
  <c r="E4" i="7"/>
  <c r="A9" i="10"/>
  <c r="H55" i="17"/>
  <c r="O68" i="17"/>
  <c r="H11" i="7"/>
  <c r="H22" i="7"/>
  <c r="H64" i="5"/>
  <c r="J37" i="7"/>
  <c r="N61" i="5"/>
  <c r="H27" i="5"/>
  <c r="O31" i="17"/>
  <c r="H18" i="7"/>
  <c r="H56" i="17"/>
  <c r="A35" i="2"/>
  <c r="A13" i="10"/>
  <c r="A13" i="8"/>
  <c r="A35" i="10"/>
  <c r="A35" i="9"/>
  <c r="A13" i="9"/>
  <c r="A13" i="2"/>
  <c r="A6" i="8"/>
  <c r="A13" i="1"/>
  <c r="A13" i="12"/>
  <c r="A31" i="9"/>
  <c r="A13" i="11"/>
  <c r="A34" i="10"/>
  <c r="A6" i="10"/>
  <c r="A7" i="9"/>
  <c r="A7" i="10"/>
  <c r="A7" i="28"/>
  <c r="A7" i="11"/>
  <c r="A7" i="12"/>
  <c r="A48" i="10"/>
  <c r="A48" i="28"/>
  <c r="A5" i="28"/>
  <c r="A7" i="1"/>
  <c r="A7" i="8"/>
  <c r="P19" i="8"/>
  <c r="I50" i="2"/>
  <c r="P32" i="8"/>
  <c r="P23" i="8"/>
  <c r="E12" i="13"/>
  <c r="L2" i="8" a="1"/>
  <c r="L2" i="8" s="1"/>
  <c r="E13" i="13"/>
  <c r="L2" i="9" a="1"/>
  <c r="L2" i="9" s="1"/>
  <c r="P20" i="8"/>
  <c r="I20" i="2"/>
  <c r="I45" i="2"/>
  <c r="N50" i="2"/>
  <c r="N13" i="2"/>
  <c r="J10" i="9"/>
  <c r="P26" i="9"/>
  <c r="M2" i="1" a="1"/>
  <c r="M2" i="1" s="1"/>
  <c r="U40" i="21" s="1"/>
  <c r="P37" i="10"/>
  <c r="P2" i="1" a="1"/>
  <c r="P2" i="1" s="1"/>
  <c r="K10" i="2"/>
  <c r="P4" i="10"/>
  <c r="M4" i="2"/>
  <c r="P45" i="9"/>
  <c r="J18" i="9"/>
  <c r="J18" i="10" s="1"/>
  <c r="K17" i="2"/>
  <c r="P17" i="9"/>
  <c r="J6" i="10"/>
  <c r="M6" i="2"/>
  <c r="P39" i="10"/>
  <c r="M39" i="2"/>
  <c r="P4" i="12"/>
  <c r="N4" i="2"/>
  <c r="Q2" i="1" a="1"/>
  <c r="Q2" i="1" s="1"/>
  <c r="E11" i="4"/>
  <c r="P36" i="9"/>
  <c r="K33" i="2"/>
  <c r="M23" i="2"/>
  <c r="H52" i="2"/>
  <c r="E16" i="13"/>
  <c r="S38" i="1"/>
  <c r="J38" i="1"/>
  <c r="J41" i="1"/>
  <c r="S22" i="1"/>
  <c r="J22" i="2"/>
  <c r="J19" i="1"/>
  <c r="J19" i="2"/>
  <c r="J51" i="1"/>
  <c r="L27" i="2"/>
  <c r="P46" i="11"/>
  <c r="L17" i="2"/>
  <c r="P34" i="11"/>
  <c r="P8" i="11"/>
  <c r="L39" i="2"/>
  <c r="P39" i="11"/>
  <c r="L30" i="2"/>
  <c r="P33" i="8"/>
  <c r="I33" i="2"/>
  <c r="P25" i="9"/>
  <c r="K25" i="2"/>
  <c r="P44" i="11"/>
  <c r="L44" i="2"/>
  <c r="M14" i="2"/>
  <c r="P14" i="10"/>
  <c r="P47" i="8"/>
  <c r="I47" i="2"/>
  <c r="S21" i="1"/>
  <c r="J21" i="1"/>
  <c r="J21" i="2"/>
  <c r="P20" i="12"/>
  <c r="N20" i="2"/>
  <c r="S46" i="1"/>
  <c r="J46" i="1"/>
  <c r="P24" i="8"/>
  <c r="I24" i="2"/>
  <c r="M27" i="2"/>
  <c r="P27" i="10"/>
  <c r="N46" i="2"/>
  <c r="P46" i="12"/>
  <c r="P16" i="11"/>
  <c r="L16" i="2"/>
  <c r="P14" i="12"/>
  <c r="N14" i="2"/>
  <c r="I18" i="2"/>
  <c r="P18" i="8"/>
  <c r="J18" i="1"/>
  <c r="J11" i="9"/>
  <c r="M20" i="2"/>
  <c r="J24" i="11"/>
  <c r="K21" i="2"/>
  <c r="S6" i="1"/>
  <c r="P6" i="10"/>
  <c r="L25" i="2"/>
  <c r="J38" i="2"/>
  <c r="J18" i="2"/>
  <c r="P32" i="11"/>
  <c r="L26" i="2"/>
  <c r="K14" i="2"/>
  <c r="P30" i="12"/>
  <c r="N30" i="2"/>
  <c r="I31" i="2"/>
  <c r="P31" i="8"/>
  <c r="P40" i="12"/>
  <c r="N40" i="2"/>
  <c r="I30" i="2"/>
  <c r="P30" i="8"/>
  <c r="L12" i="2"/>
  <c r="P12" i="11"/>
  <c r="S17" i="1"/>
  <c r="J17" i="1"/>
  <c r="J17" i="2"/>
  <c r="S32" i="1"/>
  <c r="J32" i="2"/>
  <c r="J32" i="1"/>
  <c r="P42" i="9"/>
  <c r="K42" i="2"/>
  <c r="P9" i="9"/>
  <c r="K9" i="2"/>
  <c r="J9" i="9"/>
  <c r="P23" i="11"/>
  <c r="L23" i="2"/>
  <c r="P43" i="11"/>
  <c r="L43" i="2"/>
  <c r="N44" i="2"/>
  <c r="P44" i="12"/>
  <c r="I17" i="2"/>
  <c r="P17" i="8"/>
  <c r="P16" i="12"/>
  <c r="N16" i="2"/>
  <c r="K41" i="2"/>
  <c r="K23" i="2"/>
  <c r="N27" i="2"/>
  <c r="P28" i="8"/>
  <c r="P43" i="9"/>
  <c r="G41" i="2"/>
  <c r="J35" i="2"/>
  <c r="J22" i="1"/>
  <c r="L24" i="2"/>
  <c r="I26" i="2"/>
  <c r="M30" i="2"/>
  <c r="P10" i="8"/>
  <c r="L37" i="2"/>
  <c r="I15" i="2"/>
  <c r="K8" i="2"/>
  <c r="L31" i="2"/>
  <c r="J6" i="2"/>
  <c r="J35" i="1"/>
  <c r="M29" i="2"/>
  <c r="N43" i="2"/>
  <c r="N36" i="2"/>
  <c r="P25" i="8"/>
  <c r="J40" i="1"/>
  <c r="M31" i="2"/>
  <c r="L51" i="2"/>
  <c r="L33" i="2"/>
  <c r="N45" i="2"/>
  <c r="N37" i="2"/>
  <c r="G23" i="2"/>
  <c r="I27" i="2"/>
  <c r="M38" i="2"/>
  <c r="P29" i="8"/>
  <c r="P6" i="8"/>
  <c r="N39" i="2"/>
  <c r="L36" i="2"/>
  <c r="M11" i="2"/>
  <c r="P14" i="8"/>
  <c r="K46" i="2"/>
  <c r="G50" i="2"/>
  <c r="J50" i="2"/>
  <c r="N41" i="2"/>
  <c r="J41" i="2"/>
  <c r="M41" i="2"/>
  <c r="J43" i="1"/>
  <c r="N17" i="2"/>
  <c r="J34" i="2"/>
  <c r="I37" i="2"/>
  <c r="P19" i="11"/>
  <c r="J34" i="1"/>
  <c r="I12" i="2"/>
  <c r="J25" i="1"/>
  <c r="M12" i="2"/>
  <c r="M16" i="2"/>
  <c r="J4" i="12"/>
  <c r="K11" i="2"/>
  <c r="K4" i="2"/>
  <c r="M34" i="2"/>
  <c r="P34" i="12"/>
  <c r="P26" i="12"/>
  <c r="N26" i="2"/>
  <c r="P28" i="11"/>
  <c r="L28" i="2"/>
  <c r="S26" i="1"/>
  <c r="J26" i="2"/>
  <c r="J26" i="1"/>
  <c r="P22" i="11"/>
  <c r="L22" i="2"/>
  <c r="P47" i="11"/>
  <c r="L47" i="2"/>
  <c r="J11" i="1"/>
  <c r="J11" i="2"/>
  <c r="S11" i="1"/>
  <c r="N12" i="2"/>
  <c r="P12" i="12"/>
  <c r="S36" i="1"/>
  <c r="G36" i="2"/>
  <c r="J36" i="1"/>
  <c r="M40" i="2"/>
  <c r="G40" i="2"/>
  <c r="P40" i="10"/>
  <c r="P15" i="10"/>
  <c r="J15" i="10"/>
  <c r="J15" i="12" s="1"/>
  <c r="M15" i="2"/>
  <c r="J11" i="12"/>
  <c r="N11" i="2"/>
  <c r="P11" i="12"/>
  <c r="P41" i="8"/>
  <c r="I41" i="2"/>
  <c r="P38" i="12"/>
  <c r="G38" i="2"/>
  <c r="N38" i="2"/>
  <c r="P13" i="8"/>
  <c r="I13" i="2"/>
  <c r="P18" i="11"/>
  <c r="L18" i="2"/>
  <c r="J18" i="11"/>
  <c r="P13" i="10"/>
  <c r="M13" i="2"/>
  <c r="G6" i="2"/>
  <c r="J6" i="12"/>
  <c r="N6" i="2"/>
  <c r="P6" i="12"/>
  <c r="P9" i="8"/>
  <c r="I9" i="2"/>
  <c r="P28" i="10"/>
  <c r="M28" i="2"/>
  <c r="P5" i="12"/>
  <c r="N5" i="2"/>
  <c r="J5" i="12"/>
  <c r="I8" i="2"/>
  <c r="P8" i="8"/>
  <c r="P46" i="8"/>
  <c r="I46" i="2"/>
  <c r="P44" i="10"/>
  <c r="M44" i="2"/>
  <c r="G44" i="2"/>
  <c r="P35" i="11"/>
  <c r="L35" i="2"/>
  <c r="P19" i="9"/>
  <c r="K19" i="2"/>
  <c r="P10" i="10"/>
  <c r="J10" i="10"/>
  <c r="J10" i="12" s="1"/>
  <c r="M10" i="2"/>
  <c r="S47" i="1"/>
  <c r="J47" i="2"/>
  <c r="P45" i="10"/>
  <c r="M45" i="2"/>
  <c r="I5" i="2"/>
  <c r="P5" i="8"/>
  <c r="M7" i="2"/>
  <c r="P7" i="10"/>
  <c r="P32" i="9"/>
  <c r="K32" i="2"/>
  <c r="L14" i="2"/>
  <c r="P14" i="11"/>
  <c r="P34" i="9"/>
  <c r="K34" i="2"/>
  <c r="G34" i="2"/>
  <c r="J33" i="2"/>
  <c r="S33" i="1"/>
  <c r="J33" i="1"/>
  <c r="P5" i="10"/>
  <c r="M5" i="2"/>
  <c r="G19" i="2"/>
  <c r="P19" i="12"/>
  <c r="N19" i="2"/>
  <c r="I21" i="2"/>
  <c r="P21" i="8"/>
  <c r="P15" i="9"/>
  <c r="J15" i="9"/>
  <c r="K15" i="2"/>
  <c r="P11" i="11"/>
  <c r="L11" i="2"/>
  <c r="P18" i="12"/>
  <c r="J18" i="12"/>
  <c r="G18" i="2"/>
  <c r="N18" i="2"/>
  <c r="P39" i="9"/>
  <c r="K39" i="2"/>
  <c r="G39" i="2"/>
  <c r="S8" i="1"/>
  <c r="J8" i="2"/>
  <c r="J8" i="1"/>
  <c r="I11" i="2"/>
  <c r="P11" i="8"/>
  <c r="S31" i="1"/>
  <c r="J31" i="1"/>
  <c r="J31" i="2"/>
  <c r="P27" i="9"/>
  <c r="K27" i="2"/>
  <c r="P33" i="12"/>
  <c r="N33" i="2"/>
  <c r="S29" i="1"/>
  <c r="J29" i="2"/>
  <c r="J29" i="1"/>
  <c r="P12" i="9"/>
  <c r="K12" i="2"/>
  <c r="P32" i="12"/>
  <c r="N32" i="2"/>
  <c r="P40" i="9"/>
  <c r="K40" i="2"/>
  <c r="P42" i="12"/>
  <c r="N42" i="2"/>
  <c r="G42" i="2"/>
  <c r="L6" i="2"/>
  <c r="P6" i="11"/>
  <c r="P51" i="8"/>
  <c r="J51" i="11"/>
  <c r="J51" i="9"/>
  <c r="J51" i="10" s="1"/>
  <c r="J51" i="12" s="1"/>
  <c r="I51" i="2"/>
  <c r="P49" i="8"/>
  <c r="I49" i="2"/>
  <c r="P6" i="9"/>
  <c r="J6" i="9"/>
  <c r="K6" i="2"/>
  <c r="J27" i="2"/>
  <c r="J27" i="1"/>
  <c r="S27" i="1"/>
  <c r="J5" i="11"/>
  <c r="P5" i="11"/>
  <c r="L5" i="2"/>
  <c r="S15" i="1"/>
  <c r="J15" i="1"/>
  <c r="J15" i="2"/>
  <c r="P19" i="10"/>
  <c r="M19" i="2"/>
  <c r="S9" i="1"/>
  <c r="J9" i="2"/>
  <c r="P5" i="9"/>
  <c r="J5" i="9"/>
  <c r="J5" i="10" s="1"/>
  <c r="K5" i="2"/>
  <c r="P16" i="9"/>
  <c r="K16" i="2"/>
  <c r="P24" i="9"/>
  <c r="J24" i="9"/>
  <c r="K24" i="2"/>
  <c r="P44" i="8"/>
  <c r="I44" i="2"/>
  <c r="P42" i="11"/>
  <c r="L42" i="2"/>
  <c r="P16" i="8"/>
  <c r="I16" i="2"/>
  <c r="N9" i="2"/>
  <c r="J13" i="1"/>
  <c r="K29" i="2"/>
  <c r="P21" i="11"/>
  <c r="P47" i="9"/>
  <c r="M22" i="2"/>
  <c r="J9" i="10"/>
  <c r="J9" i="12" s="1"/>
  <c r="P13" i="11"/>
  <c r="J14" i="1"/>
  <c r="J13" i="2"/>
  <c r="J43" i="2"/>
  <c r="M21" i="2"/>
  <c r="J17" i="9"/>
  <c r="J17" i="10" s="1"/>
  <c r="J17" i="12" s="1"/>
  <c r="J46" i="2"/>
  <c r="L29" i="2"/>
  <c r="J42" i="2"/>
  <c r="J4" i="9"/>
  <c r="J23" i="1"/>
  <c r="M25" i="2"/>
  <c r="M18" i="2"/>
  <c r="M8" i="2"/>
  <c r="J25" i="2"/>
  <c r="M35" i="2"/>
  <c r="G46" i="2"/>
  <c r="L20" i="2"/>
  <c r="P4" i="11"/>
  <c r="K28" i="2"/>
  <c r="J23" i="2"/>
  <c r="M9" i="2"/>
  <c r="N23" i="2"/>
  <c r="J12" i="2"/>
  <c r="J14" i="2"/>
  <c r="N24" i="2"/>
  <c r="S51" i="1"/>
  <c r="I25" i="7"/>
  <c r="E25" i="7"/>
  <c r="I8" i="7"/>
  <c r="O8" i="17"/>
  <c r="L10" i="2"/>
  <c r="P10" i="11"/>
  <c r="N28" i="6"/>
  <c r="H28" i="7"/>
  <c r="E22" i="7"/>
  <c r="O22" i="17"/>
  <c r="J16" i="2"/>
  <c r="J16" i="1"/>
  <c r="S16" i="1"/>
  <c r="P9" i="11"/>
  <c r="O52" i="11"/>
  <c r="M24" i="2"/>
  <c r="P24" i="10"/>
  <c r="G24" i="2"/>
  <c r="G11" i="2"/>
  <c r="P11" i="10"/>
  <c r="I21" i="7"/>
  <c r="E21" i="7"/>
  <c r="O21" i="17"/>
  <c r="P20" i="9"/>
  <c r="K20" i="2"/>
  <c r="N28" i="5"/>
  <c r="E28" i="7"/>
  <c r="J28" i="7"/>
  <c r="P31" i="9"/>
  <c r="K31" i="2"/>
  <c r="N30" i="16"/>
  <c r="G30" i="7"/>
  <c r="N29" i="16"/>
  <c r="G29" i="7"/>
  <c r="P30" i="9"/>
  <c r="K30" i="2"/>
  <c r="N25" i="2"/>
  <c r="P25" i="12"/>
  <c r="G25" i="2"/>
  <c r="J24" i="2"/>
  <c r="S24" i="1"/>
  <c r="J24" i="1"/>
  <c r="E26" i="7"/>
  <c r="H26" i="5"/>
  <c r="N26" i="5"/>
  <c r="J26" i="7"/>
  <c r="P10" i="12"/>
  <c r="G10" i="2"/>
  <c r="H27" i="17"/>
  <c r="G18" i="7"/>
  <c r="N18" i="16"/>
  <c r="H11" i="6"/>
  <c r="G28" i="7"/>
  <c r="N28" i="16"/>
  <c r="P8" i="12"/>
  <c r="G8" i="2"/>
  <c r="N8" i="2"/>
  <c r="E12" i="7"/>
  <c r="N7" i="5"/>
  <c r="J7" i="7"/>
  <c r="H7" i="5"/>
  <c r="O17" i="17"/>
  <c r="I17" i="7"/>
  <c r="K17" i="7" s="1" a="1"/>
  <c r="K17" i="7" s="1"/>
  <c r="L17" i="7" s="1"/>
  <c r="P4" i="8"/>
  <c r="I4" i="2"/>
  <c r="P33" i="10"/>
  <c r="G33" i="2"/>
  <c r="O16" i="17"/>
  <c r="E16" i="7"/>
  <c r="I16" i="7"/>
  <c r="P32" i="10"/>
  <c r="M32" i="2"/>
  <c r="P22" i="12"/>
  <c r="G22" i="2"/>
  <c r="N22" i="2"/>
  <c r="E14" i="7"/>
  <c r="G14" i="7"/>
  <c r="P21" i="12"/>
  <c r="G21" i="2"/>
  <c r="N20" i="5"/>
  <c r="E20" i="7"/>
  <c r="G10" i="7"/>
  <c r="N10" i="16"/>
  <c r="J10" i="1"/>
  <c r="J10" i="2"/>
  <c r="S10" i="1"/>
  <c r="G16" i="2"/>
  <c r="M17" i="2"/>
  <c r="G17" i="2"/>
  <c r="P17" i="10"/>
  <c r="G5" i="7"/>
  <c r="N5" i="16"/>
  <c r="H19" i="7"/>
  <c r="N19" i="6"/>
  <c r="H28" i="5"/>
  <c r="H32" i="5"/>
  <c r="V40" i="21"/>
  <c r="N6" i="6"/>
  <c r="H6" i="7"/>
  <c r="H6" i="6"/>
  <c r="K13" i="2"/>
  <c r="P13" i="9"/>
  <c r="L15" i="2"/>
  <c r="P15" i="11"/>
  <c r="S30" i="1"/>
  <c r="J30" i="2"/>
  <c r="J30" i="1"/>
  <c r="H17" i="6"/>
  <c r="H17" i="5" s="1"/>
  <c r="N17" i="6"/>
  <c r="E17" i="7"/>
  <c r="N17" i="5"/>
  <c r="E30" i="7"/>
  <c r="I30" i="7"/>
  <c r="S20" i="1"/>
  <c r="J20" i="2"/>
  <c r="G15" i="7"/>
  <c r="N15" i="16"/>
  <c r="P31" i="12"/>
  <c r="G31" i="2"/>
  <c r="E15" i="7"/>
  <c r="N15" i="5"/>
  <c r="J15" i="7"/>
  <c r="S28" i="1"/>
  <c r="G30" i="2"/>
  <c r="J28" i="2"/>
  <c r="S5" i="1"/>
  <c r="J5" i="1"/>
  <c r="J5" i="2"/>
  <c r="P29" i="12"/>
  <c r="G29" i="2"/>
  <c r="G22" i="7"/>
  <c r="N22" i="16"/>
  <c r="S4" i="1"/>
  <c r="J4" i="2"/>
  <c r="J4" i="1"/>
  <c r="K22" i="2"/>
  <c r="P22" i="9"/>
  <c r="P28" i="12"/>
  <c r="G28" i="2"/>
  <c r="P15" i="12"/>
  <c r="G15" i="2"/>
  <c r="N15" i="2"/>
  <c r="H30" i="7"/>
  <c r="N30" i="6"/>
  <c r="I26" i="7"/>
  <c r="O26" i="17"/>
  <c r="M26" i="2"/>
  <c r="P26" i="10"/>
  <c r="N5" i="5"/>
  <c r="G4" i="2"/>
  <c r="N20" i="6"/>
  <c r="G60" i="7"/>
  <c r="N60" i="16"/>
  <c r="H60" i="16"/>
  <c r="N41" i="16"/>
  <c r="H41" i="16"/>
  <c r="G41" i="7"/>
  <c r="G32" i="2"/>
  <c r="G9" i="2"/>
  <c r="E37" i="7"/>
  <c r="N32" i="6"/>
  <c r="H32" i="7"/>
  <c r="G51" i="2"/>
  <c r="G56" i="7"/>
  <c r="N56" i="16"/>
  <c r="H56" i="16"/>
  <c r="H67" i="7"/>
  <c r="N67" i="6"/>
  <c r="E75" i="7"/>
  <c r="N75" i="5"/>
  <c r="N14" i="5"/>
  <c r="G5" i="2"/>
  <c r="O33" i="17"/>
  <c r="E38" i="7"/>
  <c r="P35" i="9"/>
  <c r="K35" i="2"/>
  <c r="H55" i="16"/>
  <c r="G55" i="7"/>
  <c r="N55" i="16"/>
  <c r="I72" i="7"/>
  <c r="O72" i="17"/>
  <c r="N67" i="5"/>
  <c r="E67" i="7"/>
  <c r="J67" i="7"/>
  <c r="G13" i="2"/>
  <c r="E45" i="7"/>
  <c r="N61" i="16"/>
  <c r="G61" i="7"/>
  <c r="I77" i="7"/>
  <c r="O77" i="17"/>
  <c r="P42" i="10"/>
  <c r="M42" i="2"/>
  <c r="G39" i="7"/>
  <c r="H39" i="16"/>
  <c r="H39" i="6" s="1"/>
  <c r="H39" i="5" s="1"/>
  <c r="N39" i="16"/>
  <c r="H70" i="5"/>
  <c r="M46" i="2"/>
  <c r="E78" i="7"/>
  <c r="I78" i="7"/>
  <c r="O78" i="17"/>
  <c r="P37" i="9"/>
  <c r="K37" i="2"/>
  <c r="G43" i="2"/>
  <c r="M43" i="2"/>
  <c r="G37" i="2"/>
  <c r="N65" i="6"/>
  <c r="H65" i="7"/>
  <c r="L49" i="2"/>
  <c r="P49" i="11"/>
  <c r="J49" i="11"/>
  <c r="M49" i="2"/>
  <c r="P49" i="10"/>
  <c r="H55" i="5"/>
  <c r="P46" i="10"/>
  <c r="J34" i="7"/>
  <c r="N34" i="5"/>
  <c r="E43" i="7"/>
  <c r="J43" i="7"/>
  <c r="P38" i="9"/>
  <c r="K38" i="2"/>
  <c r="P51" i="10"/>
  <c r="M51" i="2"/>
  <c r="G53" i="7"/>
  <c r="N53" i="16"/>
  <c r="H53" i="16"/>
  <c r="H53" i="6" s="1"/>
  <c r="H53" i="5" s="1"/>
  <c r="N64" i="6"/>
  <c r="H64" i="7"/>
  <c r="O70" i="17"/>
  <c r="I70" i="7"/>
  <c r="E65" i="7"/>
  <c r="J65" i="7"/>
  <c r="N65" i="5"/>
  <c r="T32" i="21" a="1"/>
  <c r="T32" i="21" s="1"/>
  <c r="T30" i="21" a="1"/>
  <c r="T30" i="21" s="1"/>
  <c r="P28" i="21"/>
  <c r="I37" i="7"/>
  <c r="H36" i="7"/>
  <c r="N32" i="5"/>
  <c r="J32" i="7"/>
  <c r="I42" i="2"/>
  <c r="P42" i="8"/>
  <c r="S48" i="1"/>
  <c r="J48" i="2"/>
  <c r="P38" i="11"/>
  <c r="L38" i="2"/>
  <c r="P47" i="12"/>
  <c r="G47" i="2"/>
  <c r="N47" i="2"/>
  <c r="O63" i="17"/>
  <c r="I63" i="7"/>
  <c r="H66" i="5"/>
  <c r="H59" i="16"/>
  <c r="H51" i="7"/>
  <c r="E56" i="7"/>
  <c r="J56" i="7"/>
  <c r="N56" i="5"/>
  <c r="G57" i="7"/>
  <c r="N57" i="16"/>
  <c r="H57" i="16"/>
  <c r="O52" i="10"/>
  <c r="N51" i="16"/>
  <c r="G51" i="7"/>
  <c r="H51" i="16"/>
  <c r="H51" i="6" s="1"/>
  <c r="N36" i="16"/>
  <c r="H36" i="16"/>
  <c r="H36" i="6" s="1"/>
  <c r="H36" i="17" s="1"/>
  <c r="G36" i="7"/>
  <c r="H74" i="6"/>
  <c r="N74" i="6"/>
  <c r="E74" i="7"/>
  <c r="N74" i="5"/>
  <c r="J74" i="7"/>
  <c r="S23" i="1"/>
  <c r="H40" i="7"/>
  <c r="N40" i="6"/>
  <c r="O32" i="17"/>
  <c r="I32" i="7"/>
  <c r="P48" i="11"/>
  <c r="L48" i="2"/>
  <c r="G12" i="2"/>
  <c r="H41" i="7"/>
  <c r="H41" i="6"/>
  <c r="O61" i="17"/>
  <c r="I61" i="7"/>
  <c r="P51" i="9"/>
  <c r="K51" i="2"/>
  <c r="P50" i="10"/>
  <c r="G49" i="2"/>
  <c r="N49" i="2"/>
  <c r="P49" i="12"/>
  <c r="E29" i="7"/>
  <c r="G27" i="2"/>
  <c r="E42" i="7"/>
  <c r="I36" i="2"/>
  <c r="O35" i="17"/>
  <c r="I35" i="7"/>
  <c r="N41" i="5"/>
  <c r="E41" i="7"/>
  <c r="H62" i="17"/>
  <c r="I62" i="7"/>
  <c r="N72" i="5"/>
  <c r="J72" i="7"/>
  <c r="J49" i="2"/>
  <c r="S49" i="1"/>
  <c r="J49" i="1"/>
  <c r="K49" i="2"/>
  <c r="P49" i="9"/>
  <c r="J49" i="9"/>
  <c r="N76" i="5"/>
  <c r="J76" i="7"/>
  <c r="H69" i="7"/>
  <c r="N69" i="6"/>
  <c r="P48" i="10"/>
  <c r="M48" i="2"/>
  <c r="T31" i="21" a="1"/>
  <c r="T31" i="21" s="1"/>
  <c r="P43" i="10"/>
  <c r="P47" i="10"/>
  <c r="M47" i="2"/>
  <c r="G35" i="2"/>
  <c r="N35" i="2"/>
  <c r="G48" i="7"/>
  <c r="H48" i="16"/>
  <c r="H48" i="6" s="1"/>
  <c r="H48" i="5" s="1"/>
  <c r="N48" i="16"/>
  <c r="P18" i="9"/>
  <c r="N52" i="5"/>
  <c r="I35" i="2"/>
  <c r="P38" i="8"/>
  <c r="I38" i="2"/>
  <c r="I69" i="7"/>
  <c r="O69" i="17"/>
  <c r="J70" i="7"/>
  <c r="N70" i="5"/>
  <c r="E70" i="7"/>
  <c r="H24" i="5"/>
  <c r="N24" i="5"/>
  <c r="E47" i="7"/>
  <c r="J49" i="7"/>
  <c r="E49" i="7"/>
  <c r="G64" i="7"/>
  <c r="H64" i="16"/>
  <c r="H32" i="16"/>
  <c r="N32" i="16"/>
  <c r="N62" i="6"/>
  <c r="H62" i="7"/>
  <c r="O67" i="17"/>
  <c r="I67" i="7"/>
  <c r="N69" i="5"/>
  <c r="J69" i="7"/>
  <c r="G14" i="2"/>
  <c r="E53" i="7"/>
  <c r="I53" i="7"/>
  <c r="H76" i="6"/>
  <c r="H76" i="7"/>
  <c r="E59" i="7"/>
  <c r="J59" i="7"/>
  <c r="N59" i="5"/>
  <c r="S37" i="1"/>
  <c r="J37" i="2"/>
  <c r="P44" i="9"/>
  <c r="K44" i="2"/>
  <c r="P45" i="11"/>
  <c r="L45" i="2"/>
  <c r="G45" i="2"/>
  <c r="N59" i="6"/>
  <c r="H59" i="7"/>
  <c r="O66" i="17"/>
  <c r="I66" i="7"/>
  <c r="E66" i="7"/>
  <c r="E76" i="7"/>
  <c r="G74" i="7"/>
  <c r="I54" i="7"/>
  <c r="O54" i="17"/>
  <c r="J39" i="2"/>
  <c r="S39" i="1"/>
  <c r="P41" i="11"/>
  <c r="L41" i="2"/>
  <c r="P50" i="11"/>
  <c r="L50" i="2"/>
  <c r="J50" i="11"/>
  <c r="E61" i="7"/>
  <c r="L40" i="2"/>
  <c r="N65" i="16"/>
  <c r="H65" i="16"/>
  <c r="I39" i="2"/>
  <c r="P39" i="8"/>
  <c r="J63" i="7"/>
  <c r="N63" i="5"/>
  <c r="J36" i="7"/>
  <c r="H43" i="7"/>
  <c r="N43" i="6"/>
  <c r="E68" i="7"/>
  <c r="H68" i="16"/>
  <c r="J44" i="2"/>
  <c r="S44" i="1"/>
  <c r="E5" i="7"/>
  <c r="N51" i="2"/>
  <c r="H58" i="6"/>
  <c r="H58" i="7"/>
  <c r="P36" i="10"/>
  <c r="M36" i="2"/>
  <c r="N44" i="16"/>
  <c r="G44" i="7"/>
  <c r="H42" i="7"/>
  <c r="N42" i="6"/>
  <c r="P7" i="8"/>
  <c r="I7" i="2"/>
  <c r="G20" i="2"/>
  <c r="J31" i="7"/>
  <c r="N41" i="6"/>
  <c r="H76" i="16"/>
  <c r="I39" i="7"/>
  <c r="G75" i="7"/>
  <c r="N75" i="16"/>
  <c r="P40" i="8"/>
  <c r="I40" i="2"/>
  <c r="G43" i="7"/>
  <c r="H43" i="16"/>
  <c r="H43" i="6" s="1"/>
  <c r="S7" i="1"/>
  <c r="J7" i="2"/>
  <c r="G26" i="2"/>
  <c r="H35" i="6"/>
  <c r="N76" i="6"/>
  <c r="N76" i="16"/>
  <c r="I45" i="7"/>
  <c r="O48" i="17"/>
  <c r="E48" i="7"/>
  <c r="P43" i="8"/>
  <c r="N70" i="6"/>
  <c r="H70" i="7"/>
  <c r="I75" i="7"/>
  <c r="O75" i="17"/>
  <c r="E58" i="7"/>
  <c r="N58" i="5"/>
  <c r="J58" i="7"/>
  <c r="P7" i="11"/>
  <c r="L7" i="2"/>
  <c r="G48" i="2"/>
  <c r="P48" i="12"/>
  <c r="N48" i="2"/>
  <c r="O42" i="17"/>
  <c r="E62" i="7"/>
  <c r="I42" i="7"/>
  <c r="H55" i="7"/>
  <c r="E55" i="7"/>
  <c r="N71" i="16"/>
  <c r="H71" i="16"/>
  <c r="N61" i="6"/>
  <c r="H61" i="6"/>
  <c r="H61" i="5" s="1"/>
  <c r="H61" i="7"/>
  <c r="J45" i="2"/>
  <c r="S45" i="1"/>
  <c r="K48" i="2"/>
  <c r="P48" i="9"/>
  <c r="P7" i="12"/>
  <c r="G7" i="2"/>
  <c r="N7" i="2"/>
  <c r="P50" i="9"/>
  <c r="J50" i="9"/>
  <c r="J33" i="7"/>
  <c r="H23" i="5"/>
  <c r="N46" i="5"/>
  <c r="E33" i="7"/>
  <c r="N34" i="16"/>
  <c r="G35" i="7"/>
  <c r="K7" i="2"/>
  <c r="N48" i="6"/>
  <c r="J40" i="2"/>
  <c r="G47" i="7"/>
  <c r="H47" i="16"/>
  <c r="H47" i="6" s="1"/>
  <c r="H47" i="5" s="1"/>
  <c r="J36" i="2"/>
  <c r="J68" i="7"/>
  <c r="H48" i="7"/>
  <c r="H52" i="16"/>
  <c r="H52" i="6" s="1"/>
  <c r="N64" i="5"/>
  <c r="O24" i="17"/>
  <c r="N40" i="5"/>
  <c r="N49" i="6"/>
  <c r="I34" i="2"/>
  <c r="N52" i="16"/>
  <c r="N40" i="16"/>
  <c r="G40" i="7"/>
  <c r="O65" i="17"/>
  <c r="O57" i="17"/>
  <c r="N50" i="5"/>
  <c r="G38" i="7"/>
  <c r="H66" i="7"/>
  <c r="N71" i="5"/>
  <c r="H68" i="7"/>
  <c r="I48" i="2"/>
  <c r="X18" i="25" l="1" a="1"/>
  <c r="X18" i="25" s="1"/>
  <c r="W18" i="25" a="1"/>
  <c r="W18" i="25" s="1"/>
  <c r="Y18" i="25" a="1"/>
  <c r="Y18" i="25" s="1"/>
  <c r="AB18" i="25" a="1"/>
  <c r="AB18" i="25" s="1"/>
  <c r="AA18" i="25" a="1"/>
  <c r="AA18" i="25" s="1"/>
  <c r="D18" i="25" a="1"/>
  <c r="D18" i="25" s="1"/>
  <c r="C18" i="25" a="1"/>
  <c r="C18" i="25" s="1"/>
  <c r="B18" i="25" a="1"/>
  <c r="B18" i="25" s="1"/>
  <c r="E18" i="25" a="1"/>
  <c r="E18" i="25" s="1"/>
  <c r="Z18" i="25" a="1"/>
  <c r="Z18" i="25" s="1"/>
  <c r="F9" i="4" a="1"/>
  <c r="F9" i="4" s="1"/>
  <c r="F8" i="4" a="1"/>
  <c r="F8" i="4" s="1"/>
  <c r="A42" i="11"/>
  <c r="F7" i="4" a="1"/>
  <c r="F7" i="4" s="1"/>
  <c r="F6" i="4" a="1"/>
  <c r="F6" i="4" s="1"/>
  <c r="C38" i="26" a="1"/>
  <c r="C38" i="26" s="1"/>
  <c r="M29" i="21" a="1"/>
  <c r="M29" i="21" s="1"/>
  <c r="F10" i="4" a="1"/>
  <c r="F10" i="4" s="1"/>
  <c r="N45" i="20"/>
  <c r="A48" i="1"/>
  <c r="A48" i="2"/>
  <c r="A42" i="12"/>
  <c r="A42" i="9"/>
  <c r="A40" i="1"/>
  <c r="N40" i="20"/>
  <c r="A50" i="10"/>
  <c r="N50" i="20"/>
  <c r="A49" i="28"/>
  <c r="N49" i="20"/>
  <c r="A37" i="8"/>
  <c r="N39" i="20"/>
  <c r="A42" i="1"/>
  <c r="N42" i="20"/>
  <c r="A51" i="8"/>
  <c r="N51" i="20"/>
  <c r="A26" i="12"/>
  <c r="N26" i="20"/>
  <c r="A47" i="11"/>
  <c r="N47" i="20"/>
  <c r="A42" i="28"/>
  <c r="A28" i="8"/>
  <c r="N30" i="20"/>
  <c r="E31" i="3" a="1"/>
  <c r="E31" i="3" s="1"/>
  <c r="N32" i="20"/>
  <c r="A42" i="10"/>
  <c r="A33" i="2"/>
  <c r="N33" i="20"/>
  <c r="AB26" i="26" a="1"/>
  <c r="AB26" i="26" s="1"/>
  <c r="A40" i="11"/>
  <c r="I50" i="26" a="1"/>
  <c r="I50" i="26" s="1"/>
  <c r="A40" i="8"/>
  <c r="K54" i="7" a="1"/>
  <c r="K54" i="7" s="1"/>
  <c r="L54" i="7" s="1"/>
  <c r="K38" i="7" a="1"/>
  <c r="K38" i="7" s="1"/>
  <c r="L38" i="7" s="1"/>
  <c r="K33" i="7" a="1"/>
  <c r="K33" i="7" s="1"/>
  <c r="L33" i="7" s="1"/>
  <c r="H44" i="17"/>
  <c r="K31" i="7" a="1"/>
  <c r="K31" i="7" s="1"/>
  <c r="L31" i="7" s="1"/>
  <c r="K49" i="7" a="1"/>
  <c r="K49" i="7" s="1"/>
  <c r="L49" i="7" s="1"/>
  <c r="K20" i="7" a="1"/>
  <c r="K20" i="7" s="1"/>
  <c r="L20" i="7" s="1"/>
  <c r="K57" i="7" a="1"/>
  <c r="K57" i="7" s="1"/>
  <c r="L57" i="7" s="1"/>
  <c r="K21" i="7" a="1"/>
  <c r="K21" i="7" s="1"/>
  <c r="L21" i="7" s="1"/>
  <c r="H75" i="17"/>
  <c r="H46" i="17"/>
  <c r="H46" i="5"/>
  <c r="K47" i="7" a="1"/>
  <c r="K47" i="7" s="1"/>
  <c r="L47" i="7" s="1"/>
  <c r="H40" i="5"/>
  <c r="H63" i="17"/>
  <c r="H16" i="17"/>
  <c r="A48" i="12"/>
  <c r="A24" i="8"/>
  <c r="A24" i="1"/>
  <c r="A40" i="2"/>
  <c r="A24" i="10"/>
  <c r="A24" i="12"/>
  <c r="A24" i="2"/>
  <c r="A26" i="1"/>
  <c r="A47" i="28"/>
  <c r="A47" i="1"/>
  <c r="A32" i="12"/>
  <c r="E11" i="3" a="1"/>
  <c r="E11" i="3" s="1"/>
  <c r="A41" i="1"/>
  <c r="A41" i="10"/>
  <c r="A41" i="11"/>
  <c r="A24" i="9"/>
  <c r="A24" i="11"/>
  <c r="A24" i="28"/>
  <c r="A40" i="28"/>
  <c r="A36" i="11"/>
  <c r="E32" i="3" a="1"/>
  <c r="E32" i="3" s="1"/>
  <c r="E5" i="3" a="1"/>
  <c r="E5" i="3" s="1"/>
  <c r="E8" i="3" a="1"/>
  <c r="E8" i="3" s="1"/>
  <c r="A44" i="12"/>
  <c r="A23" i="28"/>
  <c r="E7" i="3" a="1"/>
  <c r="E7" i="3" s="1"/>
  <c r="E16" i="3" a="1"/>
  <c r="E16" i="3" s="1"/>
  <c r="E78" i="3" a="1"/>
  <c r="E78" i="3" s="1"/>
  <c r="E39" i="3" a="1"/>
  <c r="E39" i="3" s="1"/>
  <c r="E74" i="3" a="1"/>
  <c r="E74" i="3" s="1"/>
  <c r="E55" i="3" a="1"/>
  <c r="E55" i="3" s="1"/>
  <c r="E23" i="3" a="1"/>
  <c r="E23" i="3" s="1"/>
  <c r="A26" i="28"/>
  <c r="E77" i="3" a="1"/>
  <c r="E77" i="3" s="1"/>
  <c r="A40" i="12"/>
  <c r="E17" i="3" a="1"/>
  <c r="E17" i="3" s="1"/>
  <c r="A41" i="28"/>
  <c r="A46" i="28"/>
  <c r="E18" i="3" a="1"/>
  <c r="E18" i="3" s="1"/>
  <c r="A50" i="28"/>
  <c r="A27" i="11"/>
  <c r="E34" i="3" a="1"/>
  <c r="E34" i="3" s="1"/>
  <c r="E22" i="3" a="1"/>
  <c r="E22" i="3" s="1"/>
  <c r="E60" i="3" a="1"/>
  <c r="E60" i="3" s="1"/>
  <c r="E37" i="3" a="1"/>
  <c r="E37" i="3" s="1"/>
  <c r="E52" i="3" a="1"/>
  <c r="E52" i="3" s="1"/>
  <c r="E54" i="3" a="1"/>
  <c r="E54" i="3" s="1"/>
  <c r="E42" i="3" a="1"/>
  <c r="E42" i="3" s="1"/>
  <c r="E61" i="3" a="1"/>
  <c r="E61" i="3" s="1"/>
  <c r="E44" i="3" a="1"/>
  <c r="E44" i="3" s="1"/>
  <c r="E72" i="3" a="1"/>
  <c r="E72" i="3" s="1"/>
  <c r="E46" i="3" a="1"/>
  <c r="E46" i="3" s="1"/>
  <c r="E50" i="3" a="1"/>
  <c r="E50" i="3" s="1"/>
  <c r="E70" i="3" a="1"/>
  <c r="E70" i="3" s="1"/>
  <c r="E66" i="3" a="1"/>
  <c r="E66" i="3" s="1"/>
  <c r="E51" i="3" a="1"/>
  <c r="E51" i="3" s="1"/>
  <c r="E40" i="3" a="1"/>
  <c r="E40" i="3" s="1"/>
  <c r="E49" i="3" a="1"/>
  <c r="E49" i="3" s="1"/>
  <c r="E56" i="3" a="1"/>
  <c r="E56" i="3" s="1"/>
  <c r="E71" i="3" a="1"/>
  <c r="E71" i="3" s="1"/>
  <c r="E47" i="3" a="1"/>
  <c r="E47" i="3" s="1"/>
  <c r="E48" i="3" a="1"/>
  <c r="E48" i="3" s="1"/>
  <c r="E65" i="3" a="1"/>
  <c r="E65" i="3" s="1"/>
  <c r="E59" i="3" a="1"/>
  <c r="E59" i="3" s="1"/>
  <c r="E57" i="3" a="1"/>
  <c r="E57" i="3" s="1"/>
  <c r="E35" i="3" a="1"/>
  <c r="E35" i="3" s="1"/>
  <c r="E67" i="3" a="1"/>
  <c r="E67" i="3" s="1"/>
  <c r="E45" i="3" a="1"/>
  <c r="E45" i="3" s="1"/>
  <c r="E10" i="3" a="1"/>
  <c r="E10" i="3" s="1"/>
  <c r="E43" i="3" a="1"/>
  <c r="E43" i="3" s="1"/>
  <c r="E58" i="3" a="1"/>
  <c r="E58" i="3" s="1"/>
  <c r="E36" i="3" a="1"/>
  <c r="E36" i="3" s="1"/>
  <c r="E75" i="3" a="1"/>
  <c r="E75" i="3" s="1"/>
  <c r="E73" i="3" a="1"/>
  <c r="E73" i="3" s="1"/>
  <c r="E69" i="3" a="1"/>
  <c r="E69" i="3" s="1"/>
  <c r="E64" i="3" a="1"/>
  <c r="E64" i="3" s="1"/>
  <c r="E21" i="3" a="1"/>
  <c r="E21" i="3" s="1"/>
  <c r="E62" i="3" a="1"/>
  <c r="E62" i="3" s="1"/>
  <c r="E68" i="3" a="1"/>
  <c r="E68" i="3" s="1"/>
  <c r="E19" i="3" a="1"/>
  <c r="E19" i="3" s="1"/>
  <c r="E33" i="3" a="1"/>
  <c r="E33" i="3" s="1"/>
  <c r="E20" i="3" a="1"/>
  <c r="E20" i="3" s="1"/>
  <c r="E53" i="3" a="1"/>
  <c r="E53" i="3" s="1"/>
  <c r="E27" i="3" a="1"/>
  <c r="E27" i="3" s="1"/>
  <c r="E63" i="3" a="1"/>
  <c r="E63" i="3" s="1"/>
  <c r="A39" i="8"/>
  <c r="E26" i="3" a="1"/>
  <c r="E26" i="3" s="1"/>
  <c r="A39" i="2"/>
  <c r="E28" i="3" a="1"/>
  <c r="E28" i="3" s="1"/>
  <c r="A30" i="28"/>
  <c r="B2" i="26" a="1"/>
  <c r="B2" i="26" s="1"/>
  <c r="W62" i="26" a="1"/>
  <c r="W62" i="26" s="1"/>
  <c r="F62" i="26" a="1"/>
  <c r="F62" i="26" s="1"/>
  <c r="U50" i="26" a="1"/>
  <c r="U50" i="26" s="1"/>
  <c r="K14" i="26" a="1"/>
  <c r="K14" i="26" s="1"/>
  <c r="AA26" i="26" a="1"/>
  <c r="AA26" i="26" s="1"/>
  <c r="N50" i="26" a="1"/>
  <c r="N50" i="26" s="1"/>
  <c r="O38" i="26" a="1"/>
  <c r="O38" i="26" s="1"/>
  <c r="V2" i="26" a="1"/>
  <c r="V2" i="26" s="1"/>
  <c r="T26" i="26" a="1"/>
  <c r="T26" i="26" s="1"/>
  <c r="X38" i="26" a="1"/>
  <c r="X38" i="26" s="1"/>
  <c r="N74" i="26" a="1"/>
  <c r="N74" i="26" s="1"/>
  <c r="C50" i="26" a="1"/>
  <c r="C50" i="26" s="1"/>
  <c r="Q14" i="26" a="1"/>
  <c r="Q14" i="26" s="1"/>
  <c r="A33" i="8"/>
  <c r="A33" i="28"/>
  <c r="A29" i="2"/>
  <c r="A47" i="8"/>
  <c r="A40" i="9"/>
  <c r="A42" i="8"/>
  <c r="A36" i="10"/>
  <c r="A47" i="2"/>
  <c r="A40" i="10"/>
  <c r="A47" i="12"/>
  <c r="W38" i="26" a="1"/>
  <c r="W38" i="26" s="1"/>
  <c r="G2" i="26" a="1"/>
  <c r="G2" i="26" s="1"/>
  <c r="K74" i="26" a="1"/>
  <c r="K74" i="26" s="1"/>
  <c r="T38" i="26" a="1"/>
  <c r="T38" i="26" s="1"/>
  <c r="H33" i="17"/>
  <c r="AA14" i="26" a="1"/>
  <c r="AA14" i="26" s="1"/>
  <c r="A47" i="9"/>
  <c r="AB38" i="26" a="1"/>
  <c r="AB38" i="26" s="1"/>
  <c r="P50" i="26" a="1"/>
  <c r="P50" i="26" s="1"/>
  <c r="AC62" i="26" a="1"/>
  <c r="AC62" i="26" s="1"/>
  <c r="T62" i="26" a="1"/>
  <c r="T62" i="26" s="1"/>
  <c r="D2" i="26" a="1"/>
  <c r="D2" i="26" s="1"/>
  <c r="Y38" i="26" a="1"/>
  <c r="Y38" i="26" s="1"/>
  <c r="P14" i="26" a="1"/>
  <c r="P14" i="26" s="1"/>
  <c r="R50" i="26" a="1"/>
  <c r="R50" i="26" s="1"/>
  <c r="A47" i="10"/>
  <c r="W50" i="26" a="1"/>
  <c r="W50" i="26" s="1"/>
  <c r="F2" i="26" a="1"/>
  <c r="F2" i="26" s="1"/>
  <c r="W14" i="26" a="1"/>
  <c r="W14" i="26" s="1"/>
  <c r="A36" i="28"/>
  <c r="S50" i="26" a="1"/>
  <c r="S50" i="26" s="1"/>
  <c r="R2" i="26" a="1"/>
  <c r="R2" i="26" s="1"/>
  <c r="S26" i="26" a="1"/>
  <c r="S26" i="26" s="1"/>
  <c r="E50" i="26" a="1"/>
  <c r="E50" i="26" s="1"/>
  <c r="H26" i="26" a="1"/>
  <c r="H26" i="26" s="1"/>
  <c r="K38" i="26" a="1"/>
  <c r="K38" i="26" s="1"/>
  <c r="R62" i="26" a="1"/>
  <c r="R62" i="26" s="1"/>
  <c r="U14" i="26" a="1"/>
  <c r="U14" i="26" s="1"/>
  <c r="Q62" i="26" a="1"/>
  <c r="Q62" i="26" s="1"/>
  <c r="X14" i="26" a="1"/>
  <c r="X14" i="26" s="1"/>
  <c r="G50" i="26" a="1"/>
  <c r="G50" i="26" s="1"/>
  <c r="I74" i="26" a="1"/>
  <c r="I74" i="26" s="1"/>
  <c r="Y14" i="26" a="1"/>
  <c r="Y14" i="26" s="1"/>
  <c r="H42" i="21"/>
  <c r="AC38" i="26" a="1"/>
  <c r="AC38" i="26" s="1"/>
  <c r="C74" i="26" a="1"/>
  <c r="C74" i="26" s="1"/>
  <c r="H62" i="26" a="1"/>
  <c r="H62" i="26" s="1"/>
  <c r="L38" i="26" a="1"/>
  <c r="L38" i="26" s="1"/>
  <c r="A39" i="9"/>
  <c r="A26" i="8"/>
  <c r="J26" i="26" a="1"/>
  <c r="J26" i="26" s="1"/>
  <c r="AA62" i="26" a="1"/>
  <c r="AA62" i="26" s="1"/>
  <c r="N38" i="26" a="1"/>
  <c r="N38" i="26" s="1"/>
  <c r="F50" i="26" a="1"/>
  <c r="F50" i="26" s="1"/>
  <c r="A39" i="28"/>
  <c r="D14" i="26" a="1"/>
  <c r="D14" i="26" s="1"/>
  <c r="M62" i="26" a="1"/>
  <c r="M62" i="26" s="1"/>
  <c r="H74" i="26" a="1"/>
  <c r="H74" i="26" s="1"/>
  <c r="D50" i="26" a="1"/>
  <c r="D50" i="26" s="1"/>
  <c r="H46" i="21"/>
  <c r="Z50" i="26" a="1"/>
  <c r="Z50" i="26" s="1"/>
  <c r="R38" i="26" a="1"/>
  <c r="R38" i="26" s="1"/>
  <c r="B38" i="26" a="1"/>
  <c r="B38" i="26" s="1"/>
  <c r="A36" i="2"/>
  <c r="T50" i="26" a="1"/>
  <c r="T50" i="26" s="1"/>
  <c r="Z38" i="26" a="1"/>
  <c r="Z38" i="26" s="1"/>
  <c r="O2" i="26" a="1"/>
  <c r="O2" i="26" s="1"/>
  <c r="AC26" i="26" a="1"/>
  <c r="AC26" i="26" s="1"/>
  <c r="D74" i="26" a="1"/>
  <c r="D74" i="26" s="1"/>
  <c r="C26" i="26" a="1"/>
  <c r="C26" i="26" s="1"/>
  <c r="Y62" i="26" a="1"/>
  <c r="Y62" i="26" s="1"/>
  <c r="B14" i="26" a="1"/>
  <c r="B14" i="26" s="1"/>
  <c r="Y50" i="26" a="1"/>
  <c r="Y50" i="26" s="1"/>
  <c r="F14" i="26" a="1"/>
  <c r="F14" i="26" s="1"/>
  <c r="I14" i="26" a="1"/>
  <c r="I14" i="26" s="1"/>
  <c r="B74" i="26" a="1"/>
  <c r="B74" i="26" s="1"/>
  <c r="H14" i="26" a="1"/>
  <c r="H14" i="26" s="1"/>
  <c r="V38" i="26" a="1"/>
  <c r="V38" i="26" s="1"/>
  <c r="J38" i="26" a="1"/>
  <c r="J38" i="26" s="1"/>
  <c r="A29" i="8"/>
  <c r="I62" i="26" a="1"/>
  <c r="I62" i="26" s="1"/>
  <c r="AB14" i="26" a="1"/>
  <c r="AB14" i="26" s="1"/>
  <c r="P2" i="26" a="1"/>
  <c r="P2" i="26" s="1"/>
  <c r="K2" i="26" a="1"/>
  <c r="K2" i="26" s="1"/>
  <c r="A26" i="10"/>
  <c r="A39" i="1"/>
  <c r="AC14" i="26" a="1"/>
  <c r="AC14" i="26" s="1"/>
  <c r="C62" i="26" a="1"/>
  <c r="C62" i="26" s="1"/>
  <c r="S62" i="26" a="1"/>
  <c r="S62" i="26" s="1"/>
  <c r="M74" i="26" a="1"/>
  <c r="M74" i="26" s="1"/>
  <c r="K34" i="7" a="1"/>
  <c r="K34" i="7" s="1"/>
  <c r="L34" i="7" s="1"/>
  <c r="K7" i="7" a="1"/>
  <c r="K7" i="7" s="1"/>
  <c r="L7" i="7" s="1"/>
  <c r="K10" i="7" a="1"/>
  <c r="K10" i="7" s="1"/>
  <c r="L10" i="7" s="1"/>
  <c r="K8" i="7" a="1"/>
  <c r="K8" i="7" s="1"/>
  <c r="L8" i="7" s="1"/>
  <c r="K77" i="7" a="1"/>
  <c r="K77" i="7" s="1"/>
  <c r="L77" i="7" s="1"/>
  <c r="K44" i="7" a="1"/>
  <c r="K44" i="7" s="1"/>
  <c r="L44" i="7" s="1"/>
  <c r="H77" i="17"/>
  <c r="K22" i="7" a="1"/>
  <c r="K22" i="7" s="1"/>
  <c r="L22" i="7" s="1"/>
  <c r="K71" i="7" a="1"/>
  <c r="K71" i="7" s="1"/>
  <c r="L71" i="7" s="1"/>
  <c r="K78" i="7" a="1"/>
  <c r="K78" i="7" s="1"/>
  <c r="L78" i="7" s="1"/>
  <c r="K46" i="7" a="1"/>
  <c r="K46" i="7" s="1"/>
  <c r="L46" i="7" s="1"/>
  <c r="H13" i="17"/>
  <c r="J50" i="10"/>
  <c r="J50" i="12" s="1"/>
  <c r="J49" i="10"/>
  <c r="J49" i="12" s="1"/>
  <c r="A31" i="2"/>
  <c r="A45" i="1"/>
  <c r="A43" i="1"/>
  <c r="A37" i="28"/>
  <c r="A37" i="10"/>
  <c r="A45" i="28"/>
  <c r="A48" i="11"/>
  <c r="A37" i="2"/>
  <c r="A49" i="1"/>
  <c r="A27" i="8"/>
  <c r="A37" i="12"/>
  <c r="A31" i="28"/>
  <c r="A38" i="2"/>
  <c r="F17" i="20" a="1"/>
  <c r="F17" i="20" s="1"/>
  <c r="J17" i="8" s="1" a="1"/>
  <c r="J17" i="8" s="1"/>
  <c r="J17" i="11" s="1"/>
  <c r="A27" i="9"/>
  <c r="A38" i="28"/>
  <c r="A28" i="2"/>
  <c r="A45" i="11"/>
  <c r="A34" i="8"/>
  <c r="A28" i="9"/>
  <c r="A27" i="12"/>
  <c r="A37" i="11"/>
  <c r="A34" i="11"/>
  <c r="A30" i="8"/>
  <c r="A30" i="10"/>
  <c r="A30" i="12"/>
  <c r="A31" i="11"/>
  <c r="A30" i="1"/>
  <c r="A34" i="1"/>
  <c r="A30" i="9"/>
  <c r="A43" i="28"/>
  <c r="A49" i="10"/>
  <c r="A34" i="9"/>
  <c r="A45" i="12"/>
  <c r="A25" i="10"/>
  <c r="A34" i="28"/>
  <c r="A34" i="2"/>
  <c r="A25" i="2"/>
  <c r="A43" i="10"/>
  <c r="A25" i="28"/>
  <c r="A46" i="11"/>
  <c r="A46" i="12"/>
  <c r="A46" i="9"/>
  <c r="A46" i="8"/>
  <c r="A32" i="8"/>
  <c r="A46" i="2"/>
  <c r="A46" i="10"/>
  <c r="A29" i="28"/>
  <c r="A32" i="11"/>
  <c r="A41" i="12"/>
  <c r="A29" i="9"/>
  <c r="A32" i="1"/>
  <c r="A44" i="28"/>
  <c r="A44" i="10"/>
  <c r="A29" i="11"/>
  <c r="A32" i="2"/>
  <c r="A46" i="1"/>
  <c r="A44" i="8"/>
  <c r="A25" i="9"/>
  <c r="A29" i="1"/>
  <c r="A32" i="10"/>
  <c r="A41" i="9"/>
  <c r="A41" i="2"/>
  <c r="A25" i="11"/>
  <c r="A29" i="12"/>
  <c r="A32" i="9"/>
  <c r="A44" i="1"/>
  <c r="A41" i="8"/>
  <c r="A25" i="1"/>
  <c r="A29" i="10"/>
  <c r="A32" i="28"/>
  <c r="G40" i="20" a="1"/>
  <c r="G40" i="20" s="1"/>
  <c r="A39" i="12"/>
  <c r="A23" i="10"/>
  <c r="A23" i="2"/>
  <c r="A43" i="11"/>
  <c r="A31" i="8"/>
  <c r="A49" i="11"/>
  <c r="A43" i="8"/>
  <c r="A39" i="10"/>
  <c r="A37" i="9"/>
  <c r="A34" i="12"/>
  <c r="A43" i="12"/>
  <c r="A48" i="8"/>
  <c r="A49" i="9"/>
  <c r="A23" i="8"/>
  <c r="A39" i="11"/>
  <c r="A43" i="2"/>
  <c r="A28" i="12"/>
  <c r="A31" i="12"/>
  <c r="A28" i="11"/>
  <c r="A31" i="10"/>
  <c r="A37" i="1"/>
  <c r="A31" i="1"/>
  <c r="A27" i="28"/>
  <c r="A28" i="1"/>
  <c r="A48" i="9"/>
  <c r="A43" i="9"/>
  <c r="F39" i="20" a="1"/>
  <c r="F39" i="20" s="1"/>
  <c r="A25" i="12"/>
  <c r="A28" i="28"/>
  <c r="A27" i="10"/>
  <c r="A38" i="12"/>
  <c r="A38" i="8"/>
  <c r="A45" i="8"/>
  <c r="A38" i="11"/>
  <c r="A35" i="11"/>
  <c r="A35" i="28"/>
  <c r="A44" i="2"/>
  <c r="A35" i="12"/>
  <c r="A23" i="12"/>
  <c r="F25" i="20" a="1"/>
  <c r="F25" i="20" s="1"/>
  <c r="A44" i="11"/>
  <c r="A23" i="11"/>
  <c r="A38" i="9"/>
  <c r="A23" i="9"/>
  <c r="A35" i="8"/>
  <c r="A38" i="1"/>
  <c r="A23" i="1"/>
  <c r="A44" i="9"/>
  <c r="A25" i="8"/>
  <c r="A50" i="2"/>
  <c r="F19" i="20" a="1"/>
  <c r="F19" i="20" s="1"/>
  <c r="J19" i="8" s="1" a="1"/>
  <c r="J19" i="8" s="1"/>
  <c r="J19" i="9" s="1"/>
  <c r="J19" i="10" s="1"/>
  <c r="J19" i="12" s="1"/>
  <c r="K4" i="7" a="1"/>
  <c r="K4" i="7" s="1"/>
  <c r="H15" i="5"/>
  <c r="K6" i="7" a="1"/>
  <c r="K6" i="7" s="1"/>
  <c r="L6" i="7" s="1"/>
  <c r="K14" i="7" a="1"/>
  <c r="K14" i="7" s="1"/>
  <c r="L14" i="7" s="1"/>
  <c r="P62" i="26" a="1"/>
  <c r="P62" i="26" s="1"/>
  <c r="A33" i="1"/>
  <c r="G14" i="26" a="1"/>
  <c r="G14" i="26" s="1"/>
  <c r="A33" i="10"/>
  <c r="K73" i="7" a="1"/>
  <c r="K73" i="7" s="1"/>
  <c r="L73" i="7" s="1"/>
  <c r="A26" i="2"/>
  <c r="A33" i="11"/>
  <c r="A26" i="11"/>
  <c r="A30" i="11"/>
  <c r="A33" i="9"/>
  <c r="G34" i="20" a="1"/>
  <c r="G34" i="20" s="1"/>
  <c r="K12" i="7" a="1"/>
  <c r="K12" i="7" s="1"/>
  <c r="L12" i="7" s="1"/>
  <c r="A45" i="9"/>
  <c r="A26" i="9"/>
  <c r="A30" i="2"/>
  <c r="A33" i="12"/>
  <c r="A45" i="10"/>
  <c r="K45" i="7" a="1"/>
  <c r="K45" i="7" s="1"/>
  <c r="L45" i="7" s="1"/>
  <c r="K29" i="7" a="1"/>
  <c r="K29" i="7" s="1"/>
  <c r="L29" i="7" s="1"/>
  <c r="A36" i="1"/>
  <c r="A36" i="9"/>
  <c r="G41" i="20" a="1"/>
  <c r="G41" i="20" s="1"/>
  <c r="A36" i="8"/>
  <c r="A49" i="2"/>
  <c r="G20" i="20" a="1"/>
  <c r="G20" i="20" s="1"/>
  <c r="A36" i="12"/>
  <c r="A45" i="2"/>
  <c r="P38" i="26" a="1"/>
  <c r="P38" i="26" s="1"/>
  <c r="K62" i="26" a="1"/>
  <c r="K62" i="26" s="1"/>
  <c r="Q26" i="26" a="1"/>
  <c r="Q26" i="26" s="1"/>
  <c r="K24" i="7" a="1"/>
  <c r="K24" i="7" s="1"/>
  <c r="L24" i="7" s="1"/>
  <c r="H31" i="5"/>
  <c r="I26" i="26" a="1"/>
  <c r="I26" i="26" s="1"/>
  <c r="N26" i="26" a="1"/>
  <c r="N26" i="26" s="1"/>
  <c r="O62" i="26" a="1"/>
  <c r="O62" i="26" s="1"/>
  <c r="M50" i="26" a="1"/>
  <c r="M50" i="26" s="1"/>
  <c r="D62" i="26" a="1"/>
  <c r="D62" i="26" s="1"/>
  <c r="V62" i="26" a="1"/>
  <c r="V62" i="26" s="1"/>
  <c r="L14" i="26" a="1"/>
  <c r="L14" i="26" s="1"/>
  <c r="AC2" i="26" a="1"/>
  <c r="AC2" i="26" s="1"/>
  <c r="S38" i="26" a="1"/>
  <c r="S38" i="26" s="1"/>
  <c r="AC50" i="26" a="1"/>
  <c r="AC50" i="26" s="1"/>
  <c r="G37" i="20" a="1"/>
  <c r="G37" i="20" s="1"/>
  <c r="G43" i="20" a="1"/>
  <c r="G43" i="20" s="1"/>
  <c r="F8" i="20" a="1"/>
  <c r="F8" i="20" s="1"/>
  <c r="J8" i="8" s="1" a="1"/>
  <c r="J8" i="8" s="1"/>
  <c r="G48" i="20" a="1"/>
  <c r="G48" i="20" s="1"/>
  <c r="F48" i="20" a="1"/>
  <c r="F48" i="20" s="1"/>
  <c r="A50" i="11"/>
  <c r="F35" i="20" a="1"/>
  <c r="F35" i="20" s="1"/>
  <c r="G39" i="20" a="1"/>
  <c r="G39" i="20" s="1"/>
  <c r="F18" i="20" a="1"/>
  <c r="F18" i="20" s="1"/>
  <c r="J18" i="8" s="1" a="1"/>
  <c r="J18" i="8" s="1"/>
  <c r="G4" i="20" a="1"/>
  <c r="G4" i="20" s="1"/>
  <c r="G42" i="20" a="1"/>
  <c r="G42" i="20" s="1"/>
  <c r="G9" i="20" a="1"/>
  <c r="G9" i="20" s="1"/>
  <c r="A50" i="9"/>
  <c r="A50" i="1"/>
  <c r="F37" i="20" a="1"/>
  <c r="F37" i="20" s="1"/>
  <c r="G11" i="20" a="1"/>
  <c r="G11" i="20" s="1"/>
  <c r="A50" i="8"/>
  <c r="E14" i="26" a="1"/>
  <c r="E14" i="26" s="1"/>
  <c r="G36" i="20" a="1"/>
  <c r="G36" i="20" s="1"/>
  <c r="F41" i="20" a="1"/>
  <c r="F41" i="20" s="1"/>
  <c r="F9" i="20" a="1"/>
  <c r="F9" i="20" s="1"/>
  <c r="J9" i="8" s="1" a="1"/>
  <c r="J9" i="8" s="1"/>
  <c r="J9" i="11" s="1"/>
  <c r="F27" i="20" a="1"/>
  <c r="F27" i="20" s="1"/>
  <c r="F34" i="20" a="1"/>
  <c r="F34" i="20" s="1"/>
  <c r="F30" i="20" a="1"/>
  <c r="F30" i="20" s="1"/>
  <c r="B50" i="26" a="1"/>
  <c r="B50" i="26" s="1"/>
  <c r="G28" i="20" a="1"/>
  <c r="G28" i="20" s="1"/>
  <c r="G44" i="20" a="1"/>
  <c r="G44" i="20" s="1"/>
  <c r="F12" i="20" a="1"/>
  <c r="F12" i="20" s="1"/>
  <c r="J12" i="8" s="1" a="1"/>
  <c r="J12" i="8" s="1"/>
  <c r="J12" i="11" s="1"/>
  <c r="F22" i="20" a="1"/>
  <c r="F22" i="20" s="1"/>
  <c r="J22" i="8" s="1" a="1"/>
  <c r="J22" i="8" s="1"/>
  <c r="X26" i="26" a="1"/>
  <c r="X26" i="26" s="1"/>
  <c r="N2" i="26" a="1"/>
  <c r="N2" i="26" s="1"/>
  <c r="V26" i="26" a="1"/>
  <c r="V26" i="26" s="1"/>
  <c r="U26" i="26" a="1"/>
  <c r="U26" i="26" s="1"/>
  <c r="R14" i="26" a="1"/>
  <c r="R14" i="26" s="1"/>
  <c r="AB50" i="26" a="1"/>
  <c r="AB50" i="26" s="1"/>
  <c r="M38" i="26" a="1"/>
  <c r="M38" i="26" s="1"/>
  <c r="O14" i="26" a="1"/>
  <c r="O14" i="26" s="1"/>
  <c r="L74" i="26" a="1"/>
  <c r="L74" i="26" s="1"/>
  <c r="B62" i="26" a="1"/>
  <c r="B62" i="26" s="1"/>
  <c r="U17" i="25" a="1"/>
  <c r="U17" i="25" s="1"/>
  <c r="B26" i="26" a="1"/>
  <c r="B26" i="26" s="1"/>
  <c r="X2" i="26" a="1"/>
  <c r="X2" i="26" s="1"/>
  <c r="E2" i="26" a="1"/>
  <c r="E2" i="26" s="1"/>
  <c r="U2" i="26" a="1"/>
  <c r="U2" i="26" s="1"/>
  <c r="X50" i="26" a="1"/>
  <c r="X50" i="26" s="1"/>
  <c r="V14" i="26" a="1"/>
  <c r="V14" i="26" s="1"/>
  <c r="M2" i="26" a="1"/>
  <c r="M2" i="26" s="1"/>
  <c r="F26" i="26" a="1"/>
  <c r="F26" i="26" s="1"/>
  <c r="G6" i="20" a="1"/>
  <c r="G6" i="20" s="1"/>
  <c r="B1" i="23" a="1"/>
  <c r="B1" i="23" s="1"/>
  <c r="F13" i="20" a="1"/>
  <c r="F13" i="20" s="1"/>
  <c r="J13" i="8" s="1" a="1"/>
  <c r="J13" i="8" s="1"/>
  <c r="G21" i="20" a="1"/>
  <c r="G21" i="20" s="1"/>
  <c r="G46" i="20" a="1"/>
  <c r="G46" i="20" s="1"/>
  <c r="G12" i="20" a="1"/>
  <c r="G12" i="20" s="1"/>
  <c r="F36" i="20" a="1"/>
  <c r="F36" i="20" s="1"/>
  <c r="D26" i="26" a="1"/>
  <c r="D26" i="26" s="1"/>
  <c r="G13" i="20" a="1"/>
  <c r="G13" i="20" s="1"/>
  <c r="F44" i="20" a="1"/>
  <c r="F44" i="20" s="1"/>
  <c r="H38" i="26" a="1"/>
  <c r="H38" i="26" s="1"/>
  <c r="C2" i="26" a="1"/>
  <c r="C2" i="26" s="1"/>
  <c r="E74" i="26" a="1"/>
  <c r="E74" i="26" s="1"/>
  <c r="O50" i="26" a="1"/>
  <c r="O50" i="26" s="1"/>
  <c r="E26" i="26" a="1"/>
  <c r="E26" i="26" s="1"/>
  <c r="U62" i="26" a="1"/>
  <c r="U62" i="26" s="1"/>
  <c r="Q38" i="26" a="1"/>
  <c r="Q38" i="26" s="1"/>
  <c r="K72" i="7" a="1"/>
  <c r="K72" i="7" s="1"/>
  <c r="L72" i="7" s="1"/>
  <c r="K76" i="7" a="1"/>
  <c r="K76" i="7" s="1"/>
  <c r="L76" i="7" s="1"/>
  <c r="F20" i="20" a="1"/>
  <c r="F20" i="20" s="1"/>
  <c r="J20" i="8" s="1" a="1"/>
  <c r="J20" i="8" s="1"/>
  <c r="T14" i="26" a="1"/>
  <c r="T14" i="26" s="1"/>
  <c r="AA2" i="26" a="1"/>
  <c r="AA2" i="26" s="1"/>
  <c r="J74" i="26" a="1"/>
  <c r="J74" i="26" s="1"/>
  <c r="K9" i="7" a="1"/>
  <c r="K9" i="7" s="1"/>
  <c r="L9" i="7" s="1"/>
  <c r="G47" i="20" a="1"/>
  <c r="G47" i="20" s="1"/>
  <c r="F14" i="20" a="1"/>
  <c r="F14" i="20" s="1"/>
  <c r="J14" i="8" s="1" a="1"/>
  <c r="J14" i="8" s="1"/>
  <c r="J14" i="9" s="1"/>
  <c r="J14" i="10" s="1"/>
  <c r="J14" i="12" s="1"/>
  <c r="F26" i="20" a="1"/>
  <c r="F26" i="20" s="1"/>
  <c r="G24" i="20" a="1"/>
  <c r="G24" i="20" s="1"/>
  <c r="G74" i="26" a="1"/>
  <c r="G74" i="26" s="1"/>
  <c r="X62" i="26" a="1"/>
  <c r="X62" i="26" s="1"/>
  <c r="L50" i="26" a="1"/>
  <c r="L50" i="26" s="1"/>
  <c r="U38" i="26" a="1"/>
  <c r="U38" i="26" s="1"/>
  <c r="V50" i="26" a="1"/>
  <c r="V50" i="26" s="1"/>
  <c r="G62" i="26" a="1"/>
  <c r="G62" i="26" s="1"/>
  <c r="G26" i="26" a="1"/>
  <c r="G26" i="26" s="1"/>
  <c r="K50" i="7" a="1"/>
  <c r="K50" i="7" s="1"/>
  <c r="L50" i="7" s="1"/>
  <c r="K23" i="7" a="1"/>
  <c r="K23" i="7" s="1"/>
  <c r="L23" i="7" s="1"/>
  <c r="K37" i="7" a="1"/>
  <c r="K37" i="7" s="1"/>
  <c r="L37" i="7" s="1"/>
  <c r="H25" i="17"/>
  <c r="G16" i="20" a="1"/>
  <c r="G16" i="20" s="1"/>
  <c r="F33" i="20" a="1"/>
  <c r="F33" i="20" s="1"/>
  <c r="K11" i="7" a="1"/>
  <c r="K11" i="7" s="1"/>
  <c r="L11" i="7" s="1"/>
  <c r="E38" i="26" a="1"/>
  <c r="E38" i="26" s="1"/>
  <c r="M26" i="26" a="1"/>
  <c r="M26" i="26" s="1"/>
  <c r="K26" i="26" a="1"/>
  <c r="K26" i="26" s="1"/>
  <c r="AB2" i="26" a="1"/>
  <c r="AB2" i="26" s="1"/>
  <c r="K74" i="7" a="1"/>
  <c r="K74" i="7" s="1"/>
  <c r="L74" i="7" s="1"/>
  <c r="K60" i="7" a="1"/>
  <c r="K60" i="7" s="1"/>
  <c r="L60" i="7" s="1"/>
  <c r="K25" i="7" a="1"/>
  <c r="K25" i="7" s="1"/>
  <c r="L25" i="7" s="1"/>
  <c r="A49" i="12"/>
  <c r="G8" i="20" a="1"/>
  <c r="G8" i="20" s="1"/>
  <c r="H14" i="5"/>
  <c r="I2" i="26" a="1"/>
  <c r="I2" i="26" s="1"/>
  <c r="Q50" i="26" a="1"/>
  <c r="Q50" i="26" s="1"/>
  <c r="Y2" i="26" a="1"/>
  <c r="Y2" i="26" s="1"/>
  <c r="J50" i="26" a="1"/>
  <c r="J50" i="26" s="1"/>
  <c r="G18" i="20" a="1"/>
  <c r="G18" i="20" s="1"/>
  <c r="F5" i="20" a="1"/>
  <c r="F5" i="20" s="1"/>
  <c r="J5" i="8" s="1" a="1"/>
  <c r="J5" i="8" s="1"/>
  <c r="A51" i="9"/>
  <c r="G23" i="20" a="1"/>
  <c r="G23" i="20" s="1"/>
  <c r="G30" i="20" a="1"/>
  <c r="G30" i="20" s="1"/>
  <c r="F28" i="20" a="1"/>
  <c r="F28" i="20" s="1"/>
  <c r="G38" i="20" a="1"/>
  <c r="G38" i="20" s="1"/>
  <c r="F46" i="20" a="1"/>
  <c r="F46" i="20" s="1"/>
  <c r="K63" i="7" a="1"/>
  <c r="K63" i="7" s="1"/>
  <c r="L63" i="7" s="1"/>
  <c r="A51" i="10"/>
  <c r="F15" i="20" a="1"/>
  <c r="F15" i="20" s="1"/>
  <c r="J15" i="8" s="1" a="1"/>
  <c r="J15" i="8" s="1"/>
  <c r="J15" i="11" s="1"/>
  <c r="F43" i="20" a="1"/>
  <c r="F43" i="20" s="1"/>
  <c r="G35" i="20" a="1"/>
  <c r="G35" i="20" s="1"/>
  <c r="F6" i="20" a="1"/>
  <c r="F6" i="20" s="1"/>
  <c r="J6" i="8" s="1" a="1"/>
  <c r="J6" i="8" s="1"/>
  <c r="J6" i="11" s="1"/>
  <c r="G19" i="20" a="1"/>
  <c r="G19" i="20" s="1"/>
  <c r="K40" i="7" a="1"/>
  <c r="K40" i="7" s="1"/>
  <c r="L40" i="7" s="1"/>
  <c r="F7" i="20" a="1"/>
  <c r="F7" i="20" s="1"/>
  <c r="J7" i="8" s="1" a="1"/>
  <c r="J7" i="8" s="1"/>
  <c r="J7" i="9" s="1"/>
  <c r="J7" i="10" s="1"/>
  <c r="J7" i="12" s="1"/>
  <c r="G26" i="20" a="1"/>
  <c r="G26" i="20" s="1"/>
  <c r="F29" i="20" a="1"/>
  <c r="F29" i="20" s="1"/>
  <c r="F45" i="20" a="1"/>
  <c r="F45" i="20" s="1"/>
  <c r="F38" i="20" a="1"/>
  <c r="F38" i="20" s="1"/>
  <c r="F23" i="20" a="1"/>
  <c r="F23" i="20" s="1"/>
  <c r="F40" i="20" a="1"/>
  <c r="F40" i="20" s="1"/>
  <c r="K18" i="7" a="1"/>
  <c r="K18" i="7" s="1"/>
  <c r="L18" i="7" s="1"/>
  <c r="F16" i="20" a="1"/>
  <c r="F16" i="20" s="1"/>
  <c r="J16" i="8" s="1" a="1"/>
  <c r="J16" i="8" s="1"/>
  <c r="G22" i="20" a="1"/>
  <c r="G22" i="20" s="1"/>
  <c r="A49" i="8"/>
  <c r="G15" i="20" a="1"/>
  <c r="G15" i="20" s="1"/>
  <c r="F21" i="20" a="1"/>
  <c r="F21" i="20" s="1"/>
  <c r="J21" i="8" s="1" a="1"/>
  <c r="J21" i="8" s="1"/>
  <c r="F4" i="20" a="1"/>
  <c r="F4" i="20" s="1"/>
  <c r="J4" i="8" s="1" a="1"/>
  <c r="J4" i="8" s="1"/>
  <c r="F10" i="20" a="1"/>
  <c r="F10" i="20" s="1"/>
  <c r="J10" i="8" s="1" a="1"/>
  <c r="J10" i="8" s="1"/>
  <c r="J10" i="11" s="1"/>
  <c r="G17" i="20" a="1"/>
  <c r="G17" i="20" s="1"/>
  <c r="G5" i="20" a="1"/>
  <c r="G5" i="20" s="1"/>
  <c r="G25" i="20" a="1"/>
  <c r="G25" i="20" s="1"/>
  <c r="K19" i="7" a="1"/>
  <c r="K19" i="7" s="1"/>
  <c r="L19" i="7" s="1"/>
  <c r="G10" i="20" a="1"/>
  <c r="G10" i="20" s="1"/>
  <c r="F31" i="20" a="1"/>
  <c r="F31" i="20" s="1"/>
  <c r="H73" i="5"/>
  <c r="P26" i="26" a="1"/>
  <c r="P26" i="26" s="1"/>
  <c r="W2" i="26" a="1"/>
  <c r="W2" i="26" s="1"/>
  <c r="Q2" i="26" a="1"/>
  <c r="Q2" i="26" s="1"/>
  <c r="N14" i="26" a="1"/>
  <c r="N14" i="26" s="1"/>
  <c r="O26" i="26" a="1"/>
  <c r="O26" i="26" s="1"/>
  <c r="L62" i="26" a="1"/>
  <c r="L62" i="26" s="1"/>
  <c r="F74" i="26" a="1"/>
  <c r="F74" i="26" s="1"/>
  <c r="D38" i="26" a="1"/>
  <c r="D38" i="26" s="1"/>
  <c r="AB62" i="26" a="1"/>
  <c r="AB62" i="26" s="1"/>
  <c r="C14" i="26" a="1"/>
  <c r="C14" i="26" s="1"/>
  <c r="AA38" i="26" a="1"/>
  <c r="AA38" i="26" s="1"/>
  <c r="R26" i="26" a="1"/>
  <c r="R26" i="26" s="1"/>
  <c r="J14" i="26" a="1"/>
  <c r="J14" i="26" s="1"/>
  <c r="Z62" i="26" a="1"/>
  <c r="Z62" i="26" s="1"/>
  <c r="I38" i="26" a="1"/>
  <c r="I38" i="26" s="1"/>
  <c r="Y26" i="26" a="1"/>
  <c r="Y26" i="26" s="1"/>
  <c r="AA50" i="26" a="1"/>
  <c r="AA50" i="26" s="1"/>
  <c r="H2" i="26" a="1"/>
  <c r="H2" i="26" s="1"/>
  <c r="K50" i="26" a="1"/>
  <c r="K50" i="26" s="1"/>
  <c r="T2" i="26" a="1"/>
  <c r="T2" i="26" s="1"/>
  <c r="H50" i="26" a="1"/>
  <c r="H50" i="26" s="1"/>
  <c r="J2" i="26" a="1"/>
  <c r="J2" i="26" s="1"/>
  <c r="M14" i="26" a="1"/>
  <c r="M14" i="26" s="1"/>
  <c r="F38" i="26" a="1"/>
  <c r="F38" i="26" s="1"/>
  <c r="J62" i="26" a="1"/>
  <c r="J62" i="26" s="1"/>
  <c r="G38" i="26" a="1"/>
  <c r="G38" i="26" s="1"/>
  <c r="E62" i="26" a="1"/>
  <c r="E62" i="26" s="1"/>
  <c r="Z26" i="26" a="1"/>
  <c r="Z26" i="26" s="1"/>
  <c r="N62" i="26" a="1"/>
  <c r="N62" i="26" s="1"/>
  <c r="W26" i="26" a="1"/>
  <c r="W26" i="26" s="1"/>
  <c r="L26" i="26" a="1"/>
  <c r="L26" i="26" s="1"/>
  <c r="K5" i="7" a="1"/>
  <c r="K5" i="7" s="1"/>
  <c r="L5" i="7" s="1"/>
  <c r="K16" i="7" a="1"/>
  <c r="K16" i="7" s="1"/>
  <c r="L16" i="7" s="1"/>
  <c r="K61" i="7" a="1"/>
  <c r="K61" i="7" s="1"/>
  <c r="L61" i="7" s="1"/>
  <c r="K68" i="7" a="1"/>
  <c r="K68" i="7" s="1"/>
  <c r="L68" i="7" s="1"/>
  <c r="K51" i="7" a="1"/>
  <c r="K51" i="7" s="1"/>
  <c r="L51" i="7" s="1"/>
  <c r="H39" i="17"/>
  <c r="H48" i="17"/>
  <c r="K62" i="7" a="1"/>
  <c r="K62" i="7" s="1"/>
  <c r="L62" i="7" s="1"/>
  <c r="A51" i="2"/>
  <c r="A51" i="11"/>
  <c r="A51" i="12"/>
  <c r="A51" i="1"/>
  <c r="G32" i="20" a="1"/>
  <c r="G32" i="20" s="1"/>
  <c r="G31" i="20" a="1"/>
  <c r="G31" i="20" s="1"/>
  <c r="K26" i="7" a="1"/>
  <c r="K26" i="7" s="1"/>
  <c r="L26" i="7" s="1"/>
  <c r="K67" i="7" a="1"/>
  <c r="K67" i="7" s="1"/>
  <c r="L67" i="7" s="1"/>
  <c r="H47" i="17"/>
  <c r="K36" i="7" a="1"/>
  <c r="K36" i="7" s="1"/>
  <c r="L36" i="7" s="1"/>
  <c r="K28" i="7" a="1"/>
  <c r="K28" i="7" s="1"/>
  <c r="L28" i="7" s="1"/>
  <c r="G33" i="20" a="1"/>
  <c r="G33" i="20" s="1"/>
  <c r="F24" i="20" a="1"/>
  <c r="F24" i="20" s="1"/>
  <c r="F11" i="20" a="1"/>
  <c r="F11" i="20" s="1"/>
  <c r="J11" i="8" s="1" a="1"/>
  <c r="J11" i="8" s="1"/>
  <c r="J11" i="11" s="1"/>
  <c r="F47" i="20" a="1"/>
  <c r="F47" i="20" s="1"/>
  <c r="G29" i="20" a="1"/>
  <c r="G29" i="20" s="1"/>
  <c r="K69" i="7" a="1"/>
  <c r="K69" i="7" s="1"/>
  <c r="L69" i="7" s="1"/>
  <c r="G14" i="20" a="1"/>
  <c r="G14" i="20" s="1"/>
  <c r="A50" i="12"/>
  <c r="F32" i="20" a="1"/>
  <c r="F32" i="20" s="1"/>
  <c r="H50" i="17"/>
  <c r="G7" i="20" a="1"/>
  <c r="G7" i="20" s="1"/>
  <c r="F42" i="20" a="1"/>
  <c r="F42" i="20" s="1"/>
  <c r="G45" i="20" a="1"/>
  <c r="G45" i="20" s="1"/>
  <c r="G27" i="20" a="1"/>
  <c r="G27" i="20" s="1"/>
  <c r="K64" i="7" a="1"/>
  <c r="K64" i="7" s="1"/>
  <c r="L64" i="7" s="1"/>
  <c r="K43" i="7" a="1"/>
  <c r="K43" i="7" s="1"/>
  <c r="L43" i="7" s="1"/>
  <c r="K13" i="7" a="1"/>
  <c r="K13" i="7" s="1"/>
  <c r="L13" i="7" s="1"/>
  <c r="H49" i="5"/>
  <c r="K39" i="7" a="1"/>
  <c r="K39" i="7" s="1"/>
  <c r="L39" i="7" s="1"/>
  <c r="H12" i="17"/>
  <c r="H12" i="5"/>
  <c r="H78" i="5"/>
  <c r="H78" i="17"/>
  <c r="K70" i="7" a="1"/>
  <c r="K70" i="7" s="1"/>
  <c r="L70" i="7" s="1"/>
  <c r="K27" i="7" a="1"/>
  <c r="K27" i="7" s="1"/>
  <c r="L27" i="7" s="1"/>
  <c r="K66" i="7" a="1"/>
  <c r="K66" i="7" s="1"/>
  <c r="L66" i="7" s="1"/>
  <c r="H61" i="17"/>
  <c r="K15" i="7" a="1"/>
  <c r="K15" i="7" s="1"/>
  <c r="L15" i="7" s="1"/>
  <c r="H36" i="5"/>
  <c r="H45" i="17"/>
  <c r="H34" i="5"/>
  <c r="H34" i="17"/>
  <c r="K42" i="7" a="1"/>
  <c r="K42" i="7" s="1"/>
  <c r="L42" i="7" s="1"/>
  <c r="H38" i="5"/>
  <c r="H38" i="17"/>
  <c r="O34" i="2" a="1"/>
  <c r="O34" i="2" s="1"/>
  <c r="P34" i="2" s="1"/>
  <c r="O50" i="2" a="1"/>
  <c r="O50" i="2" s="1"/>
  <c r="P50" i="2" s="1"/>
  <c r="O17" i="2" a="1"/>
  <c r="O17" i="2" s="1"/>
  <c r="P17" i="2" s="1"/>
  <c r="O23" i="2" a="1"/>
  <c r="O23" i="2" s="1"/>
  <c r="P23" i="2" s="1"/>
  <c r="O39" i="2" a="1"/>
  <c r="O39" i="2" s="1"/>
  <c r="P39" i="2" s="1"/>
  <c r="T40" i="21"/>
  <c r="O16" i="2" a="1"/>
  <c r="O16" i="2" s="1"/>
  <c r="P16" i="2" s="1"/>
  <c r="O33" i="2" a="1"/>
  <c r="O33" i="2" s="1"/>
  <c r="P33" i="2" s="1"/>
  <c r="O29" i="2" a="1"/>
  <c r="O29" i="2" s="1"/>
  <c r="P29" i="2" s="1"/>
  <c r="O31" i="2" a="1"/>
  <c r="O31" i="2" s="1"/>
  <c r="P31" i="2" s="1"/>
  <c r="O37" i="2" a="1"/>
  <c r="O37" i="2" s="1"/>
  <c r="P37" i="2" s="1"/>
  <c r="O49" i="2" a="1"/>
  <c r="O49" i="2" s="1"/>
  <c r="P49" i="2" s="1"/>
  <c r="O42" i="2" a="1"/>
  <c r="O42" i="2" s="1"/>
  <c r="P42" i="2" s="1"/>
  <c r="O43" i="2" a="1"/>
  <c r="O43" i="2" s="1"/>
  <c r="P43" i="2" s="1"/>
  <c r="O22" i="2" a="1"/>
  <c r="O22" i="2" s="1"/>
  <c r="P22" i="2" s="1"/>
  <c r="O14" i="2" a="1"/>
  <c r="O14" i="2" s="1"/>
  <c r="P14" i="2" s="1"/>
  <c r="O28" i="2" a="1"/>
  <c r="O28" i="2" s="1"/>
  <c r="P28" i="2" s="1"/>
  <c r="O41" i="2" a="1"/>
  <c r="O41" i="2" s="1"/>
  <c r="P41" i="2" s="1"/>
  <c r="O26" i="2" a="1"/>
  <c r="O26" i="2" s="1"/>
  <c r="P26" i="2" s="1"/>
  <c r="O45" i="2" a="1"/>
  <c r="O45" i="2" s="1"/>
  <c r="P45" i="2" s="1"/>
  <c r="O30" i="2" a="1"/>
  <c r="O30" i="2" s="1"/>
  <c r="P30" i="2" s="1"/>
  <c r="O36" i="2" a="1"/>
  <c r="O36" i="2" s="1"/>
  <c r="P36" i="2" s="1"/>
  <c r="O15" i="2" a="1"/>
  <c r="O15" i="2" s="1"/>
  <c r="P15" i="2" s="1"/>
  <c r="O8" i="2" a="1"/>
  <c r="O8" i="2" s="1"/>
  <c r="P8" i="2" s="1"/>
  <c r="O25" i="2" a="1"/>
  <c r="O25" i="2" s="1"/>
  <c r="P25" i="2" s="1"/>
  <c r="O5" i="2" a="1"/>
  <c r="O5" i="2" s="1"/>
  <c r="P5" i="2" s="1"/>
  <c r="O27" i="2" a="1"/>
  <c r="O27" i="2" s="1"/>
  <c r="P27" i="2" s="1"/>
  <c r="O18" i="2" a="1"/>
  <c r="O18" i="2" s="1"/>
  <c r="P18" i="2" s="1"/>
  <c r="O19" i="2" a="1"/>
  <c r="O19" i="2" s="1"/>
  <c r="P19" i="2" s="1"/>
  <c r="O6" i="2" a="1"/>
  <c r="O6" i="2" s="1"/>
  <c r="P6" i="2" s="1"/>
  <c r="U30" i="21" a="1"/>
  <c r="U30" i="21" s="1"/>
  <c r="O13" i="2" a="1"/>
  <c r="O13" i="2" s="1"/>
  <c r="P13" i="2" s="1"/>
  <c r="O12" i="2" a="1"/>
  <c r="O12" i="2" s="1"/>
  <c r="P12" i="2" s="1"/>
  <c r="O21" i="2" a="1"/>
  <c r="O21" i="2" s="1"/>
  <c r="O44" i="2" a="1"/>
  <c r="O44" i="2" s="1"/>
  <c r="P44" i="2" s="1"/>
  <c r="O51" i="2" a="1"/>
  <c r="O51" i="2" s="1"/>
  <c r="P51" i="2" s="1"/>
  <c r="O9" i="2" a="1"/>
  <c r="O9" i="2" s="1"/>
  <c r="P9" i="2" s="1"/>
  <c r="O11" i="2" a="1"/>
  <c r="O11" i="2" s="1"/>
  <c r="P11" i="2" s="1"/>
  <c r="P52" i="9"/>
  <c r="O52" i="9" s="1"/>
  <c r="R32" i="21" a="1"/>
  <c r="R32" i="21" s="1"/>
  <c r="R33" i="21" a="1"/>
  <c r="R33" i="21" s="1"/>
  <c r="R34" i="21" s="1"/>
  <c r="O46" i="2" a="1"/>
  <c r="O46" i="2" s="1"/>
  <c r="P46" i="2" s="1"/>
  <c r="O32" i="2" a="1"/>
  <c r="O32" i="2" s="1"/>
  <c r="P32" i="2" s="1"/>
  <c r="O20" i="2" a="1"/>
  <c r="O20" i="2" s="1"/>
  <c r="P20" i="2" s="1"/>
  <c r="Q31" i="21" a="1"/>
  <c r="Q31" i="21" s="1"/>
  <c r="Q29" i="21" a="1"/>
  <c r="Q29" i="21" s="1"/>
  <c r="Q32" i="21" a="1"/>
  <c r="Q32" i="21" s="1"/>
  <c r="Q30" i="21" a="1"/>
  <c r="Q30" i="21" s="1"/>
  <c r="Q33" i="21" a="1"/>
  <c r="Q33" i="21" s="1"/>
  <c r="Q34" i="21" s="1"/>
  <c r="R18" i="21" a="1"/>
  <c r="R18" i="21" s="1"/>
  <c r="J3" i="19" s="1"/>
  <c r="H51" i="17"/>
  <c r="H51" i="5"/>
  <c r="H43" i="17"/>
  <c r="H43" i="5"/>
  <c r="K75" i="7" a="1"/>
  <c r="K75" i="7" s="1"/>
  <c r="L75" i="7" s="1"/>
  <c r="P22" i="21"/>
  <c r="P20" i="21"/>
  <c r="I42" i="21"/>
  <c r="H6" i="17"/>
  <c r="I44" i="21"/>
  <c r="I45" i="21"/>
  <c r="I41" i="21"/>
  <c r="I40" i="21"/>
  <c r="N50" i="21" a="1"/>
  <c r="N50" i="21" s="1"/>
  <c r="O50" i="21" s="1"/>
  <c r="U29" i="21" a="1"/>
  <c r="U29" i="21" s="1"/>
  <c r="R29" i="21" a="1"/>
  <c r="R29" i="21" s="1"/>
  <c r="P23" i="21"/>
  <c r="N51" i="21" a="1"/>
  <c r="N51" i="21" s="1"/>
  <c r="O51" i="21" s="1"/>
  <c r="H41" i="21"/>
  <c r="H43" i="21"/>
  <c r="O48" i="2" a="1"/>
  <c r="O48" i="2" s="1"/>
  <c r="P48" i="2" s="1"/>
  <c r="I46" i="21"/>
  <c r="O47" i="2" a="1"/>
  <c r="O47" i="2" s="1"/>
  <c r="P47" i="2" s="1"/>
  <c r="K55" i="7" a="1"/>
  <c r="K55" i="7" s="1"/>
  <c r="L55" i="7" s="1"/>
  <c r="K41" i="7" a="1"/>
  <c r="K41" i="7" s="1"/>
  <c r="L41" i="7" s="1"/>
  <c r="N79" i="6"/>
  <c r="P21" i="21"/>
  <c r="H37" i="17"/>
  <c r="H37" i="5"/>
  <c r="I43" i="21"/>
  <c r="S52" i="1"/>
  <c r="O79" i="17"/>
  <c r="O7" i="2" a="1"/>
  <c r="O7" i="2" s="1"/>
  <c r="P7" i="2" s="1"/>
  <c r="H42" i="17"/>
  <c r="U32" i="21" a="1"/>
  <c r="U32" i="21" s="1"/>
  <c r="K35" i="7" a="1"/>
  <c r="K35" i="7" s="1"/>
  <c r="L35" i="7" s="1"/>
  <c r="T28" i="21" a="1"/>
  <c r="T28" i="21" s="1"/>
  <c r="U28" i="21" a="1"/>
  <c r="U28" i="21" s="1"/>
  <c r="Q28" i="21" a="1"/>
  <c r="Q28" i="21" s="1"/>
  <c r="R28" i="21" a="1"/>
  <c r="R28" i="21" s="1"/>
  <c r="H76" i="5"/>
  <c r="H76" i="17"/>
  <c r="S24" i="21"/>
  <c r="S22" i="21"/>
  <c r="S20" i="21"/>
  <c r="S21" i="21"/>
  <c r="S23" i="21"/>
  <c r="S25" i="21"/>
  <c r="P52" i="10"/>
  <c r="M2" i="2" s="1"/>
  <c r="N79" i="5"/>
  <c r="N79" i="16"/>
  <c r="M32" i="21" a="1"/>
  <c r="M32" i="21" s="1"/>
  <c r="M33" i="21" a="1"/>
  <c r="M33" i="21" s="1"/>
  <c r="N53" i="21" a="1"/>
  <c r="N53" i="21" s="1"/>
  <c r="O53" i="21" s="1"/>
  <c r="K30" i="7" a="1"/>
  <c r="K30" i="7" s="1"/>
  <c r="L30" i="7" s="1"/>
  <c r="H53" i="17"/>
  <c r="H74" i="5"/>
  <c r="H74" i="17"/>
  <c r="H44" i="21"/>
  <c r="N49" i="21" a="1"/>
  <c r="N49" i="21" s="1"/>
  <c r="H35" i="17"/>
  <c r="H35" i="5"/>
  <c r="O38" i="2" a="1"/>
  <c r="O38" i="2" s="1"/>
  <c r="P38" i="2" s="1"/>
  <c r="H40" i="21"/>
  <c r="Z17" i="25"/>
  <c r="J36" i="21"/>
  <c r="J37" i="21" s="1"/>
  <c r="L52" i="2"/>
  <c r="E21" i="13" a="1"/>
  <c r="E21" i="13" s="1"/>
  <c r="K56" i="7" a="1"/>
  <c r="K56" i="7" s="1"/>
  <c r="L56" i="7" s="1"/>
  <c r="H11" i="17"/>
  <c r="H11" i="5"/>
  <c r="H52" i="17"/>
  <c r="H52" i="5"/>
  <c r="P52" i="11"/>
  <c r="L2" i="2" s="1"/>
  <c r="K53" i="7" a="1"/>
  <c r="K53" i="7" s="1"/>
  <c r="L53" i="7" s="1"/>
  <c r="K65" i="7" a="1"/>
  <c r="K65" i="7" s="1"/>
  <c r="L65" i="7" s="1"/>
  <c r="K32" i="7" a="1"/>
  <c r="K32" i="7" s="1"/>
  <c r="L32" i="7" s="1"/>
  <c r="O4" i="2" a="1"/>
  <c r="O4" i="2" s="1"/>
  <c r="O24" i="2" a="1"/>
  <c r="O24" i="2" s="1"/>
  <c r="P24" i="2" s="1"/>
  <c r="U31" i="21" a="1"/>
  <c r="U31" i="21" s="1"/>
  <c r="P52" i="8"/>
  <c r="R31" i="21" a="1"/>
  <c r="R31" i="21" s="1"/>
  <c r="N52" i="21" a="1"/>
  <c r="N52" i="21" s="1"/>
  <c r="O52" i="21" s="1"/>
  <c r="P52" i="12"/>
  <c r="H17" i="17"/>
  <c r="H41" i="5"/>
  <c r="H41" i="17"/>
  <c r="O10" i="2" a="1"/>
  <c r="O10" i="2" s="1"/>
  <c r="P10" i="2" s="1"/>
  <c r="O35" i="2" a="1"/>
  <c r="O35" i="2" s="1"/>
  <c r="P35" i="2" s="1"/>
  <c r="O40" i="2" a="1"/>
  <c r="O40" i="2" s="1"/>
  <c r="P40" i="2" s="1"/>
  <c r="K58" i="7" a="1"/>
  <c r="K58" i="7" s="1"/>
  <c r="L58" i="7" s="1"/>
  <c r="K59" i="7" a="1"/>
  <c r="K59" i="7" s="1"/>
  <c r="L59" i="7" s="1"/>
  <c r="E24" i="13" a="1"/>
  <c r="E24" i="13" s="1"/>
  <c r="AA17" i="25"/>
  <c r="K36" i="21"/>
  <c r="K37" i="21" s="1"/>
  <c r="M52" i="2"/>
  <c r="H45" i="21"/>
  <c r="K48" i="7" a="1"/>
  <c r="K48" i="7" s="1"/>
  <c r="L48" i="7" s="1"/>
  <c r="R30" i="21" a="1"/>
  <c r="R30" i="21" s="1"/>
  <c r="L4" i="7" l="1"/>
  <c r="F18" i="25" a="1"/>
  <c r="F18" i="25" s="1"/>
  <c r="J26" i="8" a="1"/>
  <c r="J26" i="8" s="1"/>
  <c r="J32" i="8" a="1"/>
  <c r="J32" i="8" s="1"/>
  <c r="J36" i="8" a="1"/>
  <c r="J36" i="8" s="1"/>
  <c r="J43" i="8" a="1"/>
  <c r="J43" i="8" s="1"/>
  <c r="J24" i="8" a="1"/>
  <c r="J24" i="8" s="1"/>
  <c r="J38" i="8" a="1"/>
  <c r="J38" i="8" s="1"/>
  <c r="J38" i="9" s="1"/>
  <c r="J27" i="8" a="1"/>
  <c r="J27" i="8" s="1"/>
  <c r="J19" i="11"/>
  <c r="J30" i="8" a="1"/>
  <c r="J30" i="8" s="1"/>
  <c r="J33" i="8" a="1"/>
  <c r="J33" i="8" s="1"/>
  <c r="J42" i="8" a="1"/>
  <c r="J42" i="8" s="1"/>
  <c r="J42" i="1" s="1"/>
  <c r="J44" i="8" a="1"/>
  <c r="J44" i="8" s="1"/>
  <c r="J47" i="8" a="1"/>
  <c r="J47" i="8" s="1"/>
  <c r="J25" i="8" a="1"/>
  <c r="J25" i="8" s="1"/>
  <c r="J25" i="11" s="1"/>
  <c r="J40" i="8" a="1"/>
  <c r="J40" i="8" s="1"/>
  <c r="J29" i="8" a="1"/>
  <c r="J29" i="8" s="1"/>
  <c r="J31" i="8" a="1"/>
  <c r="J31" i="8" s="1"/>
  <c r="J31" i="11" s="1"/>
  <c r="J35" i="8" a="1"/>
  <c r="J35" i="8" s="1"/>
  <c r="J34" i="8" a="1"/>
  <c r="J34" i="8" s="1"/>
  <c r="J46" i="8" a="1"/>
  <c r="J46" i="8" s="1"/>
  <c r="J28" i="8" a="1"/>
  <c r="J28" i="8" s="1"/>
  <c r="J23" i="8" a="1"/>
  <c r="J23" i="8" s="1"/>
  <c r="J37" i="8" a="1"/>
  <c r="J37" i="8" s="1"/>
  <c r="J41" i="8" a="1"/>
  <c r="J41" i="8" s="1"/>
  <c r="J45" i="8" a="1"/>
  <c r="J45" i="8" s="1"/>
  <c r="J39" i="8" a="1"/>
  <c r="J39" i="8" s="1"/>
  <c r="J14" i="11"/>
  <c r="J48" i="8" a="1"/>
  <c r="J48" i="8" s="1"/>
  <c r="J48" i="9" s="1"/>
  <c r="J48" i="10" s="1"/>
  <c r="J48" i="12" s="1"/>
  <c r="J12" i="9"/>
  <c r="J12" i="10" s="1"/>
  <c r="J12" i="12" s="1"/>
  <c r="J21" i="9"/>
  <c r="J21" i="10" s="1"/>
  <c r="J21" i="12" s="1"/>
  <c r="J21" i="11"/>
  <c r="J7" i="11"/>
  <c r="K46" i="21"/>
  <c r="T39" i="21"/>
  <c r="K41" i="21"/>
  <c r="K42" i="21"/>
  <c r="K43" i="21"/>
  <c r="S31" i="21"/>
  <c r="S29" i="21"/>
  <c r="S30" i="21"/>
  <c r="T44" i="21"/>
  <c r="P21" i="2"/>
  <c r="T43" i="21"/>
  <c r="T45" i="21"/>
  <c r="K2" i="2"/>
  <c r="S32" i="21"/>
  <c r="S33" i="21"/>
  <c r="S34" i="21" s="1"/>
  <c r="O49" i="21"/>
  <c r="AE5" i="26" s="1" a="1"/>
  <c r="AE5" i="26" s="1"/>
  <c r="J2" i="2"/>
  <c r="R52" i="1"/>
  <c r="K44" i="21"/>
  <c r="O52" i="12"/>
  <c r="N2" i="2"/>
  <c r="K45" i="21"/>
  <c r="M79" i="5"/>
  <c r="I2" i="7"/>
  <c r="O52" i="8"/>
  <c r="I2" i="2"/>
  <c r="J4" i="11"/>
  <c r="J22" i="11"/>
  <c r="J22" i="9"/>
  <c r="J22" i="10" s="1"/>
  <c r="J22" i="12" s="1"/>
  <c r="V18" i="25" a="1"/>
  <c r="V18" i="25" s="1"/>
  <c r="P4" i="2"/>
  <c r="J45" i="21"/>
  <c r="J44" i="21"/>
  <c r="J42" i="21"/>
  <c r="J43" i="21"/>
  <c r="J41" i="21"/>
  <c r="J46" i="21"/>
  <c r="J40" i="21"/>
  <c r="L79" i="7"/>
  <c r="G57" i="21" s="1"/>
  <c r="G58" i="21" s="1"/>
  <c r="J13" i="11"/>
  <c r="J13" i="9"/>
  <c r="J13" i="10" s="1"/>
  <c r="J13" i="12" s="1"/>
  <c r="K40" i="21"/>
  <c r="S28" i="21"/>
  <c r="M79" i="6"/>
  <c r="H2" i="7"/>
  <c r="J8" i="11"/>
  <c r="J8" i="9"/>
  <c r="J16" i="9"/>
  <c r="J16" i="10" s="1"/>
  <c r="J16" i="12" s="1"/>
  <c r="J16" i="11"/>
  <c r="J20" i="11"/>
  <c r="J20" i="9"/>
  <c r="J20" i="10" s="1"/>
  <c r="J20" i="12" s="1"/>
  <c r="Y17" i="25"/>
  <c r="I36" i="21"/>
  <c r="I37" i="21" s="1"/>
  <c r="K52" i="2"/>
  <c r="E19" i="13" a="1"/>
  <c r="E19" i="13" s="1"/>
  <c r="M79" i="16"/>
  <c r="G2" i="7"/>
  <c r="J2" i="7"/>
  <c r="N79" i="17"/>
  <c r="J28" i="11" l="1"/>
  <c r="J28" i="1"/>
  <c r="J30" i="9"/>
  <c r="J42" i="11"/>
  <c r="J40" i="11"/>
  <c r="J33" i="9"/>
  <c r="J45" i="9"/>
  <c r="J36" i="9"/>
  <c r="J26" i="9"/>
  <c r="J46" i="11"/>
  <c r="J44" i="9"/>
  <c r="J47" i="11"/>
  <c r="J29" i="9"/>
  <c r="J29" i="10" s="1"/>
  <c r="J27" i="9"/>
  <c r="J43" i="11"/>
  <c r="J41" i="9"/>
  <c r="J32" i="11"/>
  <c r="J23" i="9"/>
  <c r="J23" i="10" s="1"/>
  <c r="J23" i="12" s="1"/>
  <c r="J26" i="11"/>
  <c r="J38" i="11"/>
  <c r="J43" i="9"/>
  <c r="J32" i="9"/>
  <c r="J47" i="9"/>
  <c r="J47" i="10" s="1"/>
  <c r="J47" i="12" s="1"/>
  <c r="J42" i="9"/>
  <c r="J36" i="11"/>
  <c r="J31" i="9"/>
  <c r="J27" i="11"/>
  <c r="J30" i="11"/>
  <c r="J29" i="11"/>
  <c r="J46" i="9"/>
  <c r="J45" i="11"/>
  <c r="J44" i="11"/>
  <c r="J40" i="9"/>
  <c r="J25" i="9"/>
  <c r="J33" i="11"/>
  <c r="J28" i="9"/>
  <c r="J28" i="10" s="1"/>
  <c r="J23" i="11"/>
  <c r="J41" i="11"/>
  <c r="J39" i="9"/>
  <c r="J39" i="11"/>
  <c r="J37" i="11"/>
  <c r="J37" i="9"/>
  <c r="J34" i="9"/>
  <c r="J34" i="11"/>
  <c r="J35" i="11"/>
  <c r="J35" i="9"/>
  <c r="L40" i="21"/>
  <c r="L45" i="21"/>
  <c r="L42" i="21"/>
  <c r="L43" i="21"/>
  <c r="J48" i="11"/>
  <c r="L41" i="21"/>
  <c r="L46" i="21"/>
  <c r="L44" i="21"/>
  <c r="P52" i="2"/>
  <c r="G79" i="7" a="1"/>
  <c r="G79" i="7" s="1"/>
  <c r="G53" i="21"/>
  <c r="G54" i="21" s="1"/>
  <c r="E17" i="25"/>
  <c r="I53" i="21"/>
  <c r="I54" i="21" s="1"/>
  <c r="C17" i="25"/>
  <c r="I79" i="7"/>
  <c r="I52" i="2"/>
  <c r="E10" i="13" a="1"/>
  <c r="E10" i="13" s="1"/>
  <c r="G36" i="21"/>
  <c r="G37" i="21" s="1"/>
  <c r="W17" i="25"/>
  <c r="K79" i="7"/>
  <c r="J79" i="7"/>
  <c r="J53" i="21"/>
  <c r="J54" i="21" s="1"/>
  <c r="B17" i="25"/>
  <c r="N52" i="2"/>
  <c r="E25" i="13" a="1"/>
  <c r="E25" i="13" s="1"/>
  <c r="AB17" i="25"/>
  <c r="L36" i="21"/>
  <c r="L37" i="21" s="1"/>
  <c r="H36" i="21"/>
  <c r="H37" i="21" s="1"/>
  <c r="J52" i="2"/>
  <c r="E14" i="13" a="1"/>
  <c r="E14" i="13" s="1"/>
  <c r="X17" i="25"/>
  <c r="J8" i="10"/>
  <c r="H53" i="21"/>
  <c r="H54" i="21" s="1"/>
  <c r="D17" i="25"/>
  <c r="H79" i="7"/>
  <c r="M43" i="21" l="1"/>
  <c r="M40" i="21"/>
  <c r="M44" i="21"/>
  <c r="M46" i="21"/>
  <c r="M42" i="21"/>
  <c r="M41" i="21"/>
  <c r="M45" i="21"/>
  <c r="O52" i="2"/>
  <c r="I49" i="21" s="1"/>
  <c r="I57" i="21"/>
  <c r="G49" i="21"/>
  <c r="J46" i="10"/>
  <c r="J46" i="12" s="1"/>
  <c r="J36" i="10"/>
  <c r="J31" i="10"/>
  <c r="J41" i="10"/>
  <c r="J39" i="10"/>
  <c r="J35" i="10"/>
  <c r="J25" i="10"/>
  <c r="J27" i="10"/>
  <c r="J27" i="12" s="1"/>
  <c r="J42" i="10"/>
  <c r="J33" i="10"/>
  <c r="J37" i="10"/>
  <c r="J34" i="10"/>
  <c r="J34" i="12" s="1"/>
  <c r="J32" i="10"/>
  <c r="J32" i="12" s="1"/>
  <c r="J26" i="10"/>
  <c r="J26" i="12" s="1"/>
  <c r="J43" i="10"/>
  <c r="J43" i="12" s="1"/>
  <c r="J30" i="10"/>
  <c r="J30" i="12" s="1"/>
  <c r="J40" i="10"/>
  <c r="J40" i="12" s="1"/>
  <c r="J44" i="10"/>
  <c r="J44" i="12" s="1"/>
  <c r="J45" i="10"/>
  <c r="J45" i="12" s="1"/>
  <c r="J38" i="10"/>
  <c r="O41" i="21"/>
  <c r="O43" i="21"/>
  <c r="N46" i="21"/>
  <c r="N41" i="21"/>
  <c r="N42" i="21"/>
  <c r="N44" i="21"/>
  <c r="N40" i="21"/>
  <c r="O45" i="21"/>
  <c r="N43" i="21"/>
  <c r="O40" i="21"/>
  <c r="O44" i="21"/>
  <c r="O46" i="21"/>
  <c r="O42" i="21"/>
  <c r="N45" i="21"/>
  <c r="H49" i="21" a="1"/>
  <c r="H49" i="21" s="1"/>
  <c r="H50" i="21" a="1"/>
  <c r="H50" i="21" s="1"/>
  <c r="J8" i="12"/>
  <c r="G50" i="21"/>
  <c r="H57" i="21" l="1"/>
  <c r="H58" i="21" s="1"/>
  <c r="I58" i="21"/>
  <c r="I50" i="21"/>
  <c r="J37" i="12"/>
  <c r="J35" i="12"/>
  <c r="J28" i="12"/>
  <c r="J25" i="12"/>
  <c r="J24" i="12"/>
  <c r="J31" i="12"/>
  <c r="J33" i="12"/>
  <c r="J39" i="12"/>
  <c r="J41" i="12"/>
  <c r="J42" i="12"/>
  <c r="J36" i="12"/>
  <c r="J38" i="12"/>
  <c r="J29" i="12"/>
  <c r="P40" i="21"/>
  <c r="P44" i="21"/>
  <c r="P43" i="21"/>
  <c r="P45" i="21"/>
  <c r="P41" i="21"/>
  <c r="P46" i="21"/>
  <c r="P42" i="21"/>
  <c r="Q45" i="21" l="1"/>
  <c r="Q42" i="21"/>
  <c r="Q44" i="21"/>
  <c r="Q41" i="21"/>
  <c r="Q40" i="21"/>
  <c r="Q43" i="21"/>
  <c r="Q46"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Requête - anim" description="Connexion à la requête « anim » dans le classeur." type="5" refreshedVersion="0" background="1">
    <dbPr connection="Provider=Microsoft.Mashup.OleDb.1;Data Source=$Workbook$;Location=anim;Extended Properties=&quot;&quot;" command="SELECT * FROM [anim]"/>
  </connection>
  <connection id="2" xr16:uid="{00000000-0015-0000-FFFF-FFFF01000000}" keepAlive="1" interval="360" name="Requête - Asset Tasks" description="Connexion à la requête « Asset Tasks » dans le classeur." type="5" refreshedVersion="8" background="1" saveData="1">
    <dbPr connection="Provider=Microsoft.Mashup.OleDb.1;Data Source=$Workbook$;Location=&quot;Asset Tasks&quot;;Extended Properties=&quot;&quot;" command="SELECT * FROM [Asset Tasks]"/>
  </connection>
  <connection id="3" xr16:uid="{00000000-0015-0000-FFFF-FFFF02000000}" keepAlive="1" name="Requête - comp" description="Connexion à la requête « comp » dans le classeur." type="5" refreshedVersion="0" background="1">
    <dbPr connection="Provider=Microsoft.Mashup.OleDb.1;Data Source=$Workbook$;Location=comp;Extended Properties=&quot;&quot;" command="SELECT * FROM [comp]"/>
  </connection>
  <connection id="4" xr16:uid="{00000000-0015-0000-FFFF-FFFF03000000}" keepAlive="1" name="Requête - design" description="Connexion à la requête « design » dans le classeur." type="5" refreshedVersion="0" background="1">
    <dbPr connection="Provider=Microsoft.Mashup.OleDb.1;Data Source=$Workbook$;Location=design;Extended Properties=&quot;&quot;" command="SELECT * FROM [design]"/>
  </connection>
  <connection id="5" xr16:uid="{00000000-0015-0000-FFFF-FFFF04000000}" keepAlive="1" name="Requête - layout" description="Connexion à la requête « layout » dans le classeur." type="5" refreshedVersion="0" background="1">
    <dbPr connection="Provider=Microsoft.Mashup.OleDb.1;Data Source=$Workbook$;Location=layout;Extended Properties=&quot;&quot;" command="SELECT * FROM [layout]"/>
  </connection>
  <connection id="6" xr16:uid="{00000000-0015-0000-FFFF-FFFF05000000}" keepAlive="1" name="Requête - lighting" description="Connexion à la requête « lighting » dans le classeur." type="5" refreshedVersion="0" background="1">
    <dbPr connection="Provider=Microsoft.Mashup.OleDb.1;Data Source=$Workbook$;Location=lighting;Extended Properties=&quot;&quot;" command="SELECT * FROM [lighting]"/>
  </connection>
  <connection id="7" xr16:uid="{00000000-0015-0000-FFFF-FFFF06000000}" keepAlive="1" name="Requête - modeling" description="Connexion à la requête « modeling » dans le classeur." type="5" refreshedVersion="0" background="1">
    <dbPr connection="Provider=Microsoft.Mashup.OleDb.1;Data Source=$Workbook$;Location=modeling;Extended Properties=&quot;&quot;" command="SELECT * FROM [modeling]"/>
  </connection>
  <connection id="8" xr16:uid="{00000000-0015-0000-FFFF-FFFF07000000}" keepAlive="1" name="Requête - render" description="Connexion à la requête « render » dans le classeur." type="5" refreshedVersion="0" background="1">
    <dbPr connection="Provider=Microsoft.Mashup.OleDb.1;Data Source=$Workbook$;Location=render;Extended Properties=&quot;&quot;" command="SELECT * FROM [render]"/>
  </connection>
  <connection id="9" xr16:uid="{00000000-0015-0000-FFFF-FFFF08000000}" keepAlive="1" name="Requête - rigging" description="Connexion à la requête « rigging » dans le classeur." type="5" refreshedVersion="0" background="1">
    <dbPr connection="Provider=Microsoft.Mashup.OleDb.1;Data Source=$Workbook$;Location=rigging;Extended Properties=&quot;&quot;" command="SELECT * FROM [rigging]"/>
  </connection>
  <connection id="10" xr16:uid="{00000000-0015-0000-FFFF-FFFF09000000}" keepAlive="1" interval="360" name="Requête - Shot Tasks1" description="Connexion à la requête « Shot Tasks » dans le classeur." type="5" refreshedVersion="8" background="1" saveData="1">
    <dbPr connection="Provider=Microsoft.Mashup.OleDb.1;Data Source=$Workbook$;Location=&quot;Shot Tasks&quot;;Extended Properties=&quot;&quot;" command="SELECT * FROM [Shot Tasks]"/>
  </connection>
  <connection id="11" xr16:uid="{00000000-0015-0000-FFFF-FFFF0A000000}" keepAlive="1" name="Requête - surfacing" description="Connexion à la requête « surfacing » dans le classeur." type="5" refreshedVersion="0" background="1">
    <dbPr connection="Provider=Microsoft.Mashup.OleDb.1;Data Source=$Workbook$;Location=surfacing;Extended Properties=&quot;&quot;" command="SELECT * FROM [surfacing]"/>
  </connection>
  <connection id="12" xr16:uid="{00000000-0015-0000-FFFF-FFFF0B000000}" keepAlive="1" name="Requête - Tasks" description="Connexion à la requête « Tasks » dans le classeur." type="5" refreshedVersion="8" background="1" saveData="1">
    <dbPr connection="Provider=Microsoft.Mashup.OleDb.1;Data Source=$Workbook$;Location=Tasks;Extended Properties=&quot;&quot;" command="SELECT * FROM [Tasks]"/>
  </connection>
  <connection id="13" xr16:uid="{00000000-0015-0000-FFFF-FFFF0C000000}" keepAlive="1" name="Requête - vfx" description="Connexion à la requête « vfx » dans le classeur." type="5" refreshedVersion="0" background="1">
    <dbPr connection="Provider=Microsoft.Mashup.OleDb.1;Data Source=$Workbook$;Location=vfx;Extended Properties=&quot;&quot;" command="SELECT * FROM [vfx]"/>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futureMetadata>
  <cellMetadata count="1">
    <bk>
      <rc t="1" v="0"/>
    </bk>
  </cellMetadata>
  <valueMetadata count="9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valueMetadata>
</metadata>
</file>

<file path=xl/sharedStrings.xml><?xml version="1.0" encoding="utf-8"?>
<sst xmlns="http://schemas.openxmlformats.org/spreadsheetml/2006/main" count="3815" uniqueCount="682">
  <si>
    <t>Équipe</t>
  </si>
  <si>
    <t>Elixir</t>
  </si>
  <si>
    <t>Titre du projet</t>
  </si>
  <si>
    <t>Jeanne Dark</t>
  </si>
  <si>
    <t>Remise finale</t>
  </si>
  <si>
    <t xml:space="preserve"> </t>
  </si>
  <si>
    <t>Artist</t>
  </si>
  <si>
    <t>Role</t>
  </si>
  <si>
    <t>Weekly Commitment</t>
  </si>
  <si>
    <t>Year Commitment</t>
  </si>
  <si>
    <t>Base Line</t>
  </si>
  <si>
    <t>Hours To Do</t>
  </si>
  <si>
    <t>P-A</t>
  </si>
  <si>
    <t>Réalisatrice</t>
  </si>
  <si>
    <t>Fred</t>
  </si>
  <si>
    <t>Coordinateur</t>
  </si>
  <si>
    <t>AnnLau</t>
  </si>
  <si>
    <t>Directrice Technique</t>
  </si>
  <si>
    <t>Jacob</t>
  </si>
  <si>
    <t>Directeur de l'Animation</t>
  </si>
  <si>
    <t>Mym</t>
  </si>
  <si>
    <t>Directrice Artistique</t>
  </si>
  <si>
    <t>Total</t>
  </si>
  <si>
    <t>Type</t>
  </si>
  <si>
    <t>Remise</t>
  </si>
  <si>
    <t>Date</t>
  </si>
  <si>
    <t>Production</t>
  </si>
  <si>
    <t>Synopsis, tests techniques</t>
  </si>
  <si>
    <t>Déroulé, scénarimage, animatique</t>
  </si>
  <si>
    <t>Plan modèle, poses-clés, layout</t>
  </si>
  <si>
    <t>Œuvre v1</t>
  </si>
  <si>
    <t>Suivi</t>
  </si>
  <si>
    <t>Suivi d'équipe 1</t>
  </si>
  <si>
    <t>Suivi individuel 1</t>
  </si>
  <si>
    <t>Artbook 1</t>
  </si>
  <si>
    <t>Rapport - Mentorat_TTER</t>
  </si>
  <si>
    <t>Suivi d'équipe 2</t>
  </si>
  <si>
    <t>Suivi individuel 2</t>
  </si>
  <si>
    <t>Rapport - Production</t>
  </si>
  <si>
    <t>Semainier</t>
  </si>
  <si>
    <t>Artbook 2</t>
  </si>
  <si>
    <t>Livraison Finale</t>
  </si>
  <si>
    <t>Avancement</t>
  </si>
  <si>
    <t>Pic lock</t>
  </si>
  <si>
    <t>Comité professionnel</t>
  </si>
  <si>
    <t>Projection fin de cours</t>
  </si>
  <si>
    <t>Prête pour évaluation</t>
  </si>
  <si>
    <t>Rapport - TTER</t>
  </si>
  <si>
    <t>Suivi d'équipe</t>
  </si>
  <si>
    <t>ArtBook</t>
  </si>
  <si>
    <t>PUNCH</t>
  </si>
  <si>
    <t>date</t>
  </si>
  <si>
    <r>
      <rPr>
        <b/>
        <sz val="14"/>
        <color theme="1"/>
        <rFont val="Aptos"/>
        <family val="2"/>
      </rPr>
      <t>Ctrl</t>
    </r>
    <r>
      <rPr>
        <sz val="14"/>
        <color theme="1"/>
        <rFont val="Aptos"/>
        <family val="2"/>
      </rPr>
      <t xml:space="preserve"> + </t>
    </r>
    <r>
      <rPr>
        <b/>
        <sz val="14"/>
        <color theme="1"/>
        <rFont val="Aptos"/>
        <family val="2"/>
      </rPr>
      <t>;</t>
    </r>
  </si>
  <si>
    <t>heure</t>
  </si>
  <si>
    <r>
      <rPr>
        <b/>
        <sz val="14"/>
        <color theme="1"/>
        <rFont val="Aptos"/>
        <family val="2"/>
      </rPr>
      <t>Ctrl</t>
    </r>
    <r>
      <rPr>
        <sz val="14"/>
        <color theme="1"/>
        <rFont val="Aptos"/>
        <family val="2"/>
      </rPr>
      <t xml:space="preserve">  + </t>
    </r>
    <r>
      <rPr>
        <b/>
        <sz val="14"/>
        <color theme="1"/>
        <rFont val="Aptos"/>
        <family val="2"/>
      </rPr>
      <t>Shift</t>
    </r>
    <r>
      <rPr>
        <sz val="14"/>
        <color theme="1"/>
        <rFont val="Aptos"/>
        <family val="2"/>
      </rPr>
      <t xml:space="preserve"> + </t>
    </r>
    <r>
      <rPr>
        <b/>
        <sz val="14"/>
        <color theme="1"/>
        <rFont val="Aptos"/>
        <family val="2"/>
      </rPr>
      <t>;</t>
    </r>
  </si>
  <si>
    <t>Working hours (week)</t>
  </si>
  <si>
    <t>Time In</t>
  </si>
  <si>
    <t>Time Out</t>
  </si>
  <si>
    <t>Total Time</t>
  </si>
  <si>
    <t>WeekNum</t>
  </si>
  <si>
    <t>Week Total</t>
  </si>
  <si>
    <t>Description</t>
  </si>
  <si>
    <t>anim feu vitrail</t>
  </si>
  <si>
    <t>reposing 010_180</t>
  </si>
  <si>
    <t>blocking 010_180</t>
  </si>
  <si>
    <t>spline 010_180</t>
  </si>
  <si>
    <t>crowd 010</t>
  </si>
  <si>
    <t>setup 010_010, texture drapeau, crowd pour la sequence 010 fini</t>
  </si>
  <si>
    <t>spline 010_180a190 + start polish seq020 + setup scenes de comp</t>
  </si>
  <si>
    <t>Travaillé sur le mur/socle du vitrail</t>
  </si>
  <si>
    <t>rendu plan 010_010, teste ferme de rendu avec override shader</t>
  </si>
  <si>
    <t>Modeling Int cathédrale, les toits side L-R Int, les tours Ext</t>
  </si>
  <si>
    <t>polish 010_080a090 - 010_200 - 010_040 - 010_170</t>
  </si>
  <si>
    <t>MP pour la sequence 010</t>
  </si>
  <si>
    <t>crowd sequence 010 done avec des abres</t>
  </si>
  <si>
    <t>setup scene de comp + pseudocode copyToServer script</t>
  </si>
  <si>
    <t>dissolution setup + anim + lil polish feu</t>
  </si>
  <si>
    <t>polish 010_100, spline 030_100, copyToServer UI</t>
  </si>
  <si>
    <t>Modélisation de l'extérieur de la cathédrale</t>
  </si>
  <si>
    <t>prep jeanne texture plus setup subdv catlark, rendu 010_040</t>
  </si>
  <si>
    <t>dissolution</t>
  </si>
  <si>
    <t>copyToServer UI</t>
  </si>
  <si>
    <t xml:space="preserve">Suivi individuel, </t>
  </si>
  <si>
    <t>copyToServer UI, cam 060_010</t>
  </si>
  <si>
    <t>Update animatique avec Jacob, mp x2, meet, anim 040_040</t>
  </si>
  <si>
    <t>adjust cam seq030, seq040, copyToServer UI</t>
  </si>
  <si>
    <t>Heures dans le suvi individuel ARK</t>
  </si>
  <si>
    <t>copyToServer UI, update reel (playblast), compositing</t>
  </si>
  <si>
    <t>anim 040_110, son, fix 040_045, credits, support moral</t>
  </si>
  <si>
    <t>TOUT RENDRE MERCI BONSOÈREEEE</t>
  </si>
  <si>
    <t xml:space="preserve">update reel, compositing </t>
  </si>
  <si>
    <t>yippee</t>
  </si>
  <si>
    <t>aaaaaa</t>
  </si>
  <si>
    <t>Meeting prep + Reviews plans + Meeting</t>
  </si>
  <si>
    <t>meeting, blocking3 + spline 030_080, spline 030_020, playblast_maker tool</t>
  </si>
  <si>
    <t>meeting</t>
  </si>
  <si>
    <t>VFX review with Mym!</t>
  </si>
  <si>
    <t>VFX review with P-A!</t>
  </si>
  <si>
    <t>Travail sur les modules de la ville</t>
  </si>
  <si>
    <t>cam 020_050, polish 030_020, spline 030_060, cam 030_050, fix other cams</t>
  </si>
  <si>
    <t xml:space="preserve">crowd </t>
  </si>
  <si>
    <t>crowd</t>
  </si>
  <si>
    <t>spline 030_050, polish 030_040, spline 030_070, layout 030_100</t>
  </si>
  <si>
    <t xml:space="preserve">fix crowd 010 </t>
  </si>
  <si>
    <t>Recherche ref/texture armure vitrail Jeanne</t>
  </si>
  <si>
    <t xml:space="preserve">Anim 2D, fix la 060_010/060_020. </t>
  </si>
  <si>
    <t>export cam plus cathedral blender, hr</t>
  </si>
  <si>
    <t>Pipeline review, hr</t>
  </si>
  <si>
    <t xml:space="preserve">spline 030_110, spline 030_120, spline 030_130, </t>
  </si>
  <si>
    <t>Meet prep, Meet, Recherche shot ref.,anim. 060_010</t>
  </si>
  <si>
    <t>Anim Drapeau</t>
  </si>
  <si>
    <t>Ajustement cathédrale.</t>
  </si>
  <si>
    <t>polish 030_130</t>
  </si>
  <si>
    <t>spline 030_150</t>
  </si>
  <si>
    <t>polish 030_060, 030_020, cam 030_110</t>
  </si>
  <si>
    <t>Fix trou, 030_030,040_040,045,110,060_010, anim 060_010, export all</t>
  </si>
  <si>
    <t>Update reel</t>
  </si>
  <si>
    <t>publish anim 010_040-070-080-090-200</t>
  </si>
  <si>
    <t>camera shake 040_010, adjust eyes 030_040, spline 040_010</t>
  </si>
  <si>
    <t>spline 030_100, camera shake 030_110-120-130</t>
  </si>
  <si>
    <t>spline 030_100</t>
  </si>
  <si>
    <t>spline 040_120, discussion seq040, spline 050_010-020</t>
  </si>
  <si>
    <t>Seq 040</t>
  </si>
  <si>
    <t>export cam anim pour 030_110/120/130/150 dans blender, début rendu 010_070/080</t>
  </si>
  <si>
    <t>rendu ++++</t>
  </si>
  <si>
    <t>work BPlayblast</t>
  </si>
  <si>
    <t>spline 030_100, spline 050_020, spline 050_010, blocking 040_135, publish cam seq030</t>
  </si>
  <si>
    <t>rendre dans nuke tous les plans rendu hier, prep cathedral pour crowd seq030, debut crowd seq030</t>
  </si>
  <si>
    <t>Vitrail Mesh</t>
  </si>
  <si>
    <t>Work on BPlayblast</t>
  </si>
  <si>
    <t>import floor cathedral a zero pour 030_110/120/130/150, continuer crowd seq 030</t>
  </si>
  <si>
    <t>spline 050_020,</t>
  </si>
  <si>
    <t>vfx start prep scene + 040_010 vfx sketch/blocking meet prep, meet</t>
  </si>
  <si>
    <t>rig vitrail plus texture vitrail</t>
  </si>
  <si>
    <t>vfx 040_010(bucher)</t>
  </si>
  <si>
    <t>blocking1-2 040_030</t>
  </si>
  <si>
    <t>Finir les modules de murs</t>
  </si>
  <si>
    <t>blocking3 040_030, spline 040_035</t>
  </si>
  <si>
    <t>spline 040_020, spline 040_050, reframe 030_030, test timing vfx 040_010</t>
  </si>
  <si>
    <t>vfx 040_010(bucher)+ sketch feu, sketch 050_020</t>
  </si>
  <si>
    <t>textures vitraux + travail sur seq 060 rendu</t>
  </si>
  <si>
    <t xml:space="preserve">Crowd merge anims </t>
  </si>
  <si>
    <t>Crowd merge mesh + troubleshoot</t>
  </si>
  <si>
    <t>Crowd merge mesh</t>
  </si>
  <si>
    <t>recherche ref/tex + réfléchir au timeframe vfx</t>
  </si>
  <si>
    <t>tiny mental breakdown + vfx feu ajustement 030_030</t>
  </si>
  <si>
    <t>crowd anim 030</t>
  </si>
  <si>
    <t>polish 010_100, polish 010_050, polish 010_060</t>
  </si>
  <si>
    <t>Note transfert + Review anim seq 010 + QA</t>
  </si>
  <si>
    <t>polish 010_160, polish 010_110</t>
  </si>
  <si>
    <t xml:space="preserve">rendu 060_010 </t>
  </si>
  <si>
    <t>polish 010_180, publish 010_050a060, polish 010_190</t>
  </si>
  <si>
    <t>assembler 060_010 + lighting + rendu 010_050 + 010_060</t>
  </si>
  <si>
    <t>ciel 050</t>
  </si>
  <si>
    <t>Crowd Merge</t>
  </si>
  <si>
    <t>publish 010_170</t>
  </si>
  <si>
    <t>rerendre 010_060 background plus rendre 010_170</t>
  </si>
  <si>
    <t xml:space="preserve">polish 010_100, polish 010_110, </t>
  </si>
  <si>
    <t>rendu 010_110 + mp plaines sq010 + lighting 010_100</t>
  </si>
  <si>
    <t>polish 010_190, polish 010_180, publish 010_100a110, publish 020_020</t>
  </si>
  <si>
    <t>Assemblage ville seq 020</t>
  </si>
  <si>
    <t>vfx 050_020, fix Alpha 060_010</t>
  </si>
  <si>
    <t>polish 020_040, polish 020_030,</t>
  </si>
  <si>
    <t>Rapport TTER, Meet,</t>
  </si>
  <si>
    <t>spline 040_070, spline 040_090, camera 020_050, polish 020_040</t>
  </si>
  <si>
    <t>correction 010_160-190, spline 050_005 (a.k.a. 040_140)</t>
  </si>
  <si>
    <t>spline 040_135, polish 020_030-040, aide output de nuke</t>
  </si>
  <si>
    <t>texture cathédrale murs</t>
  </si>
  <si>
    <t>Rapport TTER, Alpha 060_010</t>
  </si>
  <si>
    <t>dissolution export + abc export mini test</t>
  </si>
  <si>
    <t>compositing</t>
  </si>
  <si>
    <t>tests edit</t>
  </si>
  <si>
    <t>publish 020_020, test camera 020_030--&gt;020_050, adjust camera 030_150, tests edit</t>
  </si>
  <si>
    <t>publish d'anim crowd pour 020 et 030</t>
  </si>
  <si>
    <t>publish 020_030a050, polish 050_010</t>
  </si>
  <si>
    <t>sketchs rapide</t>
  </si>
  <si>
    <t>Worked on the wallfaces GRPs</t>
  </si>
  <si>
    <t>Worked on the cathedral doors, hole at the top of the door, adjusting stairs</t>
  </si>
  <si>
    <t>lighting seq 020</t>
  </si>
  <si>
    <t>polish 050_020</t>
  </si>
  <si>
    <t>test close up</t>
  </si>
  <si>
    <t>vfx dissolution création des planes, variation, rig et starter le rendu</t>
  </si>
  <si>
    <t>polish : 050_005/050_020/030_040/030_060/030_080, playblast seq020, anim vitrail 030_030,</t>
  </si>
  <si>
    <t>000_010 timing drapeau, vfx 050_020</t>
  </si>
  <si>
    <t>rendu disso + ajout variation</t>
  </si>
  <si>
    <t>test camera 010_190</t>
  </si>
  <si>
    <t>polish : 050_005/050_010/030_020/030_130</t>
  </si>
  <si>
    <t>crowd 020, ville 020, éclairage</t>
  </si>
  <si>
    <t>polish : 030_100/030_080, adjust cam 000_010, review editorial</t>
  </si>
  <si>
    <t>Suivi, recherche fonts crédit, montage avec Jacob</t>
  </si>
  <si>
    <t>Credits</t>
  </si>
  <si>
    <t>Credits, meet</t>
  </si>
  <si>
    <t>Ajustement porte cathédrale, création de la ville 050 et bûcher</t>
  </si>
  <si>
    <t xml:space="preserve">vfx 050_020, </t>
  </si>
  <si>
    <t>comp + update playblast</t>
  </si>
  <si>
    <t>010_190 (anim, layout, edit), seq020 (comp), seq010 (comp), other fixes…</t>
  </si>
  <si>
    <t>040_110, 050_020 v01, remise suivi equipe, fake int, son</t>
  </si>
  <si>
    <t>Remise suivi d'équipe.</t>
  </si>
  <si>
    <t>dissolution 2</t>
  </si>
  <si>
    <t xml:space="preserve">plancher tiling </t>
  </si>
  <si>
    <t>Gazon</t>
  </si>
  <si>
    <t>Lines</t>
  </si>
  <si>
    <t>Merge</t>
  </si>
  <si>
    <t>gazon fix</t>
  </si>
  <si>
    <t xml:space="preserve">Credits v03 (1h ),  vfx (feu boucle) seq 030, </t>
  </si>
  <si>
    <t xml:space="preserve">vfx (feu boucle) seq 030 </t>
  </si>
  <si>
    <t>crowd 020_050 lighting, crowd 030_020 placement</t>
  </si>
  <si>
    <t>camera seq030, polish : 030_070-080-110-120-130-150</t>
  </si>
  <si>
    <t>crowd 030</t>
  </si>
  <si>
    <t>polish : 030_080-100-140-060</t>
  </si>
  <si>
    <t>vfx fire loop</t>
  </si>
  <si>
    <t>polish : 030_070</t>
  </si>
  <si>
    <t>polish : 030_060-020-040-080-100</t>
  </si>
  <si>
    <t>polish : 030-100-060</t>
  </si>
  <si>
    <t>publish : 030_100-080-150-140-120</t>
  </si>
  <si>
    <t>partir 030_020 crowd shadow</t>
  </si>
  <si>
    <t>vfx 040_010 v01, update excel</t>
  </si>
  <si>
    <t>repolish 030_020</t>
  </si>
  <si>
    <t>test armure vitrail, rig des chaines final, crowd 030_070</t>
  </si>
  <si>
    <t>Correction colonne Cathedral</t>
  </si>
  <si>
    <t>partir rendu 030_070 crowd</t>
  </si>
  <si>
    <t>030_030 feu</t>
  </si>
  <si>
    <t>030_110 Merge crowd</t>
  </si>
  <si>
    <t>Montage, gestion, meet</t>
  </si>
  <si>
    <t>Montage, polish : 030_060</t>
  </si>
  <si>
    <t>Lignes Cathédrale</t>
  </si>
  <si>
    <t>Couleurs Armure Vitrail</t>
  </si>
  <si>
    <t>polish 030_060</t>
  </si>
  <si>
    <t>partir 030_080 crowd</t>
  </si>
  <si>
    <t>polish : 040_010-030</t>
  </si>
  <si>
    <t>polish : 040_030</t>
  </si>
  <si>
    <t>crowd 030_100</t>
  </si>
  <si>
    <t>polish : 040_020-050</t>
  </si>
  <si>
    <t>polish : 040_050-</t>
  </si>
  <si>
    <t>polish : 040_050-070</t>
  </si>
  <si>
    <t>Merge Crowd</t>
  </si>
  <si>
    <t>lighting cath int avec UV arrangement + render layers 030_020</t>
  </si>
  <si>
    <t>polish : 040_090</t>
  </si>
  <si>
    <t xml:space="preserve">fix 060_010 + export, 040_040 sur 2, </t>
  </si>
  <si>
    <t>Artbook</t>
  </si>
  <si>
    <t>polish : 040_100-120</t>
  </si>
  <si>
    <t>crowd 030_110</t>
  </si>
  <si>
    <t>L'**** de suivi individuel de marde</t>
  </si>
  <si>
    <t>polish : 040_120-135, suivi individuel</t>
  </si>
  <si>
    <t>crowd 030_110/120/130/150</t>
  </si>
  <si>
    <t>Gestion, meet prep, artbook, meet, 040_040-045 review.</t>
  </si>
  <si>
    <t>rendu 030_030 + merge crowd</t>
  </si>
  <si>
    <t>J'ai fait quelque chose mais je m'en souviens pu. Je me rappel d'être aller dormir vers 3h lol</t>
  </si>
  <si>
    <t>lines</t>
  </si>
  <si>
    <t>crowd 030_110 + blob</t>
  </si>
  <si>
    <t>010_190 : data, layout, anim</t>
  </si>
  <si>
    <t>crowd 050_020 + 030_110</t>
  </si>
  <si>
    <t>Merge crowd</t>
  </si>
  <si>
    <t>Fix feu 050_020 + export</t>
  </si>
  <si>
    <t>rigging</t>
  </si>
  <si>
    <t>anim</t>
  </si>
  <si>
    <t>MP</t>
  </si>
  <si>
    <t>render</t>
  </si>
  <si>
    <t>comp</t>
  </si>
  <si>
    <t>layout</t>
  </si>
  <si>
    <t>Modeling</t>
  </si>
  <si>
    <t>modeling</t>
  </si>
  <si>
    <t>QA</t>
  </si>
  <si>
    <t>editing</t>
  </si>
  <si>
    <t>Shots</t>
  </si>
  <si>
    <t>Frames</t>
  </si>
  <si>
    <t>Priorité</t>
  </si>
  <si>
    <t>Images</t>
  </si>
  <si>
    <t>État</t>
  </si>
  <si>
    <t>Status</t>
  </si>
  <si>
    <t>Commentaires</t>
  </si>
  <si>
    <t>SEQ 000</t>
  </si>
  <si>
    <t>000_010</t>
  </si>
  <si>
    <t>ALL</t>
  </si>
  <si>
    <t>La couleur dépasse des oreilles de Jeanne. + Ligne ivisible dans sa hair line.</t>
  </si>
  <si>
    <t>new</t>
  </si>
  <si>
    <t>to do</t>
  </si>
  <si>
    <t>Le rouge n'est pas le même que la seq 010. Elle ressemble plus au rouge de notre ancienne version avec le prob de colorspace. Cest pt dans la couleur du vitrail aussi!</t>
  </si>
  <si>
    <t>nth</t>
  </si>
  <si>
    <t>SEQ 010</t>
  </si>
  <si>
    <t>010_010</t>
  </si>
  <si>
    <t>Besoin de VFX, des morceaux qui partent du drapeau</t>
  </si>
  <si>
    <t>010_010 - 010_040</t>
  </si>
  <si>
    <t>Rim light dans les arbres, ca sort comme des points.</t>
  </si>
  <si>
    <t>010_040</t>
  </si>
  <si>
    <t>12:20:12 - END</t>
  </si>
  <si>
    <t>Yeux qui paraissent entre les paupieres et les cils.</t>
  </si>
  <si>
    <t>SEQ 020</t>
  </si>
  <si>
    <t>SEQ 030</t>
  </si>
  <si>
    <t>SEQ 040</t>
  </si>
  <si>
    <t>SEQ 050</t>
  </si>
  <si>
    <t>SEQ 060</t>
  </si>
  <si>
    <t>060_010</t>
  </si>
  <si>
    <t>Trou dans le vitrail en haut</t>
  </si>
  <si>
    <t>To do</t>
  </si>
  <si>
    <t>Progress</t>
  </si>
  <si>
    <t>DESIGN</t>
  </si>
  <si>
    <t>Ponderation</t>
  </si>
  <si>
    <t>Progress (hrs)</t>
  </si>
  <si>
    <t>Asset Name</t>
  </si>
  <si>
    <t>Thumbnail</t>
  </si>
  <si>
    <t>add to planner</t>
  </si>
  <si>
    <t>Review</t>
  </si>
  <si>
    <t>Priority</t>
  </si>
  <si>
    <t>Estimated</t>
  </si>
  <si>
    <t>rnd</t>
  </si>
  <si>
    <t>rough</t>
  </si>
  <si>
    <t>clean</t>
  </si>
  <si>
    <t>Hours to do</t>
  </si>
  <si>
    <t>Approved</t>
  </si>
  <si>
    <t>★★★</t>
  </si>
  <si>
    <t>★★★★★</t>
  </si>
  <si>
    <t>★</t>
  </si>
  <si>
    <t>★★</t>
  </si>
  <si>
    <t>★★★★</t>
  </si>
  <si>
    <t>MODELING</t>
  </si>
  <si>
    <t>blocking</t>
  </si>
  <si>
    <t>polish</t>
  </si>
  <si>
    <t>uv</t>
  </si>
  <si>
    <t>lips</t>
  </si>
  <si>
    <t>RIGGING</t>
  </si>
  <si>
    <t>setup</t>
  </si>
  <si>
    <t>deform</t>
  </si>
  <si>
    <t>skinning</t>
  </si>
  <si>
    <t>Inactive</t>
  </si>
  <si>
    <t>blendShape Breathing, squash and strectch head</t>
  </si>
  <si>
    <t>N/A</t>
  </si>
  <si>
    <t>SURFACING</t>
  </si>
  <si>
    <t>applying</t>
  </si>
  <si>
    <t>ASSETS</t>
  </si>
  <si>
    <t>design</t>
  </si>
  <si>
    <t>surfacing</t>
  </si>
  <si>
    <t>Texture</t>
  </si>
  <si>
    <t>UV</t>
  </si>
  <si>
    <t>Transfert Substance Painter</t>
  </si>
  <si>
    <t>Début Blocking</t>
  </si>
  <si>
    <t>Export Blocking Substance</t>
  </si>
  <si>
    <t>Blocking appliqué</t>
  </si>
  <si>
    <t>Export Final</t>
  </si>
  <si>
    <t>Paramètres Edges</t>
  </si>
  <si>
    <t>Final appliqué</t>
  </si>
  <si>
    <t>ok</t>
  </si>
  <si>
    <t>LAYOUT</t>
  </si>
  <si>
    <t>Shot</t>
  </si>
  <si>
    <t>Start</t>
  </si>
  <si>
    <t>End</t>
  </si>
  <si>
    <t>Duration</t>
  </si>
  <si>
    <t>previz</t>
  </si>
  <si>
    <t>final</t>
  </si>
  <si>
    <t>Cam Published</t>
  </si>
  <si>
    <t>Days since Published</t>
  </si>
  <si>
    <t>ANIM</t>
  </si>
  <si>
    <t>PVR</t>
  </si>
  <si>
    <t>blocking 1</t>
  </si>
  <si>
    <t>blocking 2</t>
  </si>
  <si>
    <t>blocking 3</t>
  </si>
  <si>
    <t>spline</t>
  </si>
  <si>
    <t>Published</t>
  </si>
  <si>
    <t>LIGHTING</t>
  </si>
  <si>
    <t>essentials</t>
  </si>
  <si>
    <t>VFX</t>
  </si>
  <si>
    <t>timing du feu (à l'explosion)</t>
  </si>
  <si>
    <t>VFX - Mym</t>
  </si>
  <si>
    <t>Cut In</t>
  </si>
  <si>
    <t>Cut Out</t>
  </si>
  <si>
    <t>Cut Duration</t>
  </si>
  <si>
    <t>Applicable</t>
  </si>
  <si>
    <t>Timing Locked</t>
  </si>
  <si>
    <t>Export Cam</t>
  </si>
  <si>
    <t>Export Env</t>
  </si>
  <si>
    <t>Export Anim</t>
  </si>
  <si>
    <t>Ready</t>
  </si>
  <si>
    <t>OK</t>
  </si>
  <si>
    <t>RENDER</t>
  </si>
  <si>
    <t>3D</t>
  </si>
  <si>
    <t>Crowd</t>
  </si>
  <si>
    <t>2D</t>
  </si>
  <si>
    <t>Cam fixed</t>
  </si>
  <si>
    <t>fix</t>
  </si>
  <si>
    <t>cheveux pas en 2</t>
  </si>
  <si>
    <t>18 à 102</t>
  </si>
  <si>
    <t>rendu frame 43</t>
  </si>
  <si>
    <t>COMP</t>
  </si>
  <si>
    <t>assemble</t>
  </si>
  <si>
    <t>2dvfx</t>
  </si>
  <si>
    <t>colo</t>
  </si>
  <si>
    <t>test specular</t>
  </si>
  <si>
    <t>longer + slower ?</t>
  </si>
  <si>
    <t>SHOTS</t>
  </si>
  <si>
    <t>lighting</t>
  </si>
  <si>
    <t>vfx</t>
  </si>
  <si>
    <t>INFO - ASSETS</t>
  </si>
  <si>
    <t>vitrail_00</t>
  </si>
  <si>
    <t>Asset</t>
  </si>
  <si>
    <t>Variantes</t>
  </si>
  <si>
    <t>vitrail_01</t>
  </si>
  <si>
    <t>vitrail_02</t>
  </si>
  <si>
    <t>joan</t>
  </si>
  <si>
    <t>Character</t>
  </si>
  <si>
    <t>Jeanne en armure</t>
  </si>
  <si>
    <t>joan_01</t>
  </si>
  <si>
    <t>puppet 2D</t>
  </si>
  <si>
    <t>joan_dlbr</t>
  </si>
  <si>
    <t>Jeanne en jaquette, délabrée</t>
  </si>
  <si>
    <t>knight</t>
  </si>
  <si>
    <t>Ennemi de Jeanne</t>
  </si>
  <si>
    <t>L_arm</t>
  </si>
  <si>
    <t>Duplicata des membres de Jeanne</t>
  </si>
  <si>
    <t>L_leg</t>
  </si>
  <si>
    <t>R_arm</t>
  </si>
  <si>
    <t>R_leg</t>
  </si>
  <si>
    <t>soldier_01</t>
  </si>
  <si>
    <t>Variantes de soldats</t>
  </si>
  <si>
    <t>soldier_02</t>
  </si>
  <si>
    <t>soldier_03</t>
  </si>
  <si>
    <t>villager_01</t>
  </si>
  <si>
    <t>Variantes de villageois</t>
  </si>
  <si>
    <t>villager_02</t>
  </si>
  <si>
    <t>villager_03</t>
  </si>
  <si>
    <t>villager_04</t>
  </si>
  <si>
    <t>villager_05</t>
  </si>
  <si>
    <t>villager_06</t>
  </si>
  <si>
    <t>villager_07</t>
  </si>
  <si>
    <t>army_eng</t>
  </si>
  <si>
    <t>armée anglaise</t>
  </si>
  <si>
    <t>army_fr</t>
  </si>
  <si>
    <t>armée francaise</t>
  </si>
  <si>
    <t>crowd_01</t>
  </si>
  <si>
    <t>Foule de Rouen</t>
  </si>
  <si>
    <t>crowd_02</t>
  </si>
  <si>
    <t>Foule dans la cathédrale</t>
  </si>
  <si>
    <t>crowd_03</t>
  </si>
  <si>
    <t>Foule au bucher</t>
  </si>
  <si>
    <t>bucher</t>
  </si>
  <si>
    <t>Environment</t>
  </si>
  <si>
    <t>Le bucher</t>
  </si>
  <si>
    <t>church_ext</t>
  </si>
  <si>
    <t>extérieure de la cathédrale</t>
  </si>
  <si>
    <t>church_int</t>
  </si>
  <si>
    <t>intérieur de la cathédrale</t>
  </si>
  <si>
    <t>door_01</t>
  </si>
  <si>
    <t>Variantes de portes pour les maisons dans Rouen</t>
  </si>
  <si>
    <t>door_02</t>
  </si>
  <si>
    <t>door_03</t>
  </si>
  <si>
    <t>door_04</t>
  </si>
  <si>
    <t>door_05</t>
  </si>
  <si>
    <t>fake_int</t>
  </si>
  <si>
    <t>plane pour faker l'intérieur de la cathédrale</t>
  </si>
  <si>
    <t>flr_01</t>
  </si>
  <si>
    <t>Sol dans Rouen</t>
  </si>
  <si>
    <t>flr_02</t>
  </si>
  <si>
    <t>Sol dans la cathédrale</t>
  </si>
  <si>
    <t>hill</t>
  </si>
  <si>
    <t>la colline sur laquelle se tient Jeanne</t>
  </si>
  <si>
    <t>house_01</t>
  </si>
  <si>
    <t>Variantes de murs pour les maisons dans Rouen</t>
  </si>
  <si>
    <t>house_02</t>
  </si>
  <si>
    <t>house_03</t>
  </si>
  <si>
    <t>house_04</t>
  </si>
  <si>
    <t>house_05</t>
  </si>
  <si>
    <t>house_06</t>
  </si>
  <si>
    <t>house_07</t>
  </si>
  <si>
    <t>house_08</t>
  </si>
  <si>
    <t>arrows</t>
  </si>
  <si>
    <t>FX</t>
  </si>
  <si>
    <t>la pluie de flèches volant vers l'armée de Jeanne</t>
  </si>
  <si>
    <t>plaines_01</t>
  </si>
  <si>
    <t>Matte Painting</t>
  </si>
  <si>
    <t>Variantes de background dans les plaines</t>
  </si>
  <si>
    <t>plaines_02</t>
  </si>
  <si>
    <t>plaines_03</t>
  </si>
  <si>
    <t>accessory_01</t>
  </si>
  <si>
    <t>Prop</t>
  </si>
  <si>
    <t>props des villageois</t>
  </si>
  <si>
    <t>accessory_02</t>
  </si>
  <si>
    <t>accessory_03</t>
  </si>
  <si>
    <t>accessory_04</t>
  </si>
  <si>
    <t>arrow</t>
  </si>
  <si>
    <t>Flèche qui atteint Jeanne</t>
  </si>
  <si>
    <t>banner</t>
  </si>
  <si>
    <t>Bannière avec drapeau français</t>
  </si>
  <si>
    <t>bow</t>
  </si>
  <si>
    <t>Arc de l'archer</t>
  </si>
  <si>
    <t>chains_01</t>
  </si>
  <si>
    <t>Chaine dans Rouen</t>
  </si>
  <si>
    <t>chains_02</t>
  </si>
  <si>
    <t>Chaine au bucher</t>
  </si>
  <si>
    <t>chains_break</t>
  </si>
  <si>
    <t>helmet_eng_01</t>
  </si>
  <si>
    <t>Variantes de casques dans les plaines pour les anglais</t>
  </si>
  <si>
    <t>helmet_eng_02</t>
  </si>
  <si>
    <t>helmet_fr_01</t>
  </si>
  <si>
    <t>Variantes de casques dans les plaines pour les francais</t>
  </si>
  <si>
    <t>helmet_fr_02</t>
  </si>
  <si>
    <t>helmet_fr_03</t>
  </si>
  <si>
    <t>mace</t>
  </si>
  <si>
    <t>Masse d'arme du chevalier</t>
  </si>
  <si>
    <t>shield</t>
  </si>
  <si>
    <t>Bouclier de Jeanne</t>
  </si>
  <si>
    <t>swrd</t>
  </si>
  <si>
    <t>Épée de Jeanne</t>
  </si>
  <si>
    <t>swrd_01</t>
  </si>
  <si>
    <t>Épée du chevalier</t>
  </si>
  <si>
    <t>weapon_01</t>
  </si>
  <si>
    <t>Variantes d'armes dans les plaines</t>
  </si>
  <si>
    <t>weapon_02</t>
  </si>
  <si>
    <t>weapon_03</t>
  </si>
  <si>
    <t>weapon_04</t>
  </si>
  <si>
    <t>weapon_05</t>
  </si>
  <si>
    <t>broken_vitrail</t>
  </si>
  <si>
    <t>Morceau provenant du vitrail</t>
  </si>
  <si>
    <t>INFO - SHOTS</t>
  </si>
  <si>
    <t>Assets (Tier 1)</t>
  </si>
  <si>
    <t>Assets (Tier 2)</t>
  </si>
  <si>
    <t>Modif</t>
  </si>
  <si>
    <t>In</t>
  </si>
  <si>
    <t>Out</t>
  </si>
  <si>
    <t>ideas</t>
  </si>
  <si>
    <t>bg</t>
  </si>
  <si>
    <t>chrs</t>
  </si>
  <si>
    <t>Timerange updated</t>
  </si>
  <si>
    <t>CUT</t>
  </si>
  <si>
    <t>oui</t>
  </si>
  <si>
    <t xml:space="preserve">   </t>
  </si>
  <si>
    <t>CMT</t>
  </si>
  <si>
    <t>add 50 frames (out)</t>
  </si>
  <si>
    <t>NEW</t>
  </si>
  <si>
    <t>heavy breathing</t>
  </si>
  <si>
    <t>add 14 frames (out)</t>
  </si>
  <si>
    <t>add 6 frames (out)</t>
  </si>
  <si>
    <t>remove 6 frames, make longer</t>
  </si>
  <si>
    <t>ADD</t>
  </si>
  <si>
    <t>LONGER</t>
  </si>
  <si>
    <t>Pipeline Step</t>
  </si>
  <si>
    <t>%</t>
  </si>
  <si>
    <t>Scénario</t>
  </si>
  <si>
    <t>Storyboard</t>
  </si>
  <si>
    <t>Animatic</t>
  </si>
  <si>
    <t>Layout</t>
  </si>
  <si>
    <t>Previz</t>
  </si>
  <si>
    <t>Rough</t>
  </si>
  <si>
    <t>Polish</t>
  </si>
  <si>
    <t>Animation</t>
  </si>
  <si>
    <t>Blocking 1</t>
  </si>
  <si>
    <t>Blocking 2-3</t>
  </si>
  <si>
    <t>Spline</t>
  </si>
  <si>
    <t>Lighting</t>
  </si>
  <si>
    <t>Essentials</t>
  </si>
  <si>
    <t>Blocking</t>
  </si>
  <si>
    <t>Rendering</t>
  </si>
  <si>
    <t>Compositing</t>
  </si>
  <si>
    <t>Colo</t>
  </si>
  <si>
    <t>Sound</t>
  </si>
  <si>
    <t>Editing</t>
  </si>
  <si>
    <t>Lundi</t>
  </si>
  <si>
    <t>Mardi</t>
  </si>
  <si>
    <t>Mercredi</t>
  </si>
  <si>
    <t>Jeudi</t>
  </si>
  <si>
    <t>Vendredi</t>
  </si>
  <si>
    <t>Samedi</t>
  </si>
  <si>
    <t>Dimanche</t>
  </si>
  <si>
    <t>Jour</t>
  </si>
  <si>
    <t>Code</t>
  </si>
  <si>
    <t>Sequence</t>
  </si>
  <si>
    <t>Shot Name</t>
  </si>
  <si>
    <t>X</t>
  </si>
  <si>
    <t>sq000</t>
  </si>
  <si>
    <t>st010</t>
  </si>
  <si>
    <t>Waiting</t>
  </si>
  <si>
    <t>New</t>
  </si>
  <si>
    <t>sq010</t>
  </si>
  <si>
    <t>Upcoming</t>
  </si>
  <si>
    <t>Reviewed</t>
  </si>
  <si>
    <t>st040</t>
  </si>
  <si>
    <t>To Start</t>
  </si>
  <si>
    <t>st050</t>
  </si>
  <si>
    <t>In Progress</t>
  </si>
  <si>
    <t>Elements</t>
  </si>
  <si>
    <t>st060</t>
  </si>
  <si>
    <t>NTH</t>
  </si>
  <si>
    <t>lookDev</t>
  </si>
  <si>
    <t>st070</t>
  </si>
  <si>
    <t>Predecessor</t>
  </si>
  <si>
    <t>Actual</t>
  </si>
  <si>
    <t>Successor</t>
  </si>
  <si>
    <t>Value</t>
  </si>
  <si>
    <t>Asset Type</t>
  </si>
  <si>
    <t>Pending Review</t>
  </si>
  <si>
    <t>Cancelled</t>
  </si>
  <si>
    <t>Vitrail</t>
  </si>
  <si>
    <t>test rendering final</t>
  </si>
  <si>
    <t>040_110</t>
  </si>
  <si>
    <t>st080</t>
  </si>
  <si>
    <t>Done</t>
  </si>
  <si>
    <t>Anim</t>
  </si>
  <si>
    <t>Blocking 1-2</t>
  </si>
  <si>
    <t>st090</t>
  </si>
  <si>
    <t>surfacing, rigging</t>
  </si>
  <si>
    <t>Needs Fix</t>
  </si>
  <si>
    <t>cathedrale, bucher, villagers, accessories</t>
  </si>
  <si>
    <t>st100</t>
  </si>
  <si>
    <t>task</t>
  </si>
  <si>
    <t>Scroll Bar</t>
  </si>
  <si>
    <t>blocking des VFXs</t>
  </si>
  <si>
    <t>st110</t>
  </si>
  <si>
    <t>global</t>
  </si>
  <si>
    <t>plan semi-modeles</t>
  </si>
  <si>
    <t>rouen, cathedrale (vitrail), bucher</t>
  </si>
  <si>
    <t>020_040</t>
  </si>
  <si>
    <t>050_020</t>
  </si>
  <si>
    <t>st160</t>
  </si>
  <si>
    <t>generique</t>
  </si>
  <si>
    <t>v1</t>
  </si>
  <si>
    <t>st170</t>
  </si>
  <si>
    <t>son</t>
  </si>
  <si>
    <t>maquette</t>
  </si>
  <si>
    <t>st180</t>
  </si>
  <si>
    <t>st190</t>
  </si>
  <si>
    <t>st200</t>
  </si>
  <si>
    <t>faible</t>
  </si>
  <si>
    <t>weekTotalWorkingHours</t>
  </si>
  <si>
    <t>sq020</t>
  </si>
  <si>
    <t>st020</t>
  </si>
  <si>
    <t>st030</t>
  </si>
  <si>
    <t>moyenne</t>
  </si>
  <si>
    <t>Surfacing</t>
  </si>
  <si>
    <t>Rigging</t>
  </si>
  <si>
    <t>élevée</t>
  </si>
  <si>
    <t>sq030</t>
  </si>
  <si>
    <t>Design</t>
  </si>
  <si>
    <t>Project Start Date</t>
  </si>
  <si>
    <t>Render</t>
  </si>
  <si>
    <t>semester start date</t>
  </si>
  <si>
    <t>Comp</t>
  </si>
  <si>
    <t>date de livraison finale</t>
  </si>
  <si>
    <t>date de œuvre v1</t>
  </si>
  <si>
    <t>Average</t>
  </si>
  <si>
    <t>Recommended</t>
  </si>
  <si>
    <t>Difference</t>
  </si>
  <si>
    <t>Baseline</t>
  </si>
  <si>
    <t>Hours to Do</t>
  </si>
  <si>
    <t>Totals hours</t>
  </si>
  <si>
    <t>production</t>
  </si>
  <si>
    <t>suivi</t>
  </si>
  <si>
    <t>st120</t>
  </si>
  <si>
    <t>final delivery</t>
  </si>
  <si>
    <t>st130</t>
  </si>
  <si>
    <t>final delivery estimation date</t>
  </si>
  <si>
    <t>st140</t>
  </si>
  <si>
    <t>buffer</t>
  </si>
  <si>
    <t>Team</t>
  </si>
  <si>
    <t>st150</t>
  </si>
  <si>
    <t>sq040</t>
  </si>
  <si>
    <t>Progression</t>
  </si>
  <si>
    <t>todo</t>
  </si>
  <si>
    <t>estimated</t>
  </si>
  <si>
    <t>sq050</t>
  </si>
  <si>
    <t>st005</t>
  </si>
  <si>
    <t>Son</t>
  </si>
  <si>
    <t>sq060</t>
  </si>
  <si>
    <t>Assets</t>
  </si>
  <si>
    <t>Project</t>
  </si>
  <si>
    <t>Planned</t>
  </si>
  <si>
    <t>st045</t>
  </si>
  <si>
    <t>st135</t>
  </si>
  <si>
    <t>Commentaires Musique, rendu 000_010,</t>
  </si>
  <si>
    <t>tête plus relevé</t>
  </si>
  <si>
    <t>Publish &amp; polish : 040_010-030</t>
  </si>
  <si>
    <t>Publish &amp; polish : 040_050-020</t>
  </si>
  <si>
    <t>040_110 fix</t>
  </si>
  <si>
    <t>040_110 fix, 040_040 et _045 color done and render</t>
  </si>
  <si>
    <t>Publish &amp; polish 040_070-100-120-135-090-020, playblast 040_110</t>
  </si>
  <si>
    <t>vfx 010_010</t>
  </si>
  <si>
    <t>crowd, gazon</t>
  </si>
  <si>
    <t>Publish &amp; polish : 040_020-100-135, cam 060_010</t>
  </si>
  <si>
    <t>remove up motion on feet</t>
  </si>
  <si>
    <t>not a smirk, more serious</t>
  </si>
  <si>
    <t>arms posing ?</t>
  </si>
  <si>
    <t>looks down while climbing</t>
  </si>
  <si>
    <t>Publish &amp; polish : 050_020</t>
  </si>
  <si>
    <t>Publish &amp; polish : 050_020-005</t>
  </si>
  <si>
    <t>Focal animée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</si>
</sst>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8" formatCode="&quot;$&quot;#,##0.00;[Red]\-&quot;$&quot;#,##0.00"/>
    <numFmt numFmtId="164" formatCode="_ * #,##0.00_)_ ;_ * \(#,##0.00\)_ ;_ * &quot;-&quot;??_)_ ;_ @_ "/>
    <numFmt numFmtId="165" formatCode="0.0"/>
    <numFmt numFmtId="166" formatCode="0\ &quot; hrs&quot;"/>
    <numFmt numFmtId="167" formatCode="[h]:mm;@"/>
    <numFmt numFmtId="168" formatCode="[$-F800]dddd\,\ mmmm\ dd\,\ yyyy"/>
    <numFmt numFmtId="169" formatCode="[$-C0C]dd/mmm/yy\ hh:mm"/>
    <numFmt numFmtId="170" formatCode="[$-C0C]d\ mmmm\ yyyy\ \à\ h:mm;@"/>
    <numFmt numFmtId="171" formatCode="[$-C0C]ddd"/>
  </numFmts>
  <fonts count="51" x14ac:knownFonts="1">
    <font>
      <sz val="11"/>
      <color theme="1"/>
      <name val="Calibri"/>
      <family val="2"/>
      <scheme val="minor"/>
    </font>
    <font>
      <sz val="12"/>
      <color theme="1"/>
      <name val="Calibri"/>
      <family val="2"/>
      <scheme val="minor"/>
    </font>
    <font>
      <sz val="11"/>
      <color theme="1"/>
      <name val="Calibri"/>
      <family val="2"/>
      <scheme val="minor"/>
    </font>
    <font>
      <sz val="8"/>
      <name val="Calibri"/>
      <family val="2"/>
      <scheme val="minor"/>
    </font>
    <font>
      <sz val="11"/>
      <color rgb="FF3F3F76"/>
      <name val="Calibri"/>
      <family val="2"/>
      <scheme val="minor"/>
    </font>
    <font>
      <sz val="12"/>
      <color theme="1"/>
      <name val="Aptos"/>
      <family val="2"/>
    </font>
    <font>
      <sz val="11"/>
      <color theme="1"/>
      <name val="Aptos"/>
      <family val="2"/>
    </font>
    <font>
      <b/>
      <sz val="11"/>
      <color theme="1"/>
      <name val="Aptos"/>
      <family val="2"/>
    </font>
    <font>
      <b/>
      <sz val="12"/>
      <color theme="1"/>
      <name val="Aptos"/>
      <family val="2"/>
    </font>
    <font>
      <b/>
      <sz val="11"/>
      <color theme="0"/>
      <name val="Aptos"/>
      <family val="2"/>
    </font>
    <font>
      <sz val="14"/>
      <color theme="1"/>
      <name val="Aptos"/>
      <family val="2"/>
    </font>
    <font>
      <b/>
      <sz val="11"/>
      <color rgb="FFE81E0E"/>
      <name val="Aptos"/>
      <family val="2"/>
    </font>
    <font>
      <b/>
      <sz val="11"/>
      <color rgb="FF589DFA"/>
      <name val="Aptos"/>
      <family val="2"/>
    </font>
    <font>
      <b/>
      <sz val="11"/>
      <color rgb="FF9A900E"/>
      <name val="Aptos"/>
      <family val="2"/>
    </font>
    <font>
      <b/>
      <sz val="11"/>
      <color rgb="FFA96E03"/>
      <name val="Aptos"/>
      <family val="2"/>
    </font>
    <font>
      <b/>
      <sz val="11"/>
      <color rgb="FFBF246D"/>
      <name val="Aptos"/>
      <family val="2"/>
    </font>
    <font>
      <b/>
      <sz val="11"/>
      <color rgb="FF17BF6F"/>
      <name val="Aptos"/>
      <family val="2"/>
    </font>
    <font>
      <b/>
      <sz val="11"/>
      <color rgb="FF5FBBCD"/>
      <name val="Aptos"/>
      <family val="2"/>
    </font>
    <font>
      <b/>
      <sz val="11"/>
      <color rgb="FF946BE7"/>
      <name val="Aptos"/>
      <family val="2"/>
    </font>
    <font>
      <b/>
      <sz val="11"/>
      <color rgb="FF1C8278"/>
      <name val="Aptos"/>
      <family val="2"/>
    </font>
    <font>
      <b/>
      <sz val="11"/>
      <color rgb="FF999999"/>
      <name val="Aptos"/>
      <family val="2"/>
    </font>
    <font>
      <sz val="11"/>
      <color theme="0"/>
      <name val="Aptos"/>
      <family val="2"/>
    </font>
    <font>
      <b/>
      <sz val="60"/>
      <color theme="1"/>
      <name val="Aptos"/>
      <family val="2"/>
    </font>
    <font>
      <b/>
      <sz val="14"/>
      <color theme="1"/>
      <name val="Aptos"/>
      <family val="2"/>
    </font>
    <font>
      <sz val="14"/>
      <color theme="0" tint="-0.249977111117893"/>
      <name val="Aptos"/>
      <family val="2"/>
    </font>
    <font>
      <sz val="12"/>
      <color rgb="FF3F3F76"/>
      <name val="Aptos"/>
      <family val="2"/>
    </font>
    <font>
      <sz val="48"/>
      <color theme="1"/>
      <name val="Aptos"/>
      <family val="2"/>
    </font>
    <font>
      <sz val="12"/>
      <name val="Aptos"/>
      <family val="2"/>
    </font>
    <font>
      <b/>
      <sz val="12"/>
      <name val="Aptos"/>
      <family val="2"/>
    </font>
    <font>
      <sz val="11"/>
      <color theme="0" tint="-0.14999847407452621"/>
      <name val="Aptos"/>
      <family val="2"/>
    </font>
    <font>
      <sz val="11"/>
      <color theme="0" tint="-0.34998626667073579"/>
      <name val="Aptos"/>
      <family val="2"/>
    </font>
    <font>
      <b/>
      <sz val="11"/>
      <color theme="0" tint="-0.14999847407452621"/>
      <name val="Aptos"/>
      <family val="2"/>
    </font>
    <font>
      <sz val="11"/>
      <name val="Aptos"/>
      <family val="2"/>
    </font>
    <font>
      <sz val="12"/>
      <color theme="0"/>
      <name val="Aptos"/>
      <family val="2"/>
    </font>
    <font>
      <sz val="11"/>
      <color theme="0" tint="-0.249977111117893"/>
      <name val="Aptos"/>
      <family val="2"/>
    </font>
    <font>
      <b/>
      <sz val="11"/>
      <color theme="0" tint="-0.249977111117893"/>
      <name val="Aptos"/>
      <family val="2"/>
    </font>
    <font>
      <i/>
      <sz val="14"/>
      <color theme="1"/>
      <name val="Aptos"/>
      <family val="2"/>
    </font>
    <font>
      <sz val="11"/>
      <color theme="1"/>
      <name val="Aptos Black"/>
      <family val="2"/>
    </font>
    <font>
      <b/>
      <sz val="11"/>
      <color theme="1"/>
      <name val="Aptos Black"/>
      <family val="2"/>
    </font>
    <font>
      <sz val="11"/>
      <name val="Aptos Black"/>
      <family val="2"/>
    </font>
    <font>
      <b/>
      <sz val="11"/>
      <color theme="0"/>
      <name val="Aptos Black"/>
      <family val="2"/>
    </font>
    <font>
      <b/>
      <sz val="11"/>
      <name val="Aptos"/>
      <family val="2"/>
    </font>
    <font>
      <sz val="11"/>
      <color rgb="FF000000"/>
      <name val="Aptos"/>
      <family val="2"/>
    </font>
    <font>
      <sz val="14"/>
      <color theme="1"/>
      <name val="Calibri"/>
      <family val="2"/>
      <scheme val="minor"/>
    </font>
    <font>
      <sz val="14"/>
      <color theme="1"/>
      <name val="Aptos"/>
      <family val="2"/>
    </font>
    <font>
      <sz val="11"/>
      <color theme="1"/>
      <name val="Aptos"/>
      <family val="2"/>
    </font>
    <font>
      <sz val="14"/>
      <color theme="0" tint="-0.249977111117893"/>
      <name val="Aptos"/>
      <family val="2"/>
    </font>
    <font>
      <b/>
      <sz val="14"/>
      <color theme="1"/>
      <name val="Aptos"/>
      <family val="2"/>
    </font>
    <font>
      <sz val="11"/>
      <color theme="9" tint="-0.249977111117893"/>
      <name val="Aptos"/>
      <family val="2"/>
    </font>
    <font>
      <sz val="11"/>
      <color theme="9" tint="-0.499984740745262"/>
      <name val="Aptos"/>
      <family val="2"/>
    </font>
    <font>
      <sz val="11"/>
      <color theme="3" tint="0.79998168889431442"/>
      <name val="Aptos"/>
      <family val="2"/>
    </font>
  </fonts>
  <fills count="45">
    <fill>
      <patternFill patternType="none"/>
    </fill>
    <fill>
      <patternFill patternType="gray125"/>
    </fill>
    <fill>
      <patternFill patternType="solid">
        <fgColor theme="5" tint="0.59999389629810485"/>
        <bgColor indexed="64"/>
      </patternFill>
    </fill>
    <fill>
      <patternFill patternType="solid">
        <fgColor theme="1" tint="4.9989318521683403E-2"/>
        <bgColor indexed="64"/>
      </patternFill>
    </fill>
    <fill>
      <patternFill patternType="solid">
        <fgColor theme="7" tint="0.79998168889431442"/>
        <bgColor indexed="64"/>
      </patternFill>
    </fill>
    <fill>
      <patternFill patternType="solid">
        <fgColor theme="9"/>
        <bgColor indexed="64"/>
      </patternFill>
    </fill>
    <fill>
      <patternFill patternType="solid">
        <fgColor rgb="FFFF3399"/>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1" tint="0.34998626667073579"/>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CC99"/>
      </patternFill>
    </fill>
    <fill>
      <patternFill patternType="solid">
        <fgColor theme="5" tint="0.39997558519241921"/>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BFBFBF"/>
        <bgColor indexed="64"/>
      </patternFill>
    </fill>
    <fill>
      <patternFill patternType="solid">
        <fgColor theme="3" tint="0.39997558519241921"/>
        <bgColor indexed="64"/>
      </patternFill>
    </fill>
    <fill>
      <patternFill patternType="solid">
        <fgColor rgb="FFF45E52"/>
        <bgColor indexed="64"/>
      </patternFill>
    </fill>
    <fill>
      <patternFill patternType="solid">
        <fgColor rgb="FF24A699"/>
        <bgColor indexed="64"/>
      </patternFill>
    </fill>
    <fill>
      <patternFill patternType="solid">
        <fgColor rgb="FFC4AEF2"/>
        <bgColor indexed="64"/>
      </patternFill>
    </fill>
    <fill>
      <patternFill patternType="solid">
        <fgColor rgb="FFD5EDF2"/>
        <bgColor indexed="64"/>
      </patternFill>
    </fill>
    <fill>
      <patternFill patternType="solid">
        <fgColor rgb="FF589DFA"/>
        <bgColor indexed="64"/>
      </patternFill>
    </fill>
    <fill>
      <patternFill patternType="solid">
        <fgColor rgb="FFF2EA72"/>
        <bgColor indexed="64"/>
      </patternFill>
    </fill>
    <fill>
      <patternFill patternType="solid">
        <fgColor rgb="FFF29F05"/>
        <bgColor indexed="64"/>
      </patternFill>
    </fill>
    <fill>
      <patternFill patternType="solid">
        <fgColor rgb="FFBF246D"/>
        <bgColor indexed="64"/>
      </patternFill>
    </fill>
    <fill>
      <patternFill patternType="solid">
        <fgColor rgb="FF94F2C6"/>
        <bgColor indexed="64"/>
      </patternFill>
    </fill>
    <fill>
      <patternFill patternType="solid">
        <fgColor rgb="FFFFCCFF"/>
        <bgColor indexed="64"/>
      </patternFill>
    </fill>
    <fill>
      <patternFill patternType="solid">
        <fgColor theme="7" tint="0.39997558519241921"/>
        <bgColor indexed="64"/>
      </patternFill>
    </fill>
    <fill>
      <patternFill patternType="solid">
        <fgColor rgb="FFD83080"/>
        <bgColor indexed="64"/>
      </patternFill>
    </fill>
    <fill>
      <patternFill patternType="solid">
        <fgColor rgb="FF00B050"/>
        <bgColor indexed="64"/>
      </patternFill>
    </fill>
    <fill>
      <patternFill patternType="solid">
        <fgColor theme="1"/>
        <bgColor indexed="64"/>
      </patternFill>
    </fill>
    <fill>
      <patternFill patternType="solid">
        <fgColor theme="2" tint="-9.9978637043366805E-2"/>
        <bgColor indexed="64"/>
      </patternFill>
    </fill>
    <fill>
      <patternFill patternType="solid">
        <fgColor rgb="FF45D7C9"/>
        <bgColor indexed="64"/>
      </patternFill>
    </fill>
    <fill>
      <patternFill patternType="solid">
        <fgColor rgb="FFFF0000"/>
        <bgColor indexed="64"/>
      </patternFill>
    </fill>
    <fill>
      <patternFill patternType="solid">
        <fgColor rgb="FF00B0F0"/>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s>
  <cellStyleXfs count="6">
    <xf numFmtId="0" fontId="0" fillId="0" borderId="0"/>
    <xf numFmtId="9" fontId="2" fillId="0" borderId="0" applyFont="0" applyFill="0" applyBorder="0" applyAlignment="0" applyProtection="0"/>
    <xf numFmtId="0" fontId="4" fillId="17" borderId="2" applyNumberFormat="0" applyAlignment="0" applyProtection="0"/>
    <xf numFmtId="0" fontId="1" fillId="0" borderId="0"/>
    <xf numFmtId="9" fontId="1" fillId="0" borderId="0" applyFont="0" applyFill="0" applyBorder="0" applyAlignment="0" applyProtection="0"/>
    <xf numFmtId="164" fontId="2" fillId="0" borderId="0" applyFont="0" applyFill="0" applyBorder="0" applyAlignment="0" applyProtection="0"/>
  </cellStyleXfs>
  <cellXfs count="300">
    <xf numFmtId="0" fontId="0" fillId="0" borderId="0" xfId="0"/>
    <xf numFmtId="0" fontId="5" fillId="0" borderId="0" xfId="0" applyFont="1" applyAlignment="1">
      <alignment horizontal="left" vertical="center" wrapText="1"/>
    </xf>
    <xf numFmtId="0" fontId="6" fillId="0" borderId="0" xfId="0" applyFont="1" applyAlignment="1">
      <alignment horizontal="center" vertical="center"/>
    </xf>
    <xf numFmtId="0" fontId="7" fillId="0" borderId="0" xfId="0" applyFont="1" applyAlignment="1">
      <alignment horizontal="center" vertical="center"/>
    </xf>
    <xf numFmtId="16" fontId="6" fillId="0" borderId="0" xfId="0" applyNumberFormat="1" applyFont="1" applyAlignment="1">
      <alignment horizontal="center" vertical="center"/>
    </xf>
    <xf numFmtId="0" fontId="6" fillId="0" borderId="0" xfId="0" applyFont="1" applyAlignment="1">
      <alignment horizontal="center" vertical="center" wrapText="1"/>
    </xf>
    <xf numFmtId="9" fontId="6" fillId="0" borderId="0" xfId="1" applyFont="1" applyAlignment="1">
      <alignment horizontal="center" vertical="center"/>
    </xf>
    <xf numFmtId="0" fontId="7" fillId="0" borderId="0" xfId="0" applyFont="1" applyAlignment="1">
      <alignment horizontal="left" vertical="center"/>
    </xf>
    <xf numFmtId="0" fontId="6" fillId="0" borderId="0" xfId="0" applyFont="1" applyAlignment="1">
      <alignment horizontal="left" vertical="center"/>
    </xf>
    <xf numFmtId="0" fontId="6" fillId="0" borderId="0" xfId="0" applyFont="1"/>
    <xf numFmtId="0" fontId="6" fillId="0" borderId="0" xfId="0" applyFont="1" applyAlignment="1">
      <alignment horizontal="center"/>
    </xf>
    <xf numFmtId="0" fontId="6" fillId="0" borderId="0" xfId="0" applyFont="1" applyAlignment="1">
      <alignment horizontal="right" vertical="center"/>
    </xf>
    <xf numFmtId="0" fontId="6" fillId="0" borderId="0" xfId="0" applyFont="1" applyAlignment="1">
      <alignment horizontal="right"/>
    </xf>
    <xf numFmtId="16" fontId="6" fillId="0" borderId="0" xfId="0" applyNumberFormat="1" applyFont="1"/>
    <xf numFmtId="0" fontId="6" fillId="8" borderId="0" xfId="0" applyFont="1" applyFill="1" applyAlignment="1">
      <alignment horizontal="center" vertical="center"/>
    </xf>
    <xf numFmtId="0" fontId="6" fillId="0" borderId="0" xfId="0" applyFont="1" applyAlignment="1">
      <alignment vertical="center"/>
    </xf>
    <xf numFmtId="9" fontId="6" fillId="0" borderId="0" xfId="0" applyNumberFormat="1" applyFont="1" applyAlignment="1">
      <alignment horizontal="center" vertical="center"/>
    </xf>
    <xf numFmtId="10" fontId="6" fillId="0" borderId="0" xfId="0" applyNumberFormat="1" applyFont="1" applyAlignment="1">
      <alignment horizontal="center" vertical="center"/>
    </xf>
    <xf numFmtId="0" fontId="6" fillId="0" borderId="0" xfId="0" applyFont="1" applyAlignment="1">
      <alignment horizontal="center" vertical="top"/>
    </xf>
    <xf numFmtId="0" fontId="7" fillId="0" borderId="0" xfId="0" applyFont="1" applyAlignment="1">
      <alignment horizontal="center" vertical="top"/>
    </xf>
    <xf numFmtId="0" fontId="7" fillId="0" borderId="0" xfId="0" applyFont="1" applyAlignment="1">
      <alignment horizontal="right" vertical="top"/>
    </xf>
    <xf numFmtId="0" fontId="7" fillId="0" borderId="0" xfId="0" applyFont="1" applyAlignment="1">
      <alignment horizontal="left" vertical="top"/>
    </xf>
    <xf numFmtId="0" fontId="6" fillId="8" borderId="0" xfId="0" applyFont="1" applyFill="1"/>
    <xf numFmtId="0" fontId="6" fillId="8" borderId="0" xfId="0" applyFont="1" applyFill="1" applyAlignment="1">
      <alignment horizontal="left" vertical="center"/>
    </xf>
    <xf numFmtId="0" fontId="6" fillId="8" borderId="0" xfId="0" applyFont="1" applyFill="1" applyAlignment="1">
      <alignment horizontal="right" vertical="center"/>
    </xf>
    <xf numFmtId="16" fontId="6" fillId="0" borderId="0" xfId="0" applyNumberFormat="1" applyFont="1" applyAlignment="1">
      <alignment vertical="center"/>
    </xf>
    <xf numFmtId="9" fontId="6" fillId="0" borderId="0" xfId="1" applyFont="1" applyAlignment="1">
      <alignment horizontal="right" vertical="center"/>
    </xf>
    <xf numFmtId="0" fontId="11" fillId="0" borderId="0" xfId="0" applyFont="1" applyAlignment="1">
      <alignment horizontal="center" vertical="top"/>
    </xf>
    <xf numFmtId="0" fontId="12" fillId="0" borderId="0" xfId="0" applyFont="1" applyAlignment="1">
      <alignment horizontal="center" vertical="top"/>
    </xf>
    <xf numFmtId="0" fontId="13" fillId="0" borderId="0" xfId="0" applyFont="1" applyAlignment="1">
      <alignment horizontal="center" vertical="top"/>
    </xf>
    <xf numFmtId="0" fontId="14" fillId="0" borderId="0" xfId="0" applyFont="1" applyAlignment="1">
      <alignment horizontal="center" vertical="top"/>
    </xf>
    <xf numFmtId="0" fontId="15" fillId="0" borderId="0" xfId="0" applyFont="1" applyAlignment="1">
      <alignment horizontal="center" vertical="top"/>
    </xf>
    <xf numFmtId="0" fontId="16" fillId="0" borderId="0" xfId="0" applyFont="1" applyAlignment="1">
      <alignment horizontal="center" vertical="top"/>
    </xf>
    <xf numFmtId="0" fontId="17" fillId="0" borderId="0" xfId="0" applyFont="1" applyAlignment="1">
      <alignment horizontal="center" vertical="top"/>
    </xf>
    <xf numFmtId="0" fontId="18" fillId="0" borderId="0" xfId="0" applyFont="1" applyAlignment="1">
      <alignment horizontal="center" vertical="top"/>
    </xf>
    <xf numFmtId="0" fontId="19" fillId="0" borderId="0" xfId="0" applyFont="1" applyAlignment="1">
      <alignment horizontal="center" vertical="top"/>
    </xf>
    <xf numFmtId="0" fontId="20" fillId="0" borderId="0" xfId="0" applyFont="1" applyAlignment="1">
      <alignment horizontal="center" vertical="top"/>
    </xf>
    <xf numFmtId="0" fontId="5" fillId="0" borderId="0" xfId="0" applyFont="1" applyAlignment="1">
      <alignment horizontal="center" vertical="center"/>
    </xf>
    <xf numFmtId="0" fontId="8" fillId="0" borderId="0" xfId="0" applyFont="1" applyAlignment="1">
      <alignment horizontal="center" vertical="center"/>
    </xf>
    <xf numFmtId="0" fontId="5" fillId="0" borderId="0" xfId="0" applyFont="1" applyAlignment="1">
      <alignment horizontal="left" vertical="center"/>
    </xf>
    <xf numFmtId="0" fontId="7" fillId="8" borderId="0" xfId="0" applyFont="1" applyFill="1" applyAlignment="1">
      <alignment horizontal="center" vertical="center"/>
    </xf>
    <xf numFmtId="9" fontId="6" fillId="13" borderId="1" xfId="0" applyNumberFormat="1" applyFont="1" applyFill="1" applyBorder="1" applyAlignment="1">
      <alignment horizontal="center" vertical="center"/>
    </xf>
    <xf numFmtId="0" fontId="7" fillId="4" borderId="0" xfId="0" applyFont="1" applyFill="1" applyAlignment="1">
      <alignment horizontal="center" vertical="center"/>
    </xf>
    <xf numFmtId="0" fontId="7" fillId="10" borderId="0" xfId="0" applyFont="1" applyFill="1" applyAlignment="1">
      <alignment horizontal="center" vertical="center"/>
    </xf>
    <xf numFmtId="0" fontId="7" fillId="5" borderId="0" xfId="0" applyFont="1" applyFill="1" applyAlignment="1">
      <alignment horizontal="center" vertical="center"/>
    </xf>
    <xf numFmtId="0" fontId="7" fillId="9" borderId="0" xfId="0" applyFont="1" applyFill="1" applyAlignment="1">
      <alignment horizontal="center" vertical="center"/>
    </xf>
    <xf numFmtId="0" fontId="7" fillId="12" borderId="0" xfId="0" applyFont="1" applyFill="1" applyAlignment="1">
      <alignment horizontal="center" vertical="center"/>
    </xf>
    <xf numFmtId="0" fontId="7" fillId="15" borderId="0" xfId="0" applyFont="1" applyFill="1" applyAlignment="1">
      <alignment horizontal="center" vertical="center"/>
    </xf>
    <xf numFmtId="0" fontId="9" fillId="3" borderId="0" xfId="0" applyFont="1" applyFill="1" applyAlignment="1">
      <alignment horizontal="center" vertical="center"/>
    </xf>
    <xf numFmtId="0" fontId="6" fillId="12" borderId="0" xfId="0" applyFont="1" applyFill="1" applyAlignment="1">
      <alignment horizontal="center" vertical="center"/>
    </xf>
    <xf numFmtId="0" fontId="7" fillId="7" borderId="0" xfId="0" applyFont="1" applyFill="1" applyAlignment="1">
      <alignment horizontal="center" vertical="center"/>
    </xf>
    <xf numFmtId="0" fontId="7" fillId="6" borderId="0" xfId="0" applyFont="1" applyFill="1" applyAlignment="1">
      <alignment horizontal="center" vertical="center"/>
    </xf>
    <xf numFmtId="14" fontId="6" fillId="23" borderId="0" xfId="0" applyNumberFormat="1" applyFont="1" applyFill="1" applyAlignment="1">
      <alignment horizontal="center" vertical="center"/>
    </xf>
    <xf numFmtId="0" fontId="6" fillId="23" borderId="0" xfId="0" applyFont="1" applyFill="1" applyAlignment="1">
      <alignment horizontal="center" vertical="center"/>
    </xf>
    <xf numFmtId="0" fontId="7" fillId="11" borderId="0" xfId="0" applyFont="1" applyFill="1" applyAlignment="1">
      <alignment horizontal="center" vertical="center"/>
    </xf>
    <xf numFmtId="0" fontId="6" fillId="18" borderId="0" xfId="0" applyFont="1" applyFill="1" applyAlignment="1">
      <alignment horizontal="center" vertical="center"/>
    </xf>
    <xf numFmtId="0" fontId="6" fillId="14" borderId="0" xfId="0" applyFont="1" applyFill="1" applyAlignment="1">
      <alignment horizontal="center" vertical="center"/>
    </xf>
    <xf numFmtId="0" fontId="7" fillId="14" borderId="0" xfId="0" applyFont="1" applyFill="1" applyAlignment="1">
      <alignment horizontal="left" vertical="center"/>
    </xf>
    <xf numFmtId="0" fontId="6" fillId="24" borderId="0" xfId="0" applyFont="1" applyFill="1" applyAlignment="1">
      <alignment horizontal="center" vertical="center"/>
    </xf>
    <xf numFmtId="0" fontId="6" fillId="20" borderId="0" xfId="0" applyFont="1" applyFill="1"/>
    <xf numFmtId="0" fontId="6" fillId="16" borderId="0" xfId="0" applyFont="1" applyFill="1"/>
    <xf numFmtId="0" fontId="6" fillId="11" borderId="0" xfId="0" applyFont="1" applyFill="1" applyAlignment="1">
      <alignment horizontal="center" vertical="center"/>
    </xf>
    <xf numFmtId="14" fontId="6" fillId="11" borderId="0" xfId="0" applyNumberFormat="1" applyFont="1" applyFill="1" applyAlignment="1">
      <alignment horizontal="center" vertical="center"/>
    </xf>
    <xf numFmtId="0" fontId="6" fillId="4" borderId="0" xfId="0" applyFont="1" applyFill="1" applyAlignment="1">
      <alignment horizontal="left"/>
    </xf>
    <xf numFmtId="0" fontId="6" fillId="4" borderId="0" xfId="0" applyFont="1" applyFill="1"/>
    <xf numFmtId="0" fontId="6" fillId="4" borderId="0" xfId="0" applyFont="1" applyFill="1" applyAlignment="1">
      <alignment horizontal="left" vertical="center"/>
    </xf>
    <xf numFmtId="0" fontId="6" fillId="21" borderId="0" xfId="0" applyFont="1" applyFill="1"/>
    <xf numFmtId="0" fontId="6" fillId="21" borderId="0" xfId="0" applyFont="1" applyFill="1" applyAlignment="1">
      <alignment horizontal="right" vertical="center"/>
    </xf>
    <xf numFmtId="14" fontId="6" fillId="0" borderId="0" xfId="0" applyNumberFormat="1" applyFont="1" applyAlignment="1">
      <alignment horizontal="center" vertical="center"/>
    </xf>
    <xf numFmtId="0" fontId="6" fillId="22" borderId="0" xfId="0" applyFont="1" applyFill="1" applyAlignment="1">
      <alignment horizontal="center" vertical="center"/>
    </xf>
    <xf numFmtId="9" fontId="6" fillId="22" borderId="0" xfId="0" applyNumberFormat="1" applyFont="1" applyFill="1" applyAlignment="1">
      <alignment horizontal="center" vertical="center"/>
    </xf>
    <xf numFmtId="14" fontId="6" fillId="0" borderId="0" xfId="0" applyNumberFormat="1" applyFont="1"/>
    <xf numFmtId="168" fontId="6" fillId="0" borderId="0" xfId="0" applyNumberFormat="1" applyFont="1" applyAlignment="1">
      <alignment horizontal="center" vertical="center"/>
    </xf>
    <xf numFmtId="166" fontId="6" fillId="0" borderId="0" xfId="0" applyNumberFormat="1" applyFont="1" applyAlignment="1">
      <alignment horizontal="center" vertical="center"/>
    </xf>
    <xf numFmtId="16" fontId="6" fillId="0" borderId="0" xfId="0" applyNumberFormat="1" applyFont="1" applyAlignment="1">
      <alignment horizontal="left" vertical="center"/>
    </xf>
    <xf numFmtId="0" fontId="22" fillId="2" borderId="0" xfId="0" applyFont="1" applyFill="1" applyAlignment="1">
      <alignment vertical="center"/>
    </xf>
    <xf numFmtId="0" fontId="10" fillId="0" borderId="0" xfId="0" applyFont="1" applyAlignment="1">
      <alignment horizontal="center" vertical="center"/>
    </xf>
    <xf numFmtId="0" fontId="10" fillId="0" borderId="0" xfId="0" applyFont="1" applyAlignment="1">
      <alignment horizontal="left" vertical="center" wrapText="1"/>
    </xf>
    <xf numFmtId="0" fontId="23" fillId="0" borderId="0" xfId="0" applyFont="1" applyAlignment="1">
      <alignment horizontal="left" vertical="center" wrapText="1"/>
    </xf>
    <xf numFmtId="22" fontId="10" fillId="0" borderId="0" xfId="0" applyNumberFormat="1" applyFont="1" applyAlignment="1">
      <alignment horizontal="center" vertical="center"/>
    </xf>
    <xf numFmtId="0" fontId="25" fillId="14" borderId="2" xfId="2" applyFont="1" applyFill="1" applyAlignment="1">
      <alignment horizontal="center" vertical="center" textRotation="45"/>
    </xf>
    <xf numFmtId="0" fontId="27" fillId="0" borderId="0" xfId="0" applyFont="1" applyAlignment="1">
      <alignment vertical="center"/>
    </xf>
    <xf numFmtId="0" fontId="27" fillId="0" borderId="0" xfId="0" applyFont="1" applyAlignment="1">
      <alignment horizontal="left" vertical="center"/>
    </xf>
    <xf numFmtId="0" fontId="27" fillId="0" borderId="0" xfId="0" applyFont="1" applyAlignment="1">
      <alignment horizontal="center" vertical="center"/>
    </xf>
    <xf numFmtId="1" fontId="6" fillId="0" borderId="0" xfId="0" applyNumberFormat="1" applyFont="1" applyAlignment="1">
      <alignment horizontal="center" vertical="center"/>
    </xf>
    <xf numFmtId="0" fontId="30" fillId="0" borderId="0" xfId="1" applyNumberFormat="1" applyFont="1" applyAlignment="1">
      <alignment horizontal="center" vertical="center" wrapText="1"/>
    </xf>
    <xf numFmtId="0" fontId="30" fillId="0" borderId="0" xfId="0" applyFont="1" applyAlignment="1">
      <alignment horizontal="center" vertical="center"/>
    </xf>
    <xf numFmtId="9" fontId="6" fillId="0" borderId="0" xfId="1" applyFont="1" applyAlignment="1">
      <alignment horizontal="left" vertical="center"/>
    </xf>
    <xf numFmtId="165" fontId="6" fillId="0" borderId="0" xfId="0" applyNumberFormat="1" applyFont="1" applyAlignment="1">
      <alignment horizontal="center" vertical="center"/>
    </xf>
    <xf numFmtId="0" fontId="6" fillId="0" borderId="0" xfId="1" applyNumberFormat="1" applyFont="1" applyAlignment="1">
      <alignment horizontal="center" vertical="center"/>
    </xf>
    <xf numFmtId="9" fontId="7" fillId="0" borderId="0" xfId="0" applyNumberFormat="1" applyFont="1" applyAlignment="1">
      <alignment horizontal="center" vertical="center"/>
    </xf>
    <xf numFmtId="9" fontId="7" fillId="0" borderId="0" xfId="1" applyFont="1" applyAlignment="1">
      <alignment horizontal="center" vertical="center"/>
    </xf>
    <xf numFmtId="0" fontId="32" fillId="0" borderId="0" xfId="0" applyFont="1" applyAlignment="1">
      <alignment horizontal="center" vertical="center"/>
    </xf>
    <xf numFmtId="0" fontId="21" fillId="0" borderId="0" xfId="0" applyFont="1" applyAlignment="1">
      <alignment horizontal="center" vertical="center"/>
    </xf>
    <xf numFmtId="0" fontId="27" fillId="0" borderId="0" xfId="0" applyFont="1" applyAlignment="1">
      <alignment horizontal="left" vertical="center" wrapText="1"/>
    </xf>
    <xf numFmtId="0" fontId="6" fillId="25" borderId="0" xfId="0" applyFont="1" applyFill="1" applyAlignment="1">
      <alignment horizontal="center" vertical="center"/>
    </xf>
    <xf numFmtId="1" fontId="6" fillId="25" borderId="0" xfId="0" applyNumberFormat="1" applyFont="1" applyFill="1" applyAlignment="1">
      <alignment horizontal="center" vertical="center"/>
    </xf>
    <xf numFmtId="0" fontId="26" fillId="25" borderId="0" xfId="0" applyFont="1" applyFill="1" applyAlignment="1">
      <alignment vertical="center"/>
    </xf>
    <xf numFmtId="0" fontId="6" fillId="26" borderId="0" xfId="0" applyFont="1" applyFill="1" applyAlignment="1">
      <alignment horizontal="center" vertical="center"/>
    </xf>
    <xf numFmtId="14" fontId="6" fillId="26" borderId="0" xfId="0" applyNumberFormat="1" applyFont="1" applyFill="1" applyAlignment="1">
      <alignment horizontal="center" vertical="center"/>
    </xf>
    <xf numFmtId="9" fontId="6" fillId="26" borderId="0" xfId="0" applyNumberFormat="1" applyFont="1" applyFill="1" applyAlignment="1">
      <alignment horizontal="center" vertical="center"/>
    </xf>
    <xf numFmtId="14" fontId="6" fillId="14" borderId="0" xfId="0" applyNumberFormat="1" applyFont="1" applyFill="1" applyAlignment="1">
      <alignment horizontal="center" vertical="center"/>
    </xf>
    <xf numFmtId="9" fontId="6" fillId="14" borderId="0" xfId="0" applyNumberFormat="1" applyFont="1" applyFill="1" applyAlignment="1">
      <alignment horizontal="center" vertical="center"/>
    </xf>
    <xf numFmtId="0" fontId="26" fillId="25" borderId="0" xfId="0" applyFont="1" applyFill="1"/>
    <xf numFmtId="0" fontId="29" fillId="25" borderId="0" xfId="0" applyFont="1" applyFill="1" applyAlignment="1">
      <alignment horizontal="center"/>
    </xf>
    <xf numFmtId="9" fontId="29" fillId="25" borderId="0" xfId="1" applyFont="1" applyFill="1" applyAlignment="1">
      <alignment horizontal="center"/>
    </xf>
    <xf numFmtId="0" fontId="6" fillId="25" borderId="0" xfId="0" applyFont="1" applyFill="1" applyAlignment="1">
      <alignment horizontal="center"/>
    </xf>
    <xf numFmtId="0" fontId="6" fillId="27" borderId="0" xfId="0" applyFont="1" applyFill="1" applyAlignment="1">
      <alignment horizontal="center" vertical="center"/>
    </xf>
    <xf numFmtId="0" fontId="29" fillId="27" borderId="0" xfId="0" applyFont="1" applyFill="1" applyAlignment="1">
      <alignment horizontal="right" vertical="center"/>
    </xf>
    <xf numFmtId="9" fontId="31" fillId="27" borderId="0" xfId="1" applyFont="1" applyFill="1" applyAlignment="1">
      <alignment horizontal="center" vertical="center"/>
    </xf>
    <xf numFmtId="0" fontId="29" fillId="27" borderId="0" xfId="0" applyFont="1" applyFill="1" applyAlignment="1">
      <alignment horizontal="center" vertical="center"/>
    </xf>
    <xf numFmtId="0" fontId="6" fillId="27" borderId="0" xfId="0" applyFont="1" applyFill="1" applyAlignment="1">
      <alignment horizontal="right" vertical="center"/>
    </xf>
    <xf numFmtId="1" fontId="6" fillId="27" borderId="0" xfId="0" applyNumberFormat="1" applyFont="1" applyFill="1" applyAlignment="1">
      <alignment horizontal="center" vertical="center"/>
    </xf>
    <xf numFmtId="167" fontId="10" fillId="0" borderId="0" xfId="0" applyNumberFormat="1" applyFont="1" applyAlignment="1">
      <alignment horizontal="right" vertical="center"/>
    </xf>
    <xf numFmtId="167" fontId="24" fillId="0" borderId="0" xfId="0" applyNumberFormat="1" applyFont="1" applyAlignment="1">
      <alignment horizontal="right" vertical="center"/>
    </xf>
    <xf numFmtId="0" fontId="33" fillId="26" borderId="2" xfId="2" applyFont="1" applyFill="1" applyAlignment="1">
      <alignment horizontal="left" vertical="center"/>
    </xf>
    <xf numFmtId="0" fontId="29" fillId="28" borderId="0" xfId="0" applyFont="1" applyFill="1" applyAlignment="1">
      <alignment horizontal="center" vertical="center"/>
    </xf>
    <xf numFmtId="9" fontId="29" fillId="28" borderId="0" xfId="1" applyFont="1" applyFill="1" applyAlignment="1">
      <alignment horizontal="center" vertical="center"/>
    </xf>
    <xf numFmtId="0" fontId="6" fillId="28" borderId="0" xfId="0" applyFont="1" applyFill="1" applyAlignment="1">
      <alignment horizontal="center" vertical="center"/>
    </xf>
    <xf numFmtId="1" fontId="6" fillId="28" borderId="0" xfId="0" applyNumberFormat="1" applyFont="1" applyFill="1" applyAlignment="1">
      <alignment horizontal="center" vertical="center"/>
    </xf>
    <xf numFmtId="0" fontId="29" fillId="29" borderId="0" xfId="0" applyFont="1" applyFill="1" applyAlignment="1">
      <alignment horizontal="center" vertical="center"/>
    </xf>
    <xf numFmtId="9" fontId="29" fillId="29" borderId="0" xfId="1" applyFont="1" applyFill="1" applyAlignment="1">
      <alignment horizontal="center" vertical="center"/>
    </xf>
    <xf numFmtId="0" fontId="6" fillId="29" borderId="0" xfId="0" applyFont="1" applyFill="1" applyAlignment="1">
      <alignment horizontal="center" vertical="center"/>
    </xf>
    <xf numFmtId="1" fontId="6" fillId="29" borderId="0" xfId="0" applyNumberFormat="1" applyFont="1" applyFill="1" applyAlignment="1">
      <alignment horizontal="center" vertical="center"/>
    </xf>
    <xf numFmtId="0" fontId="29" fillId="30" borderId="0" xfId="0" applyFont="1" applyFill="1" applyAlignment="1">
      <alignment horizontal="center" vertical="center"/>
    </xf>
    <xf numFmtId="9" fontId="29" fillId="30" borderId="0" xfId="1" applyFont="1" applyFill="1" applyAlignment="1">
      <alignment horizontal="center" vertical="center"/>
    </xf>
    <xf numFmtId="0" fontId="6" fillId="30" borderId="0" xfId="0" applyFont="1" applyFill="1" applyAlignment="1">
      <alignment horizontal="center" vertical="center"/>
    </xf>
    <xf numFmtId="1" fontId="6" fillId="30" borderId="0" xfId="0" applyNumberFormat="1" applyFont="1" applyFill="1" applyAlignment="1">
      <alignment horizontal="center" vertical="center"/>
    </xf>
    <xf numFmtId="0" fontId="29" fillId="26" borderId="0" xfId="0" applyFont="1" applyFill="1" applyAlignment="1">
      <alignment horizontal="center" vertical="center"/>
    </xf>
    <xf numFmtId="9" fontId="29" fillId="26" borderId="0" xfId="1" applyFont="1" applyFill="1" applyAlignment="1">
      <alignment horizontal="center" vertical="center"/>
    </xf>
    <xf numFmtId="1" fontId="6" fillId="26" borderId="0" xfId="0" applyNumberFormat="1" applyFont="1" applyFill="1" applyAlignment="1">
      <alignment horizontal="center" vertical="center"/>
    </xf>
    <xf numFmtId="0" fontId="29" fillId="31" borderId="0" xfId="0" applyFont="1" applyFill="1" applyAlignment="1">
      <alignment horizontal="right" vertical="center"/>
    </xf>
    <xf numFmtId="9" fontId="31" fillId="31" borderId="0" xfId="1" applyFont="1" applyFill="1" applyAlignment="1">
      <alignment horizontal="center" vertical="center"/>
    </xf>
    <xf numFmtId="0" fontId="6" fillId="31" borderId="0" xfId="0" applyFont="1" applyFill="1" applyAlignment="1">
      <alignment horizontal="center" vertical="center"/>
    </xf>
    <xf numFmtId="0" fontId="6" fillId="31" borderId="0" xfId="0" applyFont="1" applyFill="1" applyAlignment="1">
      <alignment horizontal="right" vertical="center"/>
    </xf>
    <xf numFmtId="1" fontId="6" fillId="31" borderId="0" xfId="0" applyNumberFormat="1" applyFont="1" applyFill="1" applyAlignment="1">
      <alignment horizontal="center" vertical="center"/>
    </xf>
    <xf numFmtId="0" fontId="29" fillId="32" borderId="0" xfId="0" applyFont="1" applyFill="1" applyAlignment="1">
      <alignment horizontal="center" vertical="center"/>
    </xf>
    <xf numFmtId="9" fontId="31" fillId="32" borderId="0" xfId="1" applyFont="1" applyFill="1" applyAlignment="1">
      <alignment horizontal="center" vertical="center"/>
    </xf>
    <xf numFmtId="0" fontId="6" fillId="32" borderId="0" xfId="0" applyFont="1" applyFill="1" applyAlignment="1">
      <alignment horizontal="center" vertical="center"/>
    </xf>
    <xf numFmtId="1" fontId="6" fillId="32" borderId="0" xfId="0" applyNumberFormat="1" applyFont="1" applyFill="1" applyAlignment="1">
      <alignment horizontal="center" vertical="center"/>
    </xf>
    <xf numFmtId="0" fontId="6" fillId="33" borderId="0" xfId="0" applyFont="1" applyFill="1" applyAlignment="1">
      <alignment horizontal="center" vertical="center"/>
    </xf>
    <xf numFmtId="0" fontId="29" fillId="33" borderId="0" xfId="0" applyFont="1" applyFill="1" applyAlignment="1">
      <alignment horizontal="center" vertical="center"/>
    </xf>
    <xf numFmtId="9" fontId="31" fillId="33" borderId="0" xfId="1" applyFont="1" applyFill="1" applyAlignment="1">
      <alignment horizontal="center" vertical="center"/>
    </xf>
    <xf numFmtId="1" fontId="6" fillId="33" borderId="0" xfId="0" applyNumberFormat="1" applyFont="1" applyFill="1" applyAlignment="1">
      <alignment horizontal="center" vertical="center"/>
    </xf>
    <xf numFmtId="0" fontId="29" fillId="34" borderId="0" xfId="0" applyFont="1" applyFill="1" applyAlignment="1">
      <alignment horizontal="center" vertical="center"/>
    </xf>
    <xf numFmtId="9" fontId="31" fillId="34" borderId="0" xfId="1" applyFont="1" applyFill="1" applyAlignment="1">
      <alignment horizontal="center" vertical="center"/>
    </xf>
    <xf numFmtId="0" fontId="6" fillId="34" borderId="0" xfId="0" applyFont="1" applyFill="1" applyAlignment="1">
      <alignment horizontal="center" vertical="center"/>
    </xf>
    <xf numFmtId="1" fontId="6" fillId="34" borderId="0" xfId="0" applyNumberFormat="1" applyFont="1" applyFill="1" applyAlignment="1">
      <alignment horizontal="center" vertical="center"/>
    </xf>
    <xf numFmtId="0" fontId="29" fillId="35" borderId="0" xfId="0" applyFont="1" applyFill="1" applyAlignment="1">
      <alignment horizontal="center" vertical="center"/>
    </xf>
    <xf numFmtId="0" fontId="6" fillId="35" borderId="0" xfId="0" applyFont="1" applyFill="1" applyAlignment="1">
      <alignment horizontal="center" vertical="center"/>
    </xf>
    <xf numFmtId="1" fontId="6" fillId="35" borderId="0" xfId="0" applyNumberFormat="1" applyFont="1" applyFill="1" applyAlignment="1">
      <alignment horizontal="center" vertical="center"/>
    </xf>
    <xf numFmtId="0" fontId="34" fillId="35" borderId="0" xfId="0" applyFont="1" applyFill="1" applyAlignment="1">
      <alignment horizontal="center" vertical="center"/>
    </xf>
    <xf numFmtId="9" fontId="35" fillId="35" borderId="0" xfId="1" applyFont="1" applyFill="1" applyAlignment="1">
      <alignment horizontal="center" vertical="center"/>
    </xf>
    <xf numFmtId="0" fontId="6" fillId="12" borderId="0" xfId="0" applyFont="1" applyFill="1"/>
    <xf numFmtId="0" fontId="6" fillId="12" borderId="0" xfId="0" applyFont="1" applyFill="1" applyAlignment="1">
      <alignment horizontal="right"/>
    </xf>
    <xf numFmtId="2" fontId="6" fillId="12" borderId="0" xfId="0" applyNumberFormat="1" applyFont="1" applyFill="1" applyAlignment="1">
      <alignment horizontal="right"/>
    </xf>
    <xf numFmtId="0" fontId="6" fillId="12" borderId="0" xfId="0" applyFont="1" applyFill="1" applyAlignment="1">
      <alignment horizontal="right" vertical="center"/>
    </xf>
    <xf numFmtId="0" fontId="29" fillId="11" borderId="0" xfId="0" applyFont="1" applyFill="1" applyAlignment="1">
      <alignment horizontal="right" vertical="center"/>
    </xf>
    <xf numFmtId="9" fontId="31" fillId="11" borderId="0" xfId="1" applyFont="1" applyFill="1" applyAlignment="1">
      <alignment horizontal="center" vertical="center"/>
    </xf>
    <xf numFmtId="0" fontId="6" fillId="11" borderId="0" xfId="0" applyFont="1" applyFill="1" applyAlignment="1">
      <alignment horizontal="right" vertical="center"/>
    </xf>
    <xf numFmtId="1" fontId="6" fillId="11" borderId="0" xfId="0" applyNumberFormat="1" applyFont="1" applyFill="1" applyAlignment="1">
      <alignment horizontal="center" vertical="center"/>
    </xf>
    <xf numFmtId="0" fontId="22" fillId="2" borderId="0" xfId="0" applyFont="1" applyFill="1" applyAlignment="1">
      <alignment horizontal="left" vertical="center"/>
    </xf>
    <xf numFmtId="0" fontId="28" fillId="0" borderId="0" xfId="0" applyFont="1" applyAlignment="1">
      <alignment vertical="center"/>
    </xf>
    <xf numFmtId="170" fontId="10" fillId="0" borderId="0" xfId="0" applyNumberFormat="1" applyFont="1" applyAlignment="1">
      <alignment horizontal="center" vertical="center"/>
    </xf>
    <xf numFmtId="169" fontId="10" fillId="0" borderId="0" xfId="0" applyNumberFormat="1" applyFont="1" applyAlignment="1">
      <alignment horizontal="center" vertical="center"/>
    </xf>
    <xf numFmtId="0" fontId="32" fillId="0" borderId="0" xfId="0" applyFont="1" applyAlignment="1">
      <alignment vertical="center"/>
    </xf>
    <xf numFmtId="1" fontId="6" fillId="0" borderId="0" xfId="0" applyNumberFormat="1" applyFont="1" applyAlignment="1">
      <alignment horizontal="left" vertical="center"/>
    </xf>
    <xf numFmtId="0" fontId="10" fillId="2" borderId="0" xfId="0" applyFont="1" applyFill="1" applyAlignment="1">
      <alignment horizontal="center" vertical="center"/>
    </xf>
    <xf numFmtId="0" fontId="23" fillId="8" borderId="0" xfId="0" applyFont="1" applyFill="1" applyAlignment="1">
      <alignment horizontal="right"/>
    </xf>
    <xf numFmtId="0" fontId="10" fillId="8" borderId="0" xfId="0" applyFont="1" applyFill="1" applyAlignment="1">
      <alignment horizontal="center" vertical="center"/>
    </xf>
    <xf numFmtId="14" fontId="10" fillId="0" borderId="0" xfId="0" applyNumberFormat="1" applyFont="1" applyAlignment="1">
      <alignment horizontal="center" vertical="center"/>
    </xf>
    <xf numFmtId="0" fontId="37" fillId="0" borderId="0" xfId="0" applyFont="1" applyAlignment="1">
      <alignment horizontal="center" vertical="center"/>
    </xf>
    <xf numFmtId="9" fontId="37" fillId="0" borderId="0" xfId="0" applyNumberFormat="1" applyFont="1" applyAlignment="1">
      <alignment horizontal="center" vertical="center"/>
    </xf>
    <xf numFmtId="0" fontId="39" fillId="0" borderId="0" xfId="0" applyFont="1" applyAlignment="1">
      <alignment horizontal="center" vertical="center"/>
    </xf>
    <xf numFmtId="9" fontId="38" fillId="0" borderId="0" xfId="1" applyFont="1" applyAlignment="1">
      <alignment horizontal="left" vertical="center"/>
    </xf>
    <xf numFmtId="0" fontId="38" fillId="0" borderId="0" xfId="0" applyFont="1" applyAlignment="1">
      <alignment horizontal="left" vertical="center"/>
    </xf>
    <xf numFmtId="0" fontId="6" fillId="0" borderId="0" xfId="1" applyNumberFormat="1" applyFont="1" applyFill="1" applyAlignment="1">
      <alignment horizontal="center" vertical="center"/>
    </xf>
    <xf numFmtId="0" fontId="6" fillId="12" borderId="0" xfId="0" applyFont="1" applyFill="1" applyAlignment="1">
      <alignment vertical="center"/>
    </xf>
    <xf numFmtId="1" fontId="24" fillId="0" borderId="0" xfId="0" applyNumberFormat="1" applyFont="1" applyAlignment="1">
      <alignment horizontal="center" vertical="center"/>
    </xf>
    <xf numFmtId="1" fontId="32" fillId="0" borderId="0" xfId="0" applyNumberFormat="1" applyFont="1" applyAlignment="1">
      <alignment horizontal="center" vertical="center"/>
    </xf>
    <xf numFmtId="0" fontId="32" fillId="0" borderId="0" xfId="0" applyFont="1" applyAlignment="1">
      <alignment horizontal="left" vertical="center"/>
    </xf>
    <xf numFmtId="0" fontId="22" fillId="2" borderId="0" xfId="0" applyFont="1" applyFill="1" applyAlignment="1" applyProtection="1">
      <alignment horizontal="left" vertical="center"/>
      <protection locked="0"/>
    </xf>
    <xf numFmtId="0" fontId="10" fillId="0" borderId="0" xfId="0" applyFont="1" applyAlignment="1" applyProtection="1">
      <alignment horizontal="center" vertical="center"/>
      <protection locked="0"/>
    </xf>
    <xf numFmtId="169" fontId="23" fillId="0" borderId="0" xfId="0" applyNumberFormat="1" applyFont="1" applyAlignment="1" applyProtection="1">
      <alignment horizontal="center" vertical="center"/>
      <protection locked="0"/>
    </xf>
    <xf numFmtId="0" fontId="36" fillId="19" borderId="0" xfId="0" applyFont="1" applyFill="1" applyAlignment="1" applyProtection="1">
      <alignment horizontal="center" vertical="center"/>
      <protection locked="0"/>
    </xf>
    <xf numFmtId="9" fontId="37" fillId="0" borderId="0" xfId="1" applyFont="1" applyAlignment="1" applyProtection="1">
      <alignment horizontal="center" vertical="center"/>
      <protection locked="0"/>
    </xf>
    <xf numFmtId="0" fontId="30" fillId="0" borderId="0" xfId="0" applyFont="1" applyAlignment="1" applyProtection="1">
      <alignment horizontal="center" vertical="center"/>
      <protection locked="0"/>
    </xf>
    <xf numFmtId="0" fontId="6" fillId="0" borderId="0" xfId="0" applyFont="1" applyAlignment="1" applyProtection="1">
      <alignment horizontal="center" vertical="center"/>
      <protection locked="0"/>
    </xf>
    <xf numFmtId="9" fontId="6" fillId="0" borderId="0" xfId="1" applyFont="1" applyAlignment="1" applyProtection="1">
      <alignment horizontal="left" vertical="center"/>
      <protection locked="0"/>
    </xf>
    <xf numFmtId="0" fontId="6" fillId="0" borderId="0" xfId="0" applyFont="1" applyAlignment="1" applyProtection="1">
      <alignment horizontal="left" vertical="center"/>
      <protection locked="0"/>
    </xf>
    <xf numFmtId="0" fontId="6" fillId="20" borderId="0" xfId="0" applyFont="1" applyFill="1" applyAlignment="1">
      <alignment horizontal="center" vertical="center"/>
    </xf>
    <xf numFmtId="0" fontId="21" fillId="0" borderId="0" xfId="0" applyFont="1"/>
    <xf numFmtId="0" fontId="40" fillId="0" borderId="0" xfId="0" applyFont="1" applyAlignment="1">
      <alignment horizontal="center" vertical="center"/>
    </xf>
    <xf numFmtId="0" fontId="8" fillId="0" borderId="0" xfId="0" applyFont="1" applyAlignment="1" applyProtection="1">
      <alignment horizontal="center" vertical="center"/>
      <protection locked="0"/>
    </xf>
    <xf numFmtId="16" fontId="6" fillId="0" borderId="0" xfId="0" applyNumberFormat="1" applyFont="1" applyAlignment="1" applyProtection="1">
      <alignment horizontal="center" vertical="center"/>
      <protection locked="0"/>
    </xf>
    <xf numFmtId="9" fontId="6" fillId="0" borderId="0" xfId="1" applyFont="1" applyAlignment="1" applyProtection="1">
      <alignment horizontal="right" vertical="center"/>
      <protection locked="0"/>
    </xf>
    <xf numFmtId="0" fontId="6" fillId="0" borderId="0" xfId="0" applyFont="1" applyProtection="1">
      <protection locked="0"/>
    </xf>
    <xf numFmtId="9" fontId="6" fillId="0" borderId="0" xfId="1" applyFont="1" applyAlignment="1" applyProtection="1">
      <alignment horizontal="right" vertical="center"/>
    </xf>
    <xf numFmtId="9" fontId="6" fillId="0" borderId="0" xfId="1" applyFont="1" applyAlignment="1" applyProtection="1">
      <alignment horizontal="right"/>
    </xf>
    <xf numFmtId="16" fontId="7" fillId="19" borderId="0" xfId="0" applyNumberFormat="1" applyFont="1" applyFill="1" applyAlignment="1">
      <alignment horizontal="center" vertical="center"/>
    </xf>
    <xf numFmtId="171" fontId="6" fillId="0" borderId="0" xfId="0" applyNumberFormat="1" applyFont="1" applyAlignment="1">
      <alignment horizontal="center" vertical="center"/>
    </xf>
    <xf numFmtId="0" fontId="6" fillId="0" borderId="0" xfId="0" applyFont="1" applyAlignment="1">
      <alignment horizontal="center" textRotation="90"/>
    </xf>
    <xf numFmtId="14" fontId="6" fillId="0" borderId="0" xfId="0" applyNumberFormat="1" applyFont="1" applyAlignment="1" applyProtection="1">
      <alignment horizontal="center" vertical="center"/>
      <protection locked="0"/>
    </xf>
    <xf numFmtId="0" fontId="6" fillId="29" borderId="0" xfId="0" applyFont="1" applyFill="1" applyAlignment="1" applyProtection="1">
      <alignment vertical="center"/>
      <protection locked="0"/>
    </xf>
    <xf numFmtId="0" fontId="6" fillId="34" borderId="0" xfId="0" applyFont="1" applyFill="1" applyAlignment="1" applyProtection="1">
      <alignment horizontal="center" vertical="center"/>
      <protection locked="0"/>
    </xf>
    <xf numFmtId="0" fontId="6" fillId="35" borderId="0" xfId="0" applyFont="1" applyFill="1" applyAlignment="1" applyProtection="1">
      <alignment vertical="center"/>
      <protection locked="0"/>
    </xf>
    <xf numFmtId="0" fontId="6" fillId="27" borderId="0" xfId="0" applyFont="1" applyFill="1" applyAlignment="1" applyProtection="1">
      <alignment vertical="center"/>
      <protection locked="0"/>
    </xf>
    <xf numFmtId="0" fontId="6" fillId="38" borderId="0" xfId="0" applyFont="1" applyFill="1" applyAlignment="1" applyProtection="1">
      <alignment horizontal="center" vertical="center"/>
      <protection locked="0"/>
    </xf>
    <xf numFmtId="0" fontId="6" fillId="31" borderId="0" xfId="0" applyFont="1" applyFill="1" applyAlignment="1" applyProtection="1">
      <alignment vertical="center"/>
      <protection locked="0"/>
    </xf>
    <xf numFmtId="0" fontId="6" fillId="28" borderId="0" xfId="0" applyFont="1" applyFill="1" applyAlignment="1" applyProtection="1">
      <alignment vertical="center"/>
      <protection locked="0"/>
    </xf>
    <xf numFmtId="0" fontId="6" fillId="31" borderId="0" xfId="0" applyFont="1" applyFill="1" applyAlignment="1" applyProtection="1">
      <alignment horizontal="center" vertical="center"/>
      <protection locked="0"/>
    </xf>
    <xf numFmtId="0" fontId="6" fillId="0" borderId="0" xfId="0" applyFont="1" applyAlignment="1" applyProtection="1">
      <alignment vertical="center"/>
      <protection locked="0"/>
    </xf>
    <xf numFmtId="9" fontId="6" fillId="22" borderId="0" xfId="1" applyFont="1" applyFill="1" applyAlignment="1">
      <alignment horizontal="center" vertical="center"/>
    </xf>
    <xf numFmtId="1" fontId="6" fillId="22" borderId="0" xfId="0" applyNumberFormat="1" applyFont="1" applyFill="1" applyAlignment="1">
      <alignment horizontal="center" vertical="center"/>
    </xf>
    <xf numFmtId="165" fontId="6" fillId="22" borderId="0" xfId="0" applyNumberFormat="1" applyFont="1" applyFill="1" applyAlignment="1">
      <alignment horizontal="center" vertical="center"/>
    </xf>
    <xf numFmtId="9" fontId="32" fillId="0" borderId="0" xfId="1" applyFont="1" applyAlignment="1" applyProtection="1">
      <alignment horizontal="left" vertical="center"/>
      <protection locked="0"/>
    </xf>
    <xf numFmtId="0" fontId="32" fillId="0" borderId="0" xfId="1" applyNumberFormat="1" applyFont="1" applyAlignment="1">
      <alignment horizontal="center" vertical="center"/>
    </xf>
    <xf numFmtId="0" fontId="41" fillId="0" borderId="0" xfId="0" applyFont="1" applyAlignment="1">
      <alignment horizontal="center" vertical="center"/>
    </xf>
    <xf numFmtId="0" fontId="6" fillId="0" borderId="0" xfId="1" applyNumberFormat="1" applyFont="1" applyAlignment="1" applyProtection="1">
      <alignment horizontal="left" vertical="center"/>
      <protection locked="0"/>
    </xf>
    <xf numFmtId="165" fontId="6" fillId="0" borderId="0" xfId="1" applyNumberFormat="1" applyFont="1" applyAlignment="1" applyProtection="1">
      <alignment horizontal="left" vertical="center"/>
      <protection locked="0"/>
    </xf>
    <xf numFmtId="165" fontId="6" fillId="0" borderId="0" xfId="0" applyNumberFormat="1" applyFont="1" applyAlignment="1" applyProtection="1">
      <alignment horizontal="left" vertical="center"/>
      <protection locked="0"/>
    </xf>
    <xf numFmtId="9" fontId="7" fillId="0" borderId="0" xfId="1" applyFont="1" applyAlignment="1" applyProtection="1">
      <alignment horizontal="left" vertical="center"/>
      <protection locked="0"/>
    </xf>
    <xf numFmtId="1" fontId="6" fillId="0" borderId="0" xfId="5" applyNumberFormat="1" applyFont="1" applyAlignment="1">
      <alignment horizontal="center" vertical="center"/>
    </xf>
    <xf numFmtId="9" fontId="6" fillId="0" borderId="0" xfId="0" applyNumberFormat="1" applyFont="1" applyAlignment="1" applyProtection="1">
      <alignment horizontal="left" vertical="center"/>
      <protection locked="0"/>
    </xf>
    <xf numFmtId="15" fontId="10" fillId="0" borderId="0" xfId="0" applyNumberFormat="1" applyFont="1" applyAlignment="1" applyProtection="1">
      <alignment horizontal="center" vertical="center"/>
      <protection locked="0"/>
    </xf>
    <xf numFmtId="22" fontId="6" fillId="0" borderId="0" xfId="0" applyNumberFormat="1" applyFont="1" applyAlignment="1" applyProtection="1">
      <alignment horizontal="center" vertical="center"/>
      <protection locked="0"/>
    </xf>
    <xf numFmtId="167" fontId="10" fillId="0" borderId="0" xfId="0" applyNumberFormat="1" applyFont="1" applyAlignment="1">
      <alignment horizontal="left" vertical="center"/>
    </xf>
    <xf numFmtId="0" fontId="10" fillId="0" borderId="0" xfId="0" applyFont="1" applyAlignment="1">
      <alignment horizontal="left" vertical="center"/>
    </xf>
    <xf numFmtId="9" fontId="10" fillId="0" borderId="0" xfId="0" applyNumberFormat="1" applyFont="1" applyAlignment="1">
      <alignment horizontal="center" vertical="center"/>
    </xf>
    <xf numFmtId="0" fontId="10" fillId="2" borderId="0" xfId="0" applyFont="1" applyFill="1" applyAlignment="1" applyProtection="1">
      <alignment horizontal="left" vertical="center"/>
      <protection locked="0"/>
    </xf>
    <xf numFmtId="0" fontId="10" fillId="2" borderId="0" xfId="0" applyFont="1" applyFill="1" applyAlignment="1">
      <alignment horizontal="left" vertical="center"/>
    </xf>
    <xf numFmtId="0" fontId="10" fillId="2" borderId="0" xfId="0" applyFont="1" applyFill="1" applyAlignment="1">
      <alignment horizontal="left" vertical="center" wrapText="1"/>
    </xf>
    <xf numFmtId="20" fontId="10" fillId="0" borderId="0" xfId="0" applyNumberFormat="1" applyFont="1" applyAlignment="1">
      <alignment horizontal="center" vertical="center"/>
    </xf>
    <xf numFmtId="0" fontId="27" fillId="0" borderId="0" xfId="0" applyFont="1" applyAlignment="1" applyProtection="1">
      <alignment horizontal="center" vertical="center"/>
      <protection locked="0"/>
    </xf>
    <xf numFmtId="0" fontId="42" fillId="0" borderId="0" xfId="0" applyFont="1" applyAlignment="1" applyProtection="1">
      <alignment horizontal="left" vertical="center"/>
      <protection locked="0"/>
    </xf>
    <xf numFmtId="0" fontId="43" fillId="0" borderId="0" xfId="0" applyFont="1" applyAlignment="1">
      <alignment horizontal="center" vertical="center"/>
    </xf>
    <xf numFmtId="0" fontId="0" fillId="0" borderId="0" xfId="0" applyAlignment="1">
      <alignment horizontal="center" vertical="center"/>
    </xf>
    <xf numFmtId="0" fontId="43" fillId="0" borderId="0" xfId="0" applyFont="1" applyAlignment="1">
      <alignment horizontal="center" vertical="center" wrapText="1"/>
    </xf>
    <xf numFmtId="0" fontId="0" fillId="0" borderId="0" xfId="0" applyAlignment="1">
      <alignment horizontal="left" vertical="top" wrapText="1"/>
    </xf>
    <xf numFmtId="0" fontId="0" fillId="40" borderId="0" xfId="0" applyFill="1" applyAlignment="1">
      <alignment horizontal="center" vertical="center"/>
    </xf>
    <xf numFmtId="0" fontId="0" fillId="40" borderId="0" xfId="0" applyFill="1" applyAlignment="1">
      <alignment horizontal="left" vertical="top" wrapText="1"/>
    </xf>
    <xf numFmtId="0" fontId="0" fillId="40" borderId="0" xfId="0" applyFill="1"/>
    <xf numFmtId="21" fontId="0" fillId="0" borderId="0" xfId="0" applyNumberFormat="1" applyAlignment="1">
      <alignment horizontal="center" vertical="center"/>
    </xf>
    <xf numFmtId="0" fontId="0" fillId="41" borderId="0" xfId="0" applyFill="1" applyAlignment="1">
      <alignment horizontal="center" vertical="center"/>
    </xf>
    <xf numFmtId="0" fontId="0" fillId="41" borderId="0" xfId="0" applyFill="1" applyAlignment="1">
      <alignment horizontal="left" vertical="top" wrapText="1"/>
    </xf>
    <xf numFmtId="0" fontId="0" fillId="41" borderId="0" xfId="0" applyFill="1"/>
    <xf numFmtId="0" fontId="6" fillId="42" borderId="0" xfId="0" applyFont="1" applyFill="1" applyAlignment="1">
      <alignment horizontal="center" vertical="center"/>
    </xf>
    <xf numFmtId="0" fontId="6" fillId="39" borderId="0" xfId="0" applyFont="1" applyFill="1" applyAlignment="1">
      <alignment horizontal="center" vertical="center"/>
    </xf>
    <xf numFmtId="0" fontId="6" fillId="38" borderId="0" xfId="0" applyFont="1" applyFill="1" applyAlignment="1">
      <alignment horizontal="center" vertical="center"/>
    </xf>
    <xf numFmtId="0" fontId="6" fillId="43" borderId="0" xfId="0" applyFont="1" applyFill="1" applyAlignment="1">
      <alignment horizontal="center" vertical="center"/>
    </xf>
    <xf numFmtId="0" fontId="6" fillId="44" borderId="0" xfId="0" applyFont="1" applyFill="1" applyAlignment="1">
      <alignment horizontal="center" vertical="center"/>
    </xf>
    <xf numFmtId="167" fontId="44" fillId="0" borderId="0" xfId="0" applyNumberFormat="1" applyFont="1" applyAlignment="1">
      <alignment horizontal="right" vertical="center"/>
    </xf>
    <xf numFmtId="0" fontId="6" fillId="0" borderId="0" xfId="1" applyNumberFormat="1" applyFont="1" applyAlignment="1">
      <alignment horizontal="left" vertical="center"/>
    </xf>
    <xf numFmtId="0" fontId="6" fillId="0" borderId="0" xfId="1" applyNumberFormat="1" applyFont="1" applyAlignment="1">
      <alignment horizontal="right" vertical="center"/>
    </xf>
    <xf numFmtId="0" fontId="32" fillId="0" borderId="0" xfId="0" applyFont="1" applyAlignment="1">
      <alignment horizontal="right" vertical="center"/>
    </xf>
    <xf numFmtId="0" fontId="7" fillId="0" borderId="0" xfId="0" applyFont="1" applyAlignment="1">
      <alignment horizontal="right" vertical="center"/>
    </xf>
    <xf numFmtId="0" fontId="7" fillId="0" borderId="0" xfId="0" applyFont="1" applyAlignment="1">
      <alignment vertical="center"/>
    </xf>
    <xf numFmtId="0" fontId="45" fillId="0" borderId="0" xfId="0" applyFont="1" applyAlignment="1">
      <alignment horizontal="left" vertical="center"/>
    </xf>
    <xf numFmtId="0" fontId="7" fillId="0" borderId="0" xfId="1" applyNumberFormat="1" applyFont="1" applyAlignment="1">
      <alignment horizontal="right" vertical="center"/>
    </xf>
    <xf numFmtId="168" fontId="6" fillId="0" borderId="0" xfId="0" applyNumberFormat="1" applyFont="1" applyAlignment="1">
      <alignment horizontal="left" vertical="center" wrapText="1"/>
    </xf>
    <xf numFmtId="166" fontId="6" fillId="0" borderId="0" xfId="0" applyNumberFormat="1" applyFont="1" applyAlignment="1">
      <alignment horizontal="left" vertical="center"/>
    </xf>
    <xf numFmtId="9" fontId="45" fillId="22" borderId="0" xfId="0" applyNumberFormat="1" applyFont="1" applyFill="1" applyAlignment="1">
      <alignment horizontal="center" vertical="center"/>
    </xf>
    <xf numFmtId="0" fontId="32" fillId="0" borderId="0" xfId="0" applyFont="1" applyAlignment="1" applyProtection="1">
      <alignment vertical="center"/>
      <protection locked="0"/>
    </xf>
    <xf numFmtId="0" fontId="45" fillId="2" borderId="0" xfId="0" applyFont="1" applyFill="1" applyAlignment="1">
      <alignment horizontal="center" vertical="center"/>
    </xf>
    <xf numFmtId="1" fontId="45" fillId="2" borderId="0" xfId="0" applyNumberFormat="1" applyFont="1" applyFill="1" applyAlignment="1">
      <alignment horizontal="center" vertical="center"/>
    </xf>
    <xf numFmtId="9" fontId="45" fillId="2" borderId="0" xfId="0" applyNumberFormat="1" applyFont="1" applyFill="1" applyAlignment="1">
      <alignment horizontal="center" vertical="center"/>
    </xf>
    <xf numFmtId="0" fontId="45" fillId="0" borderId="0" xfId="0" applyFont="1" applyAlignment="1">
      <alignment horizontal="center" vertical="top"/>
    </xf>
    <xf numFmtId="167" fontId="46" fillId="0" borderId="0" xfId="0" applyNumberFormat="1" applyFont="1" applyAlignment="1">
      <alignment horizontal="right" vertical="center"/>
    </xf>
    <xf numFmtId="9" fontId="7" fillId="0" borderId="0" xfId="0" applyNumberFormat="1" applyFont="1" applyAlignment="1">
      <alignment horizontal="center" vertical="top"/>
    </xf>
    <xf numFmtId="9" fontId="45" fillId="0" borderId="0" xfId="1" applyFont="1" applyAlignment="1">
      <alignment horizontal="right" vertical="center"/>
    </xf>
    <xf numFmtId="169" fontId="47" fillId="0" borderId="0" xfId="0" applyNumberFormat="1" applyFont="1" applyAlignment="1" applyProtection="1">
      <alignment horizontal="center" vertical="center"/>
      <protection locked="0"/>
    </xf>
    <xf numFmtId="8" fontId="10" fillId="0" borderId="0" xfId="0" applyNumberFormat="1" applyFont="1" applyAlignment="1" applyProtection="1">
      <alignment horizontal="center" vertical="center"/>
      <protection locked="0"/>
    </xf>
    <xf numFmtId="0" fontId="48" fillId="0" borderId="0" xfId="0" applyFont="1" applyAlignment="1">
      <alignment horizontal="center" vertical="center"/>
    </xf>
    <xf numFmtId="0" fontId="49" fillId="0" borderId="0" xfId="0" applyFont="1" applyAlignment="1">
      <alignment horizontal="center" vertical="center"/>
    </xf>
    <xf numFmtId="0" fontId="50" fillId="0" borderId="0" xfId="0" applyFont="1" applyAlignment="1">
      <alignment horizontal="center" vertical="center"/>
    </xf>
    <xf numFmtId="14" fontId="10" fillId="0" borderId="0" xfId="0" applyNumberFormat="1" applyFont="1" applyAlignment="1" applyProtection="1">
      <alignment horizontal="center" vertical="center"/>
      <protection locked="0"/>
    </xf>
    <xf numFmtId="0" fontId="22" fillId="2" borderId="0" xfId="0" applyFont="1" applyFill="1" applyAlignment="1" applyProtection="1">
      <alignment horizontal="left" vertical="center"/>
      <protection locked="0"/>
    </xf>
    <xf numFmtId="0" fontId="7" fillId="36" borderId="0" xfId="0" applyFont="1" applyFill="1" applyAlignment="1">
      <alignment horizontal="center" vertical="center"/>
    </xf>
    <xf numFmtId="0" fontId="7" fillId="11" borderId="0" xfId="0" applyFont="1" applyFill="1" applyAlignment="1">
      <alignment horizontal="center" vertical="center"/>
    </xf>
    <xf numFmtId="0" fontId="7" fillId="37" borderId="0" xfId="0" applyFont="1" applyFill="1" applyAlignment="1">
      <alignment horizontal="center" vertical="center"/>
    </xf>
    <xf numFmtId="0" fontId="7" fillId="20" borderId="0" xfId="0" applyFont="1" applyFill="1" applyAlignment="1">
      <alignment horizontal="center" vertical="center"/>
    </xf>
    <xf numFmtId="0" fontId="7" fillId="12" borderId="0" xfId="0" applyFont="1" applyFill="1" applyAlignment="1">
      <alignment horizontal="center" vertical="center"/>
    </xf>
    <xf numFmtId="0" fontId="6" fillId="19" borderId="0" xfId="0" applyFont="1" applyFill="1" applyAlignment="1" applyProtection="1">
      <alignment horizontal="center" vertical="center"/>
      <protection locked="0"/>
    </xf>
    <xf numFmtId="0" fontId="6" fillId="0" borderId="0" xfId="0" applyFont="1" applyAlignment="1" applyProtection="1">
      <alignment horizontal="center" vertical="center"/>
      <protection locked="0"/>
    </xf>
    <xf numFmtId="0" fontId="6" fillId="27" borderId="0" xfId="0" applyFont="1" applyFill="1" applyAlignment="1" applyProtection="1">
      <alignment horizontal="left" vertical="center"/>
      <protection locked="0"/>
    </xf>
    <xf numFmtId="0" fontId="26" fillId="25" borderId="0" xfId="0" applyFont="1" applyFill="1" applyAlignment="1">
      <alignment horizontal="left" vertical="center"/>
    </xf>
    <xf numFmtId="0" fontId="26" fillId="28" borderId="0" xfId="0" applyFont="1" applyFill="1" applyAlignment="1">
      <alignment horizontal="left" vertical="center"/>
    </xf>
    <xf numFmtId="0" fontId="26" fillId="29" borderId="0" xfId="0" applyFont="1" applyFill="1" applyAlignment="1">
      <alignment horizontal="left" vertical="center"/>
    </xf>
    <xf numFmtId="0" fontId="26" fillId="30" borderId="0" xfId="0" applyFont="1" applyFill="1" applyAlignment="1">
      <alignment horizontal="left" vertical="center"/>
    </xf>
    <xf numFmtId="0" fontId="26" fillId="26" borderId="0" xfId="0" applyFont="1" applyFill="1" applyAlignment="1">
      <alignment horizontal="left" vertical="center"/>
    </xf>
    <xf numFmtId="0" fontId="26" fillId="20" borderId="0" xfId="0" applyFont="1" applyFill="1" applyAlignment="1">
      <alignment horizontal="left" vertical="center"/>
    </xf>
    <xf numFmtId="0" fontId="26" fillId="27" borderId="0" xfId="0" applyFont="1" applyFill="1" applyAlignment="1">
      <alignment horizontal="left" vertical="center"/>
    </xf>
    <xf numFmtId="0" fontId="26" fillId="31" borderId="0" xfId="0" applyFont="1" applyFill="1" applyAlignment="1">
      <alignment horizontal="left" vertical="center"/>
    </xf>
    <xf numFmtId="0" fontId="26" fillId="32" borderId="0" xfId="0" applyFont="1" applyFill="1" applyAlignment="1">
      <alignment horizontal="left" vertical="center"/>
    </xf>
    <xf numFmtId="0" fontId="26" fillId="33" borderId="0" xfId="0" applyFont="1" applyFill="1" applyAlignment="1">
      <alignment horizontal="left" vertical="center"/>
    </xf>
    <xf numFmtId="0" fontId="26" fillId="34" borderId="0" xfId="0" applyFont="1" applyFill="1" applyAlignment="1">
      <alignment horizontal="left" vertical="center"/>
    </xf>
    <xf numFmtId="0" fontId="26" fillId="35" borderId="0" xfId="0" applyFont="1" applyFill="1" applyAlignment="1">
      <alignment horizontal="left" vertical="center"/>
    </xf>
    <xf numFmtId="0" fontId="26" fillId="11" borderId="0" xfId="0" applyFont="1" applyFill="1" applyAlignment="1">
      <alignment horizontal="left" vertical="center"/>
    </xf>
    <xf numFmtId="0" fontId="26" fillId="12" borderId="0" xfId="0" applyFont="1" applyFill="1" applyAlignment="1">
      <alignment horizontal="left" vertical="center"/>
    </xf>
    <xf numFmtId="0" fontId="7" fillId="19" borderId="0" xfId="0" applyFont="1" applyFill="1" applyAlignment="1">
      <alignment horizontal="center" vertical="center"/>
    </xf>
  </cellXfs>
  <cellStyles count="6">
    <cellStyle name="Entrée" xfId="2" builtinId="20"/>
    <cellStyle name="Milliers" xfId="5" builtinId="3"/>
    <cellStyle name="Normal" xfId="0" builtinId="0"/>
    <cellStyle name="Normal 2" xfId="3" xr:uid="{084709B1-0DF8-4C0F-933C-F90FDB4BBD48}"/>
    <cellStyle name="Pourcentage" xfId="1" builtinId="5"/>
    <cellStyle name="Pourcentage 2" xfId="4" xr:uid="{4466925B-7C01-4C0B-B637-62E904DD30F7}"/>
  </cellStyles>
  <dxfs count="798">
    <dxf>
      <fill>
        <patternFill>
          <bgColor rgb="FF94F2C6"/>
        </patternFill>
      </fill>
      <border>
        <left/>
        <right/>
        <top style="thin">
          <color theme="0"/>
        </top>
        <bottom style="thin">
          <color theme="0"/>
        </bottom>
      </border>
    </dxf>
    <dxf>
      <fill>
        <patternFill>
          <bgColor rgb="FFBF246D"/>
        </patternFill>
      </fill>
      <border>
        <left/>
        <right/>
        <top style="thin">
          <color theme="0"/>
        </top>
        <bottom style="thin">
          <color theme="0"/>
        </bottom>
      </border>
    </dxf>
    <dxf>
      <fill>
        <patternFill>
          <bgColor rgb="FFFCC768"/>
        </patternFill>
      </fill>
      <border>
        <left/>
        <right/>
        <top style="thin">
          <color theme="0"/>
        </top>
        <bottom style="thin">
          <color theme="0"/>
        </bottom>
      </border>
    </dxf>
    <dxf>
      <fill>
        <patternFill>
          <bgColor rgb="FFF29F05"/>
        </patternFill>
      </fill>
      <border>
        <left/>
        <right/>
        <top style="thin">
          <color theme="0"/>
        </top>
        <bottom style="thin">
          <color theme="0"/>
        </bottom>
      </border>
    </dxf>
    <dxf>
      <fill>
        <patternFill>
          <bgColor rgb="FFF9F5BF"/>
        </patternFill>
      </fill>
      <border>
        <left/>
        <right/>
        <top style="thin">
          <color theme="0"/>
        </top>
        <bottom style="thin">
          <color theme="0"/>
        </bottom>
      </border>
    </dxf>
    <dxf>
      <fill>
        <patternFill>
          <bgColor rgb="FFF2EA72"/>
        </patternFill>
      </fill>
      <border>
        <left/>
        <right/>
        <top style="thin">
          <color theme="0"/>
        </top>
        <bottom style="thin">
          <color theme="0"/>
        </bottom>
      </border>
    </dxf>
    <dxf>
      <fill>
        <patternFill>
          <bgColor rgb="FFA2C9FC"/>
        </patternFill>
      </fill>
      <border>
        <left/>
        <right/>
        <top style="thin">
          <color theme="0"/>
        </top>
        <bottom style="thin">
          <color theme="0"/>
        </bottom>
      </border>
    </dxf>
    <dxf>
      <fill>
        <patternFill>
          <bgColor rgb="FF589DFA"/>
        </patternFill>
      </fill>
      <border>
        <left/>
        <right/>
        <top style="thin">
          <color theme="0"/>
        </top>
        <bottom style="thin">
          <color theme="0"/>
        </bottom>
      </border>
    </dxf>
    <dxf>
      <fill>
        <patternFill>
          <bgColor rgb="FFF89790"/>
        </patternFill>
      </fill>
      <border>
        <left/>
        <right/>
        <top style="thin">
          <color theme="0"/>
        </top>
        <bottom style="thin">
          <color theme="0"/>
        </bottom>
      </border>
    </dxf>
    <dxf>
      <fill>
        <patternFill>
          <bgColor rgb="FFF45E52"/>
        </patternFill>
      </fill>
      <border>
        <left/>
        <right/>
        <top style="thin">
          <color theme="0"/>
        </top>
        <bottom style="thin">
          <color theme="0"/>
        </bottom>
      </border>
    </dxf>
    <dxf>
      <fill>
        <patternFill patternType="gray125">
          <fgColor theme="9" tint="0.39985351115451523"/>
        </patternFill>
      </fill>
      <border>
        <left/>
        <right/>
        <top/>
        <bottom/>
      </border>
    </dxf>
    <dxf>
      <fill>
        <patternFill>
          <bgColor theme="3" tint="0.39994506668294322"/>
        </patternFill>
      </fill>
      <border>
        <left/>
        <right/>
        <top style="thin">
          <color theme="0"/>
        </top>
        <bottom style="thin">
          <color theme="0"/>
        </bottom>
      </border>
    </dxf>
    <dxf>
      <fill>
        <patternFill>
          <bgColor rgb="FFD0EBB3"/>
        </patternFill>
      </fill>
    </dxf>
    <dxf>
      <font>
        <color rgb="FF9C0006"/>
      </font>
      <fill>
        <patternFill>
          <bgColor rgb="FFFFC7CE"/>
        </patternFill>
      </fill>
    </dxf>
    <dxf>
      <font>
        <color rgb="FF9C5700"/>
      </font>
      <fill>
        <patternFill>
          <bgColor rgb="FFFFEB9C"/>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ont>
        <color rgb="FF9C0006"/>
      </font>
      <fill>
        <patternFill>
          <bgColor rgb="FFFFC7CE"/>
        </patternFill>
      </fill>
    </dxf>
    <dxf>
      <font>
        <color rgb="FF006100"/>
      </font>
      <fill>
        <patternFill>
          <bgColor rgb="FFC6EFCE"/>
        </patternFill>
      </fill>
    </dxf>
    <dxf>
      <fill>
        <patternFill patternType="lightUp">
          <bgColor auto="1"/>
        </patternFill>
      </fill>
    </dxf>
    <dxf>
      <font>
        <color rgb="FF006100"/>
      </font>
      <fill>
        <patternFill>
          <bgColor rgb="FFC6EFCE"/>
        </patternFill>
      </fill>
    </dxf>
    <dxf>
      <fill>
        <patternFill patternType="lightUp"/>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ont>
        <color auto="1"/>
      </font>
      <fill>
        <patternFill>
          <bgColor theme="0" tint="-0.24994659260841701"/>
        </patternFill>
      </fill>
    </dxf>
    <dxf>
      <font>
        <color rgb="FF006100"/>
      </font>
      <fill>
        <patternFill>
          <bgColor rgb="FFC6EFCE"/>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theme="0" tint="-0.14996795556505021"/>
        </patternFill>
      </fill>
    </dxf>
    <dxf>
      <fill>
        <patternFill>
          <bgColor theme="7" tint="0.79998168889431442"/>
        </patternFill>
      </fill>
    </dxf>
    <dxf>
      <fill>
        <patternFill>
          <bgColor theme="7"/>
        </patternFill>
      </fill>
    </dxf>
    <dxf>
      <fill>
        <patternFill>
          <bgColor theme="9"/>
        </patternFill>
      </fill>
    </dxf>
    <dxf>
      <font>
        <color theme="0"/>
      </font>
      <fill>
        <patternFill>
          <bgColor theme="1" tint="4.9989318521683403E-2"/>
        </patternFill>
      </fill>
    </dxf>
    <dxf>
      <fill>
        <patternFill>
          <bgColor theme="0" tint="-0.34998626667073579"/>
        </patternFill>
      </fill>
    </dxf>
    <dxf>
      <fill>
        <patternFill>
          <bgColor rgb="FFFF3399"/>
        </patternFill>
      </fill>
    </dxf>
    <dxf>
      <fill>
        <patternFill>
          <bgColor rgb="FF00B050"/>
        </patternFill>
      </fill>
      <border>
        <top style="thin">
          <color theme="0"/>
        </top>
        <bottom style="thin">
          <color theme="0"/>
        </bottom>
      </border>
    </dxf>
    <dxf>
      <fill>
        <patternFill>
          <bgColor rgb="FF00B050"/>
        </patternFill>
      </fill>
      <border>
        <top style="thin">
          <color theme="0"/>
        </top>
        <bottom style="thin">
          <color theme="0"/>
        </bottom>
      </border>
    </dxf>
    <dxf>
      <font>
        <color rgb="FF00B050"/>
      </font>
      <fill>
        <patternFill>
          <bgColor rgb="FF00B050"/>
        </patternFill>
      </fill>
    </dxf>
    <dxf>
      <fill>
        <patternFill>
          <bgColor theme="3" tint="0.39994506668294322"/>
        </patternFill>
      </fill>
      <border>
        <top style="thin">
          <color theme="0"/>
        </top>
        <bottom style="thin">
          <color theme="0"/>
        </bottom>
        <vertical/>
        <horizontal/>
      </border>
    </dxf>
    <dxf>
      <font>
        <color theme="3" tint="0.39994506668294322"/>
      </font>
      <fill>
        <patternFill>
          <bgColor theme="3" tint="0.39994506668294322"/>
        </patternFill>
      </fill>
    </dxf>
    <dxf>
      <font>
        <b/>
        <i val="0"/>
      </font>
      <fill>
        <patternFill>
          <bgColor theme="9" tint="0.39994506668294322"/>
        </patternFill>
      </fill>
      <border>
        <left style="thin">
          <color auto="1"/>
        </left>
        <right style="thin">
          <color auto="1"/>
        </right>
        <top style="thin">
          <color auto="1"/>
        </top>
        <bottom style="thin">
          <color auto="1"/>
        </bottom>
        <vertical/>
        <horizontal/>
      </border>
    </dxf>
    <dxf>
      <font>
        <b/>
        <i val="0"/>
      </font>
      <fill>
        <patternFill>
          <bgColor rgb="FF00B0F0"/>
        </patternFill>
      </fill>
      <border>
        <left style="thin">
          <color auto="1"/>
        </left>
        <right style="thin">
          <color auto="1"/>
        </right>
        <top style="thin">
          <color auto="1"/>
        </top>
        <bottom style="thin">
          <color auto="1"/>
        </bottom>
      </border>
    </dxf>
    <dxf>
      <fill>
        <patternFill>
          <bgColor theme="0" tint="-0.24994659260841701"/>
        </patternFill>
      </fill>
      <border>
        <left style="thin">
          <color theme="0"/>
        </left>
        <right style="thin">
          <color theme="0"/>
        </right>
        <top style="thin">
          <color theme="0"/>
        </top>
        <bottom style="thin">
          <color theme="0"/>
        </bottom>
      </border>
    </dxf>
    <dxf>
      <font>
        <b/>
        <i val="0"/>
      </font>
      <fill>
        <patternFill>
          <bgColor rgb="FF00B0F0"/>
        </patternFill>
      </fill>
      <border>
        <left style="thin">
          <color auto="1"/>
        </left>
        <right style="thin">
          <color auto="1"/>
        </right>
        <top style="thin">
          <color auto="1"/>
        </top>
        <bottom style="thin">
          <color auto="1"/>
        </bottom>
      </border>
    </dxf>
    <dxf>
      <fill>
        <patternFill>
          <bgColor theme="9" tint="0.59996337778862885"/>
        </patternFill>
      </fill>
      <border>
        <left style="thin">
          <color theme="0"/>
        </left>
        <right style="thin">
          <color theme="0"/>
        </right>
        <top style="thin">
          <color theme="0"/>
        </top>
        <bottom style="thin">
          <color theme="0"/>
        </bottom>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ill>
        <patternFill>
          <bgColor theme="9"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ont>
        <b/>
        <i val="0"/>
      </font>
      <fill>
        <patternFill>
          <bgColor rgb="FF00B0F0"/>
        </patternFill>
      </fill>
      <border>
        <left style="thin">
          <color auto="1"/>
        </left>
        <right style="thin">
          <color auto="1"/>
        </right>
        <top style="thin">
          <color auto="1"/>
        </top>
        <bottom style="thin">
          <color auto="1"/>
        </bottom>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ont>
        <b/>
        <i val="0"/>
      </font>
      <fill>
        <patternFill>
          <bgColor rgb="FF00B0F0"/>
        </patternFill>
      </fill>
      <border>
        <left style="thin">
          <color auto="1"/>
        </left>
        <right style="thin">
          <color auto="1"/>
        </right>
        <top style="thin">
          <color auto="1"/>
        </top>
        <bottom style="thin">
          <color auto="1"/>
        </bottom>
      </border>
    </dxf>
    <dxf>
      <fill>
        <patternFill>
          <bgColor theme="9"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ont>
        <b/>
        <i val="0"/>
      </font>
      <fill>
        <patternFill>
          <bgColor rgb="FF00B0F0"/>
        </patternFill>
      </fill>
      <border>
        <left style="thin">
          <color auto="1"/>
        </left>
        <right style="thin">
          <color auto="1"/>
        </right>
        <top style="thin">
          <color auto="1"/>
        </top>
        <bottom style="thin">
          <color auto="1"/>
        </bottom>
      </border>
    </dxf>
    <dxf>
      <fill>
        <patternFill>
          <bgColor theme="9"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ill>
        <patternFill>
          <bgColor theme="9" tint="0.59996337778862885"/>
        </patternFill>
      </fill>
      <border>
        <left style="thin">
          <color theme="0"/>
        </left>
        <right style="thin">
          <color theme="0"/>
        </right>
        <top style="thin">
          <color theme="0"/>
        </top>
        <bottom style="thin">
          <color theme="0"/>
        </bottom>
      </border>
    </dxf>
    <dxf>
      <font>
        <b/>
        <i val="0"/>
      </font>
      <fill>
        <patternFill>
          <bgColor rgb="FF00B0F0"/>
        </patternFill>
      </fill>
      <border>
        <left style="thin">
          <color auto="1"/>
        </left>
        <right style="thin">
          <color auto="1"/>
        </right>
        <top style="thin">
          <color auto="1"/>
        </top>
        <bottom style="thin">
          <color auto="1"/>
        </bottom>
      </border>
    </dxf>
    <dxf>
      <font>
        <b/>
        <i val="0"/>
      </font>
      <fill>
        <patternFill>
          <bgColor theme="3"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ill>
        <patternFill>
          <bgColor theme="9" tint="0.59996337778862885"/>
        </patternFill>
      </fill>
      <border>
        <left style="thin">
          <color theme="0"/>
        </left>
        <right style="thin">
          <color theme="0"/>
        </right>
        <top style="thin">
          <color theme="0"/>
        </top>
        <bottom style="thin">
          <color theme="0"/>
        </bottom>
      </border>
    </dxf>
    <dxf>
      <font>
        <b/>
        <i val="0"/>
      </font>
      <fill>
        <patternFill>
          <bgColor rgb="FF00B0F0"/>
        </patternFill>
      </fill>
      <border>
        <left style="thin">
          <color auto="1"/>
        </left>
        <right style="thin">
          <color auto="1"/>
        </right>
        <top style="thin">
          <color auto="1"/>
        </top>
        <bottom style="thin">
          <color auto="1"/>
        </bottom>
      </border>
    </dxf>
    <dxf>
      <font>
        <b/>
        <i val="0"/>
      </font>
      <fill>
        <patternFill>
          <bgColor theme="9" tint="0.39994506668294322"/>
        </patternFill>
      </fill>
      <border>
        <left style="thin">
          <color auto="1"/>
        </left>
        <right style="thin">
          <color auto="1"/>
        </right>
        <top style="thin">
          <color auto="1"/>
        </top>
        <bottom style="thin">
          <color auto="1"/>
        </bottom>
        <vertical/>
        <horizontal/>
      </border>
    </dxf>
    <dxf>
      <font>
        <b/>
        <i val="0"/>
      </font>
      <fill>
        <patternFill>
          <bgColor theme="3"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ill>
        <patternFill>
          <bgColor theme="0" tint="-0.14996795556505021"/>
        </patternFill>
      </fill>
      <border>
        <left style="thin">
          <color theme="0"/>
        </left>
        <right style="thin">
          <color theme="0"/>
        </right>
        <top style="thin">
          <color theme="0"/>
        </top>
        <bottom style="thin">
          <color theme="0"/>
        </bottom>
        <vertical/>
        <horizontal/>
      </border>
    </dxf>
    <dxf>
      <fill>
        <patternFill>
          <bgColor theme="9"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ill>
        <patternFill>
          <bgColor theme="9" tint="0.59996337778862885"/>
        </patternFill>
      </fill>
      <border>
        <left style="thin">
          <color theme="0"/>
        </left>
        <right style="thin">
          <color theme="0"/>
        </right>
        <top style="thin">
          <color theme="0"/>
        </top>
        <bottom style="thin">
          <color theme="0"/>
        </bottom>
      </border>
    </dxf>
    <dxf>
      <fill>
        <patternFill>
          <bgColor theme="0" tint="-0.24994659260841701"/>
        </patternFill>
      </fill>
      <border>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Aptos"/>
        <family val="2"/>
        <scheme val="none"/>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 formatCode="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name val="Aptos"/>
        <family val="2"/>
        <scheme val="none"/>
      </font>
      <alignment textRotation="0" wrapText="0" indent="0" justifyLastLine="0" shrinkToFit="0" readingOrder="0"/>
    </dxf>
    <dxf>
      <font>
        <b/>
        <i val="0"/>
        <strike val="0"/>
        <condense val="0"/>
        <extend val="0"/>
        <outline val="0"/>
        <shadow val="0"/>
        <u val="none"/>
        <vertAlign val="baseline"/>
        <sz val="11"/>
        <color theme="1"/>
        <name val="Aptos"/>
        <family val="2"/>
        <scheme val="none"/>
      </font>
      <fill>
        <patternFill patternType="solid">
          <fgColor indexed="64"/>
          <bgColor theme="9" tint="0.59999389629810485"/>
        </patternFill>
      </fill>
      <alignment horizontal="center" vertical="center" textRotation="0" wrapText="0" indent="0" justifyLastLine="0" shrinkToFit="0" readingOrder="0"/>
    </dxf>
    <dxf>
      <font>
        <strike val="0"/>
        <outline val="0"/>
        <shadow val="0"/>
        <u val="none"/>
        <vertAlign val="baseline"/>
        <name val="Aptos"/>
        <family val="2"/>
        <scheme val="none"/>
      </font>
      <fill>
        <patternFill patternType="none">
          <fgColor indexed="64"/>
          <bgColor auto="1"/>
        </patternFill>
      </fill>
      <alignment textRotation="0" wrapText="0" indent="0" justifyLastLine="0" shrinkToFit="0" readingOrder="0"/>
    </dxf>
    <dxf>
      <font>
        <strike val="0"/>
        <outline val="0"/>
        <shadow val="0"/>
        <u val="none"/>
        <vertAlign val="baseline"/>
        <name val="Aptos"/>
        <family val="2"/>
        <scheme val="none"/>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name val="Aptos"/>
        <family val="2"/>
        <scheme val="none"/>
      </font>
      <fill>
        <patternFill patternType="none">
          <fgColor indexed="64"/>
          <bgColor auto="1"/>
        </patternFill>
      </fill>
      <alignment horizontal="center" vertical="center" textRotation="0" wrapText="0" indent="0" justifyLastLine="0" shrinkToFit="0" readingOrder="0"/>
    </dxf>
    <dxf>
      <font>
        <strike val="0"/>
        <outline val="0"/>
        <shadow val="0"/>
        <u val="none"/>
        <vertAlign val="baseline"/>
        <name val="Aptos"/>
        <family val="2"/>
        <scheme val="none"/>
      </font>
      <fill>
        <patternFill patternType="none">
          <fgColor indexed="64"/>
          <bgColor auto="1"/>
        </patternFill>
      </fill>
      <alignment textRotation="0" wrapText="0" indent="0" justifyLastLine="0" shrinkToFit="0" readingOrder="0"/>
    </dxf>
    <dxf>
      <font>
        <b/>
        <i val="0"/>
        <strike val="0"/>
        <condense val="0"/>
        <extend val="0"/>
        <outline val="0"/>
        <shadow val="0"/>
        <u val="none"/>
        <vertAlign val="baseline"/>
        <sz val="11"/>
        <color theme="1"/>
        <name val="Aptos"/>
        <family val="2"/>
        <scheme val="none"/>
      </font>
      <fill>
        <patternFill patternType="solid">
          <fgColor indexed="64"/>
          <bgColor theme="4" tint="0.5999938962981048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i val="0"/>
        <strike val="0"/>
        <condense val="0"/>
        <extend val="0"/>
        <outline val="0"/>
        <shadow val="0"/>
        <u val="none"/>
        <vertAlign val="baseline"/>
        <sz val="11"/>
        <color theme="1"/>
        <name val="Aptos"/>
        <family val="2"/>
        <scheme val="none"/>
      </font>
      <alignment horizontal="right"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righ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righ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righ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righ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numFmt numFmtId="0" formatCode="General"/>
      <alignment horizontal="left"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numFmt numFmtId="0" formatCode="General"/>
      <alignment horizontal="left" vertical="center" textRotation="0" wrapText="1"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numFmt numFmtId="0" formatCode="General"/>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numFmt numFmtId="0" formatCode="General"/>
      <alignment horizontal="center" vertical="center" textRotation="0" wrapText="0" indent="0" justifyLastLine="0" shrinkToFit="0" readingOrder="0"/>
      <protection locked="0" hidden="0"/>
    </dxf>
    <dxf>
      <font>
        <b val="0"/>
        <i val="0"/>
        <strike val="0"/>
        <condense val="0"/>
        <extend val="0"/>
        <outline val="0"/>
        <shadow val="0"/>
        <u val="none"/>
        <vertAlign val="baseline"/>
        <sz val="12"/>
        <color auto="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numFmt numFmtId="0" formatCode="General"/>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numFmt numFmtId="0" formatCode="General"/>
      <alignment horizontal="left" vertical="center" textRotation="0" wrapText="1" indent="0" justifyLastLine="0" shrinkToFit="0" readingOrder="0"/>
    </dxf>
    <dxf>
      <font>
        <b val="0"/>
        <i val="0"/>
        <strike val="0"/>
        <condense val="0"/>
        <extend val="0"/>
        <outline val="0"/>
        <shadow val="0"/>
        <u val="none"/>
        <vertAlign val="baseline"/>
        <sz val="12"/>
        <color auto="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auto="1"/>
        <name val="Aptos"/>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auto="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2"/>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name val="Aptos"/>
        <family val="2"/>
        <scheme val="none"/>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color auto="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dxf>
    <dxf>
      <font>
        <strike val="0"/>
        <outline val="0"/>
        <shadow val="0"/>
        <u val="none"/>
        <vertAlign val="baseline"/>
        <name val="Aptos"/>
        <family val="2"/>
        <scheme val="none"/>
      </font>
      <alignment horizontal="center" vertical="center" textRotation="0" wrapText="0" indent="0" justifyLastLine="0" shrinkToFit="0" readingOrder="0"/>
    </dxf>
    <dxf>
      <font>
        <b val="0"/>
        <strike val="0"/>
        <outline val="0"/>
        <shadow val="0"/>
        <u val="none"/>
        <vertAlign val="baseline"/>
        <sz val="11"/>
        <color auto="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b val="0"/>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b/>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b val="0"/>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b/>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b/>
        <strike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strike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b val="0"/>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b/>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b val="0"/>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b/>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protection locked="0" hidden="0"/>
    </dxf>
    <dxf>
      <font>
        <b/>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b val="0"/>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b/>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172" formatCode="yyyy/mm/dd\ hh:mm"/>
      <alignment horizontal="center" vertical="center" textRotation="0" wrapText="0" indent="0" justifyLastLine="0" shrinkToFit="0" readingOrder="0"/>
      <protection locked="0" hidden="0"/>
    </dxf>
    <dxf>
      <font>
        <b/>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b/>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auto="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auto="1"/>
        <name val="Aptos"/>
        <family val="2"/>
        <scheme val="none"/>
      </font>
      <alignment horizontal="center" vertical="center" textRotation="0" wrapText="0" indent="0" justifyLastLine="0" shrinkToFit="0" readingOrder="0"/>
    </dxf>
    <dxf>
      <font>
        <b/>
        <strike val="0"/>
        <outline val="0"/>
        <shadow val="0"/>
        <u val="none"/>
        <vertAlign val="baseline"/>
        <sz val="11"/>
        <color auto="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b/>
        <strike val="0"/>
        <outline val="0"/>
        <shadow val="0"/>
        <u val="none"/>
        <vertAlign val="baseline"/>
        <sz val="12"/>
        <color theme="1"/>
        <name val="Aptos"/>
        <family val="2"/>
        <scheme val="none"/>
      </font>
      <alignment horizontal="center" vertical="center" textRotation="0" wrapText="0" indent="0" justifyLastLine="0" shrinkToFit="0" readingOrder="0"/>
      <protection locked="0" hidden="0"/>
    </dxf>
    <dxf>
      <font>
        <strike val="0"/>
        <outline val="0"/>
        <shadow val="0"/>
        <u val="none"/>
        <vertAlign val="baseline"/>
        <sz val="11"/>
        <color theme="1"/>
        <name val="Aptos"/>
        <family val="2"/>
        <scheme val="none"/>
      </font>
      <alignment horizontal="left" vertical="center" textRotation="0" wrapText="0" indent="0" justifyLastLine="0" shrinkToFit="0" readingOrder="0"/>
    </dxf>
    <dxf>
      <font>
        <b val="0"/>
        <strike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numFmt numFmtId="13" formatCode="0%"/>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strike val="0"/>
        <outline val="0"/>
        <shadow val="0"/>
        <u val="none"/>
        <vertAlign val="baseline"/>
        <name val="Aptos"/>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auto="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bottom"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sz val="11"/>
        <color theme="1"/>
        <name val="Aptos Black"/>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name val="Aptos"/>
        <family val="2"/>
        <scheme val="none"/>
      </font>
      <numFmt numFmtId="13" formatCode="0%"/>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sz val="11"/>
        <color theme="1"/>
        <name val="Aptos Black"/>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name val="Aptos"/>
        <family val="2"/>
        <scheme val="none"/>
      </font>
      <numFmt numFmtId="165" formatCode="0.0"/>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numFmt numFmtId="13" formatCode="0%"/>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sz val="11"/>
        <color theme="1"/>
        <name val="Aptos Black"/>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65" formatCode="0.0"/>
      <alignment horizontal="center" vertical="center" textRotation="0" wrapText="0" indent="0" justifyLastLine="0" shrinkToFit="0" readingOrder="0"/>
    </dxf>
    <dxf>
      <font>
        <strike val="0"/>
        <outline val="0"/>
        <shadow val="0"/>
        <u val="none"/>
        <vertAlign val="baseline"/>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name val="Aptos"/>
        <family val="2"/>
        <scheme val="none"/>
      </font>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sz val="11"/>
        <color theme="1"/>
        <name val="Aptos Black"/>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sz val="11"/>
        <name val="Aptos"/>
        <family val="2"/>
        <scheme val="none"/>
      </font>
      <alignment horizontal="left"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 formatCode="0"/>
      <alignment horizontal="center" vertical="center" textRotation="0" wrapText="0" indent="0" justifyLastLine="0" shrinkToFit="0" readingOrder="0"/>
    </dxf>
    <dxf>
      <font>
        <strike val="0"/>
        <outline val="0"/>
        <shadow val="0"/>
        <u val="none"/>
        <vertAlign val="baseline"/>
        <sz val="11"/>
        <name val="Aptos"/>
        <family val="2"/>
        <scheme val="none"/>
      </font>
      <numFmt numFmtId="1"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numFmt numFmtId="13" formatCode="0%"/>
      <alignment horizontal="center" vertical="center" textRotation="0" wrapText="0" indent="0" justifyLastLine="0" shrinkToFit="0" readingOrder="0"/>
    </dxf>
    <dxf>
      <font>
        <strike val="0"/>
        <outline val="0"/>
        <shadow val="0"/>
        <u val="none"/>
        <vertAlign val="baseline"/>
        <sz val="11"/>
        <color theme="1"/>
        <name val="Aptos Black"/>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name val="Aptos"/>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0" tint="-0.34998626667073579"/>
        <name val="Aptos"/>
        <family val="2"/>
        <scheme val="none"/>
      </font>
      <numFmt numFmtId="0" formatCode="General"/>
      <alignment horizontal="center" vertical="center" textRotation="0" wrapText="1"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name val="Apto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strike val="0"/>
        <outline val="0"/>
        <shadow val="0"/>
        <u val="none"/>
        <vertAlign val="baseline"/>
        <sz val="11"/>
        <color theme="1"/>
        <name val="Aptos Black"/>
        <family val="2"/>
        <scheme val="none"/>
      </font>
      <alignment horizontal="left" vertical="center" textRotation="0" wrapText="0" indent="0" justifyLastLine="0" shrinkToFit="0" readingOrder="0"/>
    </dxf>
    <dxf>
      <font>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sz val="11"/>
        <name val="Aptos"/>
        <family val="2"/>
        <scheme val="none"/>
      </font>
      <alignment horizontal="center" vertical="center" textRotation="0" wrapText="0" indent="0" justifyLastLine="0" shrinkToFit="0" readingOrder="0"/>
    </dxf>
    <dxf>
      <font>
        <b val="0"/>
        <strike val="0"/>
        <outline val="0"/>
        <shadow val="0"/>
        <u val="none"/>
        <vertAlign val="baseline"/>
        <name val="Aptos"/>
        <family val="2"/>
        <scheme val="none"/>
      </font>
      <alignment horizontal="center" vertical="center" textRotation="0" wrapText="0" indent="0" justifyLastLine="0" shrinkToFit="0" readingOrder="0"/>
    </dxf>
    <dxf>
      <font>
        <strike val="0"/>
        <outline val="0"/>
        <shadow val="0"/>
        <u val="none"/>
        <vertAlign val="baseline"/>
        <name val="Aptos"/>
        <family val="2"/>
        <scheme val="none"/>
      </font>
    </dxf>
    <dxf>
      <font>
        <b val="0"/>
        <strike val="0"/>
        <outline val="0"/>
        <shadow val="0"/>
        <u val="none"/>
        <vertAlign val="baseline"/>
        <sz val="14"/>
        <color theme="1"/>
        <name val="Aptos"/>
        <family val="2"/>
        <scheme val="none"/>
      </font>
      <numFmt numFmtId="167" formatCode="[h]:mm;@"/>
      <alignment horizontal="left" vertical="center" textRotation="0" wrapText="0" indent="0" justifyLastLine="0" shrinkToFit="0" readingOrder="0"/>
    </dxf>
    <dxf>
      <font>
        <b val="0"/>
        <strike val="0"/>
        <outline val="0"/>
        <shadow val="0"/>
        <u val="none"/>
        <vertAlign val="baseline"/>
        <sz val="14"/>
        <color theme="0" tint="-0.249977111117893"/>
        <name val="Aptos"/>
        <family val="2"/>
        <scheme val="none"/>
      </font>
      <numFmt numFmtId="167" formatCode="[h]:mm;@"/>
      <alignment horizontal="right" vertical="center" textRotation="0" wrapText="0" indent="0" justifyLastLine="0" shrinkToFit="0" readingOrder="0"/>
    </dxf>
    <dxf>
      <font>
        <b val="0"/>
        <i val="0"/>
        <strike val="0"/>
        <condense val="0"/>
        <extend val="0"/>
        <outline val="0"/>
        <shadow val="0"/>
        <u val="none"/>
        <vertAlign val="baseline"/>
        <sz val="14"/>
        <color theme="0" tint="-0.249977111117893"/>
        <name val="Aptos"/>
        <family val="2"/>
        <scheme val="none"/>
      </font>
      <numFmt numFmtId="1" formatCode="0"/>
      <alignment horizontal="center" vertical="center" textRotation="0" wrapText="0" indent="0" justifyLastLine="0" shrinkToFit="0" readingOrder="0"/>
    </dxf>
    <dxf>
      <numFmt numFmtId="167" formatCode="[h]:mm;@"/>
    </dxf>
    <dxf>
      <font>
        <strike val="0"/>
        <outline val="0"/>
        <shadow val="0"/>
        <u val="none"/>
        <vertAlign val="baseline"/>
        <sz val="14"/>
        <color theme="1"/>
        <name val="Aptos"/>
        <family val="2"/>
        <scheme val="none"/>
      </font>
      <numFmt numFmtId="167" formatCode="[h]:mm;@"/>
      <alignment horizontal="right" vertical="center" textRotation="0" wrapText="0" indent="0" justifyLastLine="0" shrinkToFit="0" readingOrder="0"/>
    </dxf>
    <dxf>
      <font>
        <b/>
        <strike val="0"/>
        <outline val="0"/>
        <shadow val="0"/>
        <u val="none"/>
        <vertAlign val="baseline"/>
        <sz val="14"/>
        <color theme="1"/>
        <name val="Aptos"/>
        <family val="2"/>
        <scheme val="none"/>
      </font>
      <numFmt numFmtId="169" formatCode="[$-C0C]dd/mmm/yy\ hh:mm"/>
      <alignment horizontal="center" vertical="center" textRotation="0" wrapText="0" indent="0" justifyLastLine="0" shrinkToFit="0" readingOrder="0"/>
      <protection locked="0" hidden="0"/>
    </dxf>
    <dxf>
      <font>
        <b/>
        <strike val="0"/>
        <outline val="0"/>
        <shadow val="0"/>
        <u val="none"/>
        <vertAlign val="baseline"/>
        <sz val="14"/>
        <color theme="1"/>
        <name val="Aptos"/>
        <family val="2"/>
        <scheme val="none"/>
      </font>
      <numFmt numFmtId="169" formatCode="[$-C0C]dd/mmm/yy\ hh:mm"/>
      <alignment horizontal="center" vertical="center" textRotation="0" wrapText="0" indent="0" justifyLastLine="0" shrinkToFit="0" readingOrder="0"/>
      <protection locked="0" hidden="0"/>
    </dxf>
    <dxf>
      <font>
        <strike val="0"/>
        <outline val="0"/>
        <shadow val="0"/>
        <u val="none"/>
        <vertAlign val="baseline"/>
        <sz val="14"/>
        <color theme="1"/>
        <name val="Aptos"/>
        <family val="2"/>
        <scheme val="none"/>
      </font>
      <alignment horizontal="center" vertical="center" textRotation="0" wrapText="0" indent="0" justifyLastLine="0" shrinkToFit="0" readingOrder="0"/>
      <protection locked="0" hidden="0"/>
    </dxf>
    <dxf>
      <font>
        <strike val="0"/>
        <outline val="0"/>
        <shadow val="0"/>
        <u val="none"/>
        <vertAlign val="baseline"/>
        <name val="Aptos"/>
        <family val="2"/>
        <scheme val="none"/>
      </font>
    </dxf>
    <dxf>
      <font>
        <strike val="0"/>
        <outline val="0"/>
        <shadow val="0"/>
        <u val="none"/>
        <vertAlign val="baseline"/>
        <sz val="14"/>
        <color theme="1"/>
        <name val="Aptos"/>
        <family val="2"/>
        <scheme val="none"/>
      </font>
      <alignment horizontal="center" vertical="center" textRotation="0" wrapText="0" indent="0" justifyLastLine="0" shrinkToFit="0" readingOrder="0"/>
    </dxf>
    <dxf>
      <font>
        <strike val="0"/>
        <outline val="0"/>
        <shadow val="0"/>
        <u val="none"/>
        <vertAlign val="baseline"/>
        <sz val="14"/>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1"/>
        <name val="Aptos"/>
        <family val="2"/>
        <scheme val="none"/>
      </font>
      <numFmt numFmtId="21" formatCode="dd/mmm"/>
      <alignment horizontal="center" vertical="center" textRotation="0" wrapText="0" indent="0" justifyLastLine="0" shrinkToFit="0" readingOrder="0"/>
    </dxf>
    <dxf>
      <font>
        <strike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alignment horizontal="center" vertical="center" textRotation="0" wrapText="0" indent="0" justifyLastLine="0" shrinkToFit="0" readingOrder="0"/>
    </dxf>
    <dxf>
      <font>
        <strike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numFmt numFmtId="166" formatCode="0\ &quot; hrs&quot;"/>
      <alignment horizontal="center"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strike val="0"/>
        <outline val="0"/>
        <shadow val="0"/>
        <u val="none"/>
        <vertAlign val="baseline"/>
        <sz val="11"/>
        <color theme="1"/>
        <name val="Aptos"/>
        <family val="2"/>
        <scheme val="none"/>
      </font>
    </dxf>
    <dxf>
      <font>
        <b val="0"/>
        <i val="0"/>
        <strike val="0"/>
        <condense val="0"/>
        <extend val="0"/>
        <outline val="0"/>
        <shadow val="0"/>
        <u val="none"/>
        <vertAlign val="baseline"/>
        <sz val="11"/>
        <color theme="1"/>
        <name val="Aptos"/>
        <family val="2"/>
        <scheme val="none"/>
      </font>
      <alignment horizontal="left" vertical="center" textRotation="0" wrapText="0" indent="0" justifyLastLine="0" shrinkToFit="0" readingOrder="0"/>
    </dxf>
    <dxf>
      <font>
        <b val="0"/>
        <i val="0"/>
        <strike val="0"/>
        <condense val="0"/>
        <extend val="0"/>
        <outline val="0"/>
        <shadow val="0"/>
        <u val="none"/>
        <vertAlign val="baseline"/>
        <sz val="11"/>
        <color theme="1"/>
        <name val="Aptos"/>
        <family val="2"/>
        <scheme val="none"/>
      </font>
      <alignment horizontal="center" vertical="center" textRotation="0" wrapText="0" indent="0" justifyLastLine="0" shrinkToFit="0" readingOrder="0"/>
    </dxf>
    <dxf>
      <fill>
        <patternFill>
          <bgColor rgb="FFE6F2DE"/>
        </patternFill>
      </fill>
    </dxf>
    <dxf>
      <fill>
        <patternFill>
          <bgColor theme="9"/>
        </patternFill>
      </fill>
    </dxf>
    <dxf>
      <fill>
        <patternFill>
          <bgColor theme="9"/>
        </patternFill>
      </fill>
    </dxf>
    <dxf>
      <fill>
        <patternFill>
          <bgColor rgb="FFDAFAEB"/>
        </patternFill>
      </fill>
    </dxf>
    <dxf>
      <fill>
        <patternFill>
          <bgColor rgb="FF94F2C6"/>
        </patternFill>
      </fill>
    </dxf>
    <dxf>
      <fill>
        <patternFill>
          <bgColor rgb="FF3DE796"/>
        </patternFill>
      </fill>
    </dxf>
    <dxf>
      <fill>
        <patternFill>
          <bgColor theme="5" tint="-0.499984740745262"/>
        </patternFill>
      </fill>
    </dxf>
    <dxf>
      <fill>
        <patternFill>
          <bgColor rgb="FF589DFA"/>
        </patternFill>
      </fill>
    </dxf>
    <dxf>
      <fill>
        <patternFill>
          <bgColor rgb="FF92BFFC"/>
        </patternFill>
      </fill>
    </dxf>
    <dxf>
      <fill>
        <patternFill>
          <bgColor rgb="FFFFF6E7"/>
        </patternFill>
      </fill>
    </dxf>
    <dxf>
      <fill>
        <patternFill>
          <bgColor rgb="FFF29F05"/>
        </patternFill>
      </fill>
    </dxf>
    <dxf>
      <fill>
        <patternFill>
          <bgColor rgb="FFFCCE7C"/>
        </patternFill>
      </fill>
    </dxf>
    <dxf>
      <fill>
        <patternFill>
          <bgColor rgb="FFFEEAC6"/>
        </patternFill>
      </fill>
    </dxf>
    <dxf>
      <fill>
        <patternFill>
          <bgColor rgb="FFF29F05"/>
        </patternFill>
      </fill>
    </dxf>
    <dxf>
      <fill>
        <patternFill>
          <bgColor rgb="FFFCCE7C"/>
        </patternFill>
      </fill>
    </dxf>
    <dxf>
      <fill>
        <patternFill>
          <bgColor rgb="FFF6D2E3"/>
        </patternFill>
      </fill>
    </dxf>
    <dxf>
      <fill>
        <patternFill>
          <bgColor rgb="FFBF246D"/>
        </patternFill>
      </fill>
    </dxf>
    <dxf>
      <fill>
        <patternFill>
          <bgColor rgb="FFDC448C"/>
        </patternFill>
      </fill>
    </dxf>
    <dxf>
      <fill>
        <patternFill>
          <bgColor rgb="FFFCFADC"/>
        </patternFill>
      </fill>
    </dxf>
    <dxf>
      <fill>
        <patternFill>
          <bgColor rgb="FFF2EA72"/>
        </patternFill>
      </fill>
    </dxf>
    <dxf>
      <fill>
        <patternFill>
          <bgColor rgb="FFEBDD25"/>
        </patternFill>
      </fill>
    </dxf>
    <dxf>
      <fill>
        <patternFill>
          <bgColor rgb="FFE2EEFE"/>
        </patternFill>
      </fill>
    </dxf>
    <dxf>
      <fill>
        <patternFill>
          <bgColor rgb="FF589DFA"/>
        </patternFill>
      </fill>
    </dxf>
    <dxf>
      <fill>
        <patternFill>
          <bgColor rgb="FF92BFFC"/>
        </patternFill>
      </fill>
    </dxf>
    <dxf>
      <fill>
        <patternFill>
          <bgColor rgb="FFFDDDDB"/>
        </patternFill>
      </fill>
    </dxf>
    <dxf>
      <fill>
        <patternFill>
          <bgColor rgb="FFF45E52"/>
        </patternFill>
      </fill>
    </dxf>
    <dxf>
      <fill>
        <patternFill>
          <bgColor rgb="FFF89088"/>
        </patternFill>
      </fill>
    </dxf>
    <dxf>
      <fill>
        <patternFill>
          <bgColor rgb="FFE3E7ED"/>
        </patternFill>
      </fill>
    </dxf>
    <dxf>
      <fill>
        <patternFill>
          <bgColor theme="3" tint="0.39994506668294322"/>
        </patternFill>
      </fill>
    </dxf>
    <dxf>
      <fill>
        <patternFill>
          <bgColor rgb="FF6E84A2"/>
        </patternFill>
      </fill>
    </dxf>
    <dxf>
      <fill>
        <patternFill>
          <bgColor rgb="FFEBF7F9"/>
        </patternFill>
      </fill>
    </dxf>
    <dxf>
      <fill>
        <patternFill>
          <bgColor rgb="FFD5EDF2"/>
        </patternFill>
      </fill>
    </dxf>
    <dxf>
      <fill>
        <patternFill>
          <bgColor rgb="FFA5D9E3"/>
        </patternFill>
      </fill>
    </dxf>
    <dxf>
      <fill>
        <patternFill>
          <bgColor rgb="FFF5F2FC"/>
        </patternFill>
      </fill>
    </dxf>
    <dxf>
      <fill>
        <patternFill>
          <bgColor rgb="FFC4AEF2"/>
        </patternFill>
      </fill>
    </dxf>
    <dxf>
      <fill>
        <patternFill>
          <bgColor rgb="FFAC8CEC"/>
        </patternFill>
      </fill>
    </dxf>
    <dxf>
      <fill>
        <patternFill>
          <bgColor rgb="FFDCF8F5"/>
        </patternFill>
      </fill>
    </dxf>
    <dxf>
      <fill>
        <patternFill>
          <bgColor rgb="FF24A699"/>
        </patternFill>
      </fill>
    </dxf>
    <dxf>
      <fill>
        <patternFill>
          <bgColor rgb="FF3BD5C6"/>
        </patternFill>
      </fill>
    </dxf>
    <dxf>
      <fill>
        <patternFill>
          <bgColor rgb="FFEEEEEE"/>
        </patternFill>
      </fill>
    </dxf>
    <dxf>
      <fill>
        <patternFill>
          <bgColor rgb="FFBFBFBF"/>
        </patternFill>
      </fill>
    </dxf>
    <dxf>
      <fill>
        <patternFill>
          <bgColor rgb="FF9B9B9B"/>
        </patternFill>
      </fill>
    </dxf>
    <dxf>
      <font>
        <b/>
        <i val="0"/>
        <sz val="12"/>
        <name val="Aptos"/>
        <family val="2"/>
        <scheme val="none"/>
      </font>
      <fill>
        <patternFill>
          <bgColor theme="5" tint="0.59996337778862885"/>
        </patternFill>
      </fill>
      <border diagonalUp="0" diagonalDown="0">
        <left/>
        <right/>
        <top/>
        <bottom/>
        <vertical/>
        <horizontal/>
      </border>
    </dxf>
    <dxf>
      <fill>
        <patternFill>
          <bgColor theme="5" tint="0.59996337778862885"/>
        </patternFill>
      </fill>
      <border diagonalUp="0" diagonalDown="0">
        <left/>
        <right/>
        <top/>
        <bottom/>
        <vertical/>
        <horizontal/>
      </border>
    </dxf>
    <dxf>
      <font>
        <b/>
        <i val="0"/>
        <sz val="12"/>
        <name val="Aptos"/>
        <family val="2"/>
        <scheme val="none"/>
      </font>
      <fill>
        <patternFill>
          <bgColor rgb="FFC4AEF2"/>
        </patternFill>
      </fill>
      <border diagonalUp="0" diagonalDown="0">
        <left/>
        <right/>
        <top/>
        <bottom/>
        <vertical/>
        <horizontal/>
      </border>
    </dxf>
    <dxf>
      <fill>
        <patternFill>
          <bgColor rgb="FFC4AEF2"/>
        </patternFill>
      </fill>
      <border diagonalUp="0" diagonalDown="0">
        <left/>
        <right/>
        <top/>
        <bottom/>
        <vertical/>
        <horizontal/>
      </border>
    </dxf>
    <dxf>
      <font>
        <b/>
        <i val="0"/>
        <sz val="12"/>
        <name val="Aptos"/>
        <family val="2"/>
        <scheme val="none"/>
      </font>
      <fill>
        <patternFill>
          <bgColor rgb="FFD5EDF2"/>
        </patternFill>
      </fill>
      <border diagonalUp="0" diagonalDown="0">
        <left/>
        <right/>
        <top/>
        <bottom/>
        <vertical/>
        <horizontal/>
      </border>
    </dxf>
    <dxf>
      <fill>
        <patternFill>
          <bgColor rgb="FFD5EDF2"/>
        </patternFill>
      </fill>
      <border diagonalUp="0" diagonalDown="0">
        <left/>
        <right/>
        <top/>
        <bottom/>
        <vertical/>
        <horizontal/>
      </border>
    </dxf>
    <dxf>
      <font>
        <b/>
        <i val="0"/>
        <sz val="12"/>
        <name val="Aptos"/>
        <family val="2"/>
        <scheme val="none"/>
      </font>
      <fill>
        <patternFill>
          <bgColor theme="3" tint="0.59996337778862885"/>
        </patternFill>
      </fill>
      <border diagonalUp="0" diagonalDown="0">
        <left/>
        <right/>
        <top/>
        <bottom/>
        <vertical/>
        <horizontal/>
      </border>
    </dxf>
    <dxf>
      <fill>
        <patternFill>
          <bgColor theme="3" tint="0.59996337778862885"/>
        </patternFill>
      </fill>
      <border diagonalUp="0" diagonalDown="0">
        <left/>
        <right/>
        <top/>
        <bottom/>
        <vertical/>
        <horizontal/>
      </border>
    </dxf>
    <dxf>
      <font>
        <b/>
        <i val="0"/>
        <sz val="12"/>
        <name val="Aptos"/>
        <family val="2"/>
        <scheme val="none"/>
      </font>
      <fill>
        <patternFill>
          <bgColor theme="4" tint="0.59996337778862885"/>
        </patternFill>
      </fill>
      <border diagonalUp="0" diagonalDown="0">
        <left/>
        <right/>
        <top/>
        <bottom/>
        <vertical/>
        <horizontal/>
      </border>
    </dxf>
    <dxf>
      <fill>
        <patternFill>
          <bgColor theme="4" tint="0.59996337778862885"/>
        </patternFill>
      </fill>
      <border diagonalUp="0" diagonalDown="0">
        <left/>
        <right/>
        <top/>
        <bottom/>
        <vertical/>
        <horizontal/>
      </border>
    </dxf>
    <dxf>
      <font>
        <b/>
        <i val="0"/>
        <sz val="12"/>
        <name val="Aptos"/>
        <family val="2"/>
        <scheme val="none"/>
      </font>
      <fill>
        <patternFill>
          <bgColor theme="3" tint="0.39994506668294322"/>
        </patternFill>
      </fill>
      <border diagonalUp="0" diagonalDown="0">
        <left/>
        <right/>
        <top/>
        <bottom/>
        <vertical/>
        <horizontal/>
      </border>
    </dxf>
    <dxf>
      <fill>
        <patternFill>
          <bgColor theme="3" tint="0.39994506668294322"/>
        </patternFill>
      </fill>
      <border diagonalUp="0" diagonalDown="0">
        <left/>
        <right/>
        <top/>
        <bottom/>
        <vertical/>
        <horizontal/>
      </border>
    </dxf>
    <dxf>
      <font>
        <b/>
        <i val="0"/>
        <sz val="12"/>
        <name val="Aptos"/>
        <family val="2"/>
        <scheme val="none"/>
      </font>
      <fill>
        <patternFill>
          <bgColor rgb="FF24A699"/>
        </patternFill>
      </fill>
      <border diagonalUp="0" diagonalDown="0">
        <left/>
        <right/>
        <top/>
        <bottom/>
        <vertical/>
        <horizontal/>
      </border>
    </dxf>
    <dxf>
      <fill>
        <patternFill>
          <bgColor rgb="FF24A699"/>
        </patternFill>
      </fill>
      <border diagonalUp="0" diagonalDown="0">
        <left/>
        <right/>
        <top/>
        <bottom/>
        <vertical/>
        <horizontal/>
      </border>
    </dxf>
    <dxf>
      <font>
        <b/>
        <i val="0"/>
        <sz val="12"/>
        <name val="Aptos"/>
        <family val="2"/>
        <scheme val="none"/>
      </font>
      <fill>
        <patternFill>
          <bgColor theme="9" tint="0.59996337778862885"/>
        </patternFill>
      </fill>
      <border diagonalUp="0" diagonalDown="0">
        <left/>
        <right/>
        <top/>
        <bottom/>
        <vertical/>
        <horizontal/>
      </border>
    </dxf>
    <dxf>
      <fill>
        <patternFill>
          <bgColor theme="9" tint="0.59996337778862885"/>
        </patternFill>
      </fill>
      <border diagonalUp="0" diagonalDown="0">
        <left/>
        <right/>
        <top/>
        <bottom/>
        <vertical/>
        <horizontal/>
      </border>
    </dxf>
    <dxf>
      <font>
        <b/>
        <i val="0"/>
        <sz val="12"/>
        <name val="Aptos"/>
        <family val="2"/>
        <scheme val="none"/>
      </font>
      <fill>
        <patternFill>
          <bgColor rgb="FFF45E52"/>
        </patternFill>
      </fill>
      <border diagonalUp="0" diagonalDown="0">
        <left/>
        <right/>
        <top/>
        <bottom/>
        <vertical/>
        <horizontal/>
      </border>
    </dxf>
    <dxf>
      <fill>
        <patternFill>
          <bgColor rgb="FFF45E52"/>
        </patternFill>
      </fill>
      <border diagonalUp="0" diagonalDown="0">
        <left/>
        <right/>
        <top/>
        <bottom/>
        <vertical/>
        <horizontal/>
      </border>
    </dxf>
    <dxf>
      <font>
        <b/>
        <i val="0"/>
        <sz val="12"/>
        <name val="Aptos"/>
        <family val="2"/>
        <scheme val="none"/>
      </font>
      <fill>
        <patternFill>
          <bgColor rgb="FFBF246D"/>
        </patternFill>
      </fill>
      <border diagonalUp="0" diagonalDown="0">
        <left/>
        <right/>
        <top/>
        <bottom/>
        <vertical/>
        <horizontal/>
      </border>
    </dxf>
    <dxf>
      <fill>
        <patternFill>
          <bgColor rgb="FFBF246D"/>
        </patternFill>
      </fill>
      <border diagonalUp="0" diagonalDown="0">
        <left/>
        <right/>
        <top/>
        <bottom/>
        <vertical/>
        <horizontal/>
      </border>
    </dxf>
    <dxf>
      <font>
        <b/>
        <i val="0"/>
        <sz val="12"/>
        <name val="Aptos"/>
        <family val="2"/>
        <scheme val="none"/>
      </font>
      <fill>
        <patternFill>
          <bgColor rgb="FFF29F05"/>
        </patternFill>
      </fill>
      <border diagonalUp="0" diagonalDown="0">
        <left/>
        <right/>
        <top/>
        <bottom/>
        <vertical/>
        <horizontal/>
      </border>
    </dxf>
    <dxf>
      <fill>
        <patternFill>
          <bgColor rgb="FFF29F05"/>
        </patternFill>
      </fill>
      <border diagonalUp="0" diagonalDown="0">
        <left/>
        <right/>
        <top/>
        <bottom/>
        <vertical/>
        <horizontal/>
      </border>
    </dxf>
    <dxf>
      <font>
        <b/>
        <i val="0"/>
        <sz val="12"/>
        <name val="Aptos"/>
        <family val="2"/>
        <scheme val="none"/>
      </font>
      <fill>
        <patternFill>
          <bgColor rgb="FFF2EA72"/>
        </patternFill>
      </fill>
      <border diagonalUp="0" diagonalDown="0">
        <left/>
        <right/>
        <top/>
        <bottom/>
        <vertical/>
        <horizontal/>
      </border>
    </dxf>
    <dxf>
      <fill>
        <patternFill>
          <bgColor rgb="FFF2EA72"/>
        </patternFill>
      </fill>
      <border diagonalUp="0" diagonalDown="0">
        <left/>
        <right/>
        <top/>
        <bottom/>
        <vertical/>
        <horizontal/>
      </border>
    </dxf>
    <dxf>
      <font>
        <b/>
        <i val="0"/>
        <sz val="12"/>
        <name val="Aptos"/>
        <family val="2"/>
        <scheme val="none"/>
      </font>
      <fill>
        <patternFill>
          <bgColor rgb="FF589DFA"/>
        </patternFill>
      </fill>
      <border diagonalUp="0" diagonalDown="0">
        <left/>
        <right/>
        <top/>
        <bottom/>
        <vertical/>
        <horizontal/>
      </border>
    </dxf>
    <dxf>
      <fill>
        <patternFill>
          <bgColor rgb="FF589DFA"/>
        </patternFill>
      </fill>
      <border diagonalUp="0" diagonalDown="0">
        <left/>
        <right/>
        <top/>
        <bottom/>
        <vertical/>
        <horizontal/>
      </border>
    </dxf>
    <dxf>
      <font>
        <b/>
        <i val="0"/>
        <sz val="12"/>
        <name val="Aptos"/>
        <family val="2"/>
        <scheme val="none"/>
      </font>
      <fill>
        <patternFill>
          <bgColor rgb="FF94F2C6"/>
        </patternFill>
      </fill>
      <border diagonalUp="0" diagonalDown="0">
        <left/>
        <right/>
        <top/>
        <bottom/>
        <vertical/>
        <horizontal/>
      </border>
    </dxf>
    <dxf>
      <fill>
        <patternFill>
          <bgColor rgb="FF94F2C6"/>
        </patternFill>
      </fill>
      <border diagonalUp="0" diagonalDown="0">
        <left/>
        <right/>
        <top/>
        <bottom/>
        <vertical/>
        <horizontal/>
      </border>
    </dxf>
    <dxf>
      <font>
        <b/>
        <i val="0"/>
        <sz val="12"/>
        <name val="Aptos"/>
        <family val="2"/>
        <scheme val="none"/>
      </font>
      <fill>
        <patternFill>
          <bgColor rgb="FFBFBFBF"/>
        </patternFill>
      </fill>
      <border diagonalUp="0" diagonalDown="0">
        <left/>
        <right/>
        <top/>
        <bottom/>
        <vertical/>
        <horizontal/>
      </border>
    </dxf>
    <dxf>
      <fill>
        <patternFill>
          <bgColor rgb="FFBFBFBF"/>
        </patternFill>
      </fill>
      <border diagonalUp="0" diagonalDown="0">
        <left/>
        <right/>
        <top/>
        <bottom/>
        <vertical/>
        <horizontal/>
      </border>
    </dxf>
  </dxfs>
  <tableStyles count="29" defaultTableStyle="TableStyleMedium2" defaultPivotStyle="PivotStyleLight16">
    <tableStyle name="Style de segment 1 2" pivot="0" table="0" count="6" xr9:uid="{FCACA5CA-1A1B-4536-9AA6-07AAB7F2863E}">
      <tableStyleElement type="wholeTable" dxfId="797"/>
      <tableStyleElement type="headerRow" dxfId="796"/>
    </tableStyle>
    <tableStyle name="Style de segment 1 2 2" pivot="0" table="0" count="6" xr9:uid="{1DD5B751-C10E-4C18-BA40-F9803F9B18E6}">
      <tableStyleElement type="wholeTable" dxfId="795"/>
      <tableStyleElement type="headerRow" dxfId="794"/>
    </tableStyle>
    <tableStyle name="Style de segment 1 2 2 2" pivot="0" table="0" count="6" xr9:uid="{5441A299-B8EC-4668-9A88-87D35005A1E1}">
      <tableStyleElement type="wholeTable" dxfId="793"/>
      <tableStyleElement type="headerRow" dxfId="792"/>
    </tableStyle>
    <tableStyle name="Style de segment 1 2 2 2 2" pivot="0" table="0" count="6" xr9:uid="{8C10CA80-969F-41F9-BDAC-795E281500E5}">
      <tableStyleElement type="wholeTable" dxfId="791"/>
      <tableStyleElement type="headerRow" dxfId="790"/>
    </tableStyle>
    <tableStyle name="Style de segment 1 2 2 2 3" pivot="0" table="0" count="6" xr9:uid="{364AB29A-57C2-4DE1-A198-169C5E59DB36}">
      <tableStyleElement type="wholeTable" dxfId="789"/>
      <tableStyleElement type="headerRow" dxfId="788"/>
    </tableStyle>
    <tableStyle name="Style de segment 1 2 2 2 4" pivot="0" table="0" count="6" xr9:uid="{CEC9298D-E6F2-4C43-8F15-A62B664A1C6D}">
      <tableStyleElement type="wholeTable" dxfId="787"/>
      <tableStyleElement type="headerRow" dxfId="786"/>
    </tableStyle>
    <tableStyle name="Style de segment 1 2 2 3" pivot="0" table="0" count="6" xr9:uid="{508AC3C2-6DAE-4CBB-8BB9-73EC9985A562}">
      <tableStyleElement type="wholeTable" dxfId="785"/>
      <tableStyleElement type="headerRow" dxfId="784"/>
    </tableStyle>
    <tableStyle name="Style de segment 1 2 2 4" pivot="0" table="0" count="6" xr9:uid="{33AD9ED4-52A0-4EA8-8EFD-D3F8569043FB}">
      <tableStyleElement type="wholeTable" dxfId="783"/>
      <tableStyleElement type="headerRow" dxfId="782"/>
    </tableStyle>
    <tableStyle name="Style de segment 1 2 3" pivot="0" table="0" count="6" xr9:uid="{CCB6F0D3-546D-4A17-B40B-41DF29D45F84}">
      <tableStyleElement type="wholeTable" dxfId="781"/>
      <tableStyleElement type="headerRow" dxfId="780"/>
    </tableStyle>
    <tableStyle name="Style de segment 1 2 3 2" pivot="0" table="0" count="6" xr9:uid="{D69EDDB3-468B-462C-9159-412D65A81C22}">
      <tableStyleElement type="wholeTable" dxfId="779"/>
      <tableStyleElement type="headerRow" dxfId="778"/>
    </tableStyle>
    <tableStyle name="Style de segment 1 2 3 2 2" pivot="0" table="0" count="6" xr9:uid="{91B79515-576F-4B74-8858-1463B2E9A37A}">
      <tableStyleElement type="wholeTable" dxfId="777"/>
      <tableStyleElement type="headerRow" dxfId="776"/>
    </tableStyle>
    <tableStyle name="Style de segment 1 2 3 2 3" pivot="0" table="0" count="6" xr9:uid="{9F54E3E7-73FB-43E9-A43A-73C9F19581A9}">
      <tableStyleElement type="wholeTable" dxfId="775"/>
      <tableStyleElement type="headerRow" dxfId="774"/>
    </tableStyle>
    <tableStyle name="Style de segment 1 2 4" pivot="0" table="0" count="6" xr9:uid="{3F7DC8C7-0CB0-4F4C-8F26-4DAF549668B6}">
      <tableStyleElement type="wholeTable" dxfId="773"/>
      <tableStyleElement type="headerRow" dxfId="772"/>
    </tableStyle>
    <tableStyle name="Style de segment 1 2 4 2" pivot="0" table="0" count="6" xr9:uid="{C31EFDB2-1714-463A-A37B-3D419EB102E6}">
      <tableStyleElement type="wholeTable" dxfId="771"/>
      <tableStyleElement type="headerRow" dxfId="770"/>
    </tableStyle>
    <tableStyle name="Style de segment 1 2 4 2 2" pivot="0" table="0" count="6" xr9:uid="{6544E711-95E7-43FB-9F66-36771ECCC3A1}">
      <tableStyleElement type="wholeTable" dxfId="769"/>
      <tableStyleElement type="headerRow" dxfId="768"/>
    </tableStyle>
    <tableStyle name="Style de tableau 1" pivot="0" count="3" xr9:uid="{673CFF19-60C3-4DCF-B9D7-5FCCD58712E1}">
      <tableStyleElement type="headerRow" dxfId="767"/>
      <tableStyleElement type="totalRow" dxfId="766"/>
      <tableStyleElement type="firstRowStripe" dxfId="765"/>
    </tableStyle>
    <tableStyle name="Style de tableau 1 2" pivot="0" count="3" xr9:uid="{572E47B8-4FFC-4BDB-93AA-31E1525A798F}">
      <tableStyleElement type="headerRow" dxfId="764"/>
      <tableStyleElement type="totalRow" dxfId="763"/>
      <tableStyleElement type="firstRowStripe" dxfId="762"/>
    </tableStyle>
    <tableStyle name="Style de tableau 1 2 2" pivot="0" count="3" xr9:uid="{69FA72D0-F69D-4482-818F-2B213E86291D}">
      <tableStyleElement type="headerRow" dxfId="761"/>
      <tableStyleElement type="totalRow" dxfId="760"/>
      <tableStyleElement type="firstRowStripe" dxfId="759"/>
    </tableStyle>
    <tableStyle name="Style de tableau 1 2 2 2" pivot="0" count="3" xr9:uid="{570D23B4-9708-4856-9F65-8BB14C953335}">
      <tableStyleElement type="headerRow" dxfId="758"/>
      <tableStyleElement type="totalRow" dxfId="757"/>
      <tableStyleElement type="firstRowStripe" dxfId="756"/>
    </tableStyle>
    <tableStyle name="Style de tableau 1 2 2 2 2" pivot="0" count="3" xr9:uid="{6F27C03A-5985-44D6-AB2B-734BE10928E9}">
      <tableStyleElement type="headerRow" dxfId="755"/>
      <tableStyleElement type="totalRow" dxfId="754"/>
      <tableStyleElement type="firstRowStripe" dxfId="753"/>
    </tableStyle>
    <tableStyle name="Style de tableau 1 2 2 2 2 2" pivot="0" count="3" xr9:uid="{EF920537-2D73-4792-8F8D-E696F95C3FB6}">
      <tableStyleElement type="headerRow" dxfId="752"/>
      <tableStyleElement type="totalRow" dxfId="751"/>
      <tableStyleElement type="firstRowStripe" dxfId="750"/>
    </tableStyle>
    <tableStyle name="Style de tableau 1 2 2 2 2 2 2" pivot="0" count="3" xr9:uid="{E2EBE83D-9250-4481-AE18-8D3EC9F42201}">
      <tableStyleElement type="headerRow" dxfId="749"/>
      <tableStyleElement type="totalRow" dxfId="748"/>
      <tableStyleElement type="firstRowStripe" dxfId="747"/>
    </tableStyle>
    <tableStyle name="Style de tableau 1 2 2 2 2 2 2 2" pivot="0" count="3" xr9:uid="{DA25ECC9-F1BB-4CAB-BB5D-6F502E3C7C58}">
      <tableStyleElement type="headerRow" dxfId="746"/>
      <tableStyleElement type="totalRow" dxfId="745"/>
      <tableStyleElement type="firstRowStripe" dxfId="744"/>
    </tableStyle>
    <tableStyle name="Style de tableau 1 2 2 2 2 2 2 2 2" pivot="0" count="3" xr9:uid="{1D76C378-724E-4581-944F-A22DAAF4E1F8}">
      <tableStyleElement type="headerRow" dxfId="743"/>
      <tableStyleElement type="totalRow" dxfId="742"/>
      <tableStyleElement type="firstRowStripe" dxfId="741"/>
    </tableStyle>
    <tableStyle name="Style de tableau 1 2 2 2 2 2 2 2 2 2" pivot="0" count="3" xr9:uid="{A2B9A8C0-ABA7-4AAF-81DE-ADD3B21C7241}">
      <tableStyleElement type="headerRow" dxfId="740"/>
      <tableStyleElement type="totalRow" dxfId="739"/>
      <tableStyleElement type="firstRowStripe" dxfId="738"/>
    </tableStyle>
    <tableStyle name="Style de tableau 1 2 2 2 2 2 2 2 2 2 2" pivot="0" count="3" xr9:uid="{2AE7E43C-CA9E-4ACB-81EA-562CD7467545}">
      <tableStyleElement type="headerRow" dxfId="737"/>
      <tableStyleElement type="totalRow" dxfId="736"/>
      <tableStyleElement type="firstRowStripe" dxfId="735"/>
    </tableStyle>
    <tableStyle name="Style de tableau 1 2 2 2 2 2 2 3" pivot="0" count="3" xr9:uid="{A7E0A45D-18D2-41F7-9006-0232CCCAB82A}">
      <tableStyleElement type="headerRow" dxfId="734"/>
      <tableStyleElement type="totalRow" dxfId="733"/>
      <tableStyleElement type="firstRowStripe" dxfId="732"/>
    </tableStyle>
    <tableStyle name="Style de tableau 1 2 3" pivot="0" count="3" xr9:uid="{36EDBB8D-6659-4133-8A9D-BBDCBEA32F6E}">
      <tableStyleElement type="headerRow" dxfId="731"/>
      <tableStyleElement type="totalRow" dxfId="730"/>
      <tableStyleElement type="firstRowStripe" dxfId="729"/>
    </tableStyle>
    <tableStyle name="Style de tableau 1 2 3 2" pivot="0" count="3" xr9:uid="{73B9DF1C-03E0-40B5-B627-A6CED7E040E3}">
      <tableStyleElement type="headerRow" dxfId="728"/>
      <tableStyleElement type="totalRow" dxfId="727"/>
      <tableStyleElement type="firstRowStripe" dxfId="726"/>
    </tableStyle>
  </tableStyles>
  <colors>
    <mruColors>
      <color rgb="FFF29F05"/>
      <color rgb="FFFFF6E7"/>
      <color rgb="FF91E7DF"/>
      <color rgb="FF45D7C9"/>
      <color rgb="FF24A699"/>
      <color rgb="FFD83080"/>
      <color rgb="FFBF246D"/>
      <color rgb="FFF0EAFC"/>
      <color rgb="FFD6C6F6"/>
      <color rgb="FFC4AEF2"/>
    </mruColors>
  </colors>
  <extLst>
    <ext xmlns:x14="http://schemas.microsoft.com/office/spreadsheetml/2009/9/main" uri="{46F421CA-312F-682f-3DD2-61675219B42D}">
      <x14:dxfs count="60">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patternType="none">
              <bgColor auto="1"/>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patternType="none">
              <bgColor auto="1"/>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bgColor theme="9" tint="0.39994506668294322"/>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bgColor theme="9" tint="0.39994506668294322"/>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bgColor theme="9" tint="0.39994506668294322"/>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bgColor theme="9" tint="0.39994506668294322"/>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9" tint="0.39994506668294322"/>
            </patternFill>
          </fill>
          <border diagonalUp="0" diagonalDown="0">
            <left/>
            <right/>
            <top/>
            <bottom/>
            <vertical/>
            <horizontal/>
          </border>
        </dxf>
        <dxf>
          <font>
            <b val="0"/>
            <i val="0"/>
            <sz val="11"/>
            <name val="Aptos"/>
            <family val="2"/>
          </font>
          <fill>
            <patternFill patternType="none">
              <bgColor auto="1"/>
            </patternFill>
          </fill>
          <border diagonalUp="0" diagonalDown="0">
            <left/>
            <right/>
            <top/>
            <bottom/>
            <vertical/>
            <horizontal/>
          </border>
        </dxf>
        <dxf>
          <font>
            <b/>
            <i val="0"/>
            <sz val="12"/>
            <name val="Aptos"/>
            <family val="2"/>
          </font>
          <fill>
            <patternFill>
              <bgColor theme="9" tint="-0.24994659260841701"/>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theme="9" tint="0.59996337778862885"/>
            </patternFill>
          </fill>
          <border diagonalUp="0" diagonalDown="0">
            <left style="thin">
              <color auto="1"/>
            </left>
            <right style="thin">
              <color auto="1"/>
            </right>
            <top style="thin">
              <color auto="1"/>
            </top>
            <bottom style="thin">
              <color auto="1"/>
            </bottom>
            <vertical/>
            <horizontal/>
          </border>
        </dxf>
        <dxf>
          <font>
            <b/>
            <i val="0"/>
            <sz val="11"/>
            <name val="Aptos"/>
            <family val="2"/>
          </font>
          <fill>
            <patternFill>
              <bgColor theme="3" tint="0.39994506668294322"/>
            </patternFill>
          </fill>
          <border diagonalUp="0" diagonalDown="0">
            <left/>
            <right/>
            <top/>
            <bottom/>
            <vertical/>
            <horizontal/>
          </border>
        </dxf>
        <dxf>
          <font>
            <b val="0"/>
            <i val="0"/>
            <sz val="11"/>
            <name val="Aptos"/>
            <family val="2"/>
          </font>
          <border diagonalUp="0" diagonalDown="0">
            <left/>
            <right/>
            <top/>
            <bottom/>
            <vertical/>
            <horizontal/>
          </border>
        </dxf>
        <dxf>
          <font>
            <b/>
            <i val="0"/>
            <sz val="12"/>
            <name val="Aptos"/>
            <family val="2"/>
          </font>
          <fill>
            <patternFill>
              <bgColor theme="3" tint="0.39994506668294322"/>
            </patternFill>
          </fill>
          <border diagonalUp="0" diagonalDown="0">
            <left style="thin">
              <color auto="1"/>
            </left>
            <right style="thin">
              <color auto="1"/>
            </right>
            <top style="thin">
              <color auto="1"/>
            </top>
            <bottom style="thin">
              <color auto="1"/>
            </bottom>
            <vertical/>
            <horizontal/>
          </border>
        </dxf>
        <dxf>
          <font>
            <b val="0"/>
            <i val="0"/>
            <sz val="12"/>
            <name val="Aptos"/>
            <family val="2"/>
            <scheme val="none"/>
          </font>
          <fill>
            <patternFill>
              <bgColor rgb="FFBFBFBF"/>
            </patternFill>
          </fill>
          <border diagonalUp="0" diagonalDown="0">
            <left style="thin">
              <color auto="1"/>
            </left>
            <right style="thin">
              <color auto="1"/>
            </right>
            <top style="thin">
              <color auto="1"/>
            </top>
            <bottom style="thin">
              <color auto="1"/>
            </bottom>
            <vertical/>
            <horizontal/>
          </border>
        </dxf>
      </x14:dxfs>
    </ext>
    <ext xmlns:x14="http://schemas.microsoft.com/office/spreadsheetml/2009/9/main" uri="{EB79DEF2-80B8-43e5-95BD-54CBDDF9020C}">
      <x14:slicerStyles defaultSlicerStyle="SlicerStyleLight1">
        <x14:slicerStyle name="Style de segment 1 2">
          <x14:slicerStyleElements>
            <x14:slicerStyleElement type="unselectedItemWithData" dxfId="59"/>
            <x14:slicerStyleElement type="selectedItemWithData" dxfId="58"/>
            <x14:slicerStyleElement type="hoveredUnselectedItemWithData" dxfId="57"/>
            <x14:slicerStyleElement type="hoveredSelectedItemWithData" dxfId="56"/>
          </x14:slicerStyleElements>
        </x14:slicerStyle>
        <x14:slicerStyle name="Style de segment 1 2 2">
          <x14:slicerStyleElements>
            <x14:slicerStyleElement type="unselectedItemWithData" dxfId="55"/>
            <x14:slicerStyleElement type="selectedItemWithData" dxfId="54"/>
            <x14:slicerStyleElement type="hoveredUnselectedItemWithData" dxfId="53"/>
            <x14:slicerStyleElement type="hoveredSelectedItemWithData" dxfId="52"/>
          </x14:slicerStyleElements>
        </x14:slicerStyle>
        <x14:slicerStyle name="Style de segment 1 2 2 2">
          <x14:slicerStyleElements>
            <x14:slicerStyleElement type="unselectedItemWithData" dxfId="51"/>
            <x14:slicerStyleElement type="selectedItemWithData" dxfId="50"/>
            <x14:slicerStyleElement type="hoveredUnselectedItemWithData" dxfId="49"/>
            <x14:slicerStyleElement type="hoveredSelectedItemWithData" dxfId="48"/>
          </x14:slicerStyleElements>
        </x14:slicerStyle>
        <x14:slicerStyle name="Style de segment 1 2 2 2 2">
          <x14:slicerStyleElements>
            <x14:slicerStyleElement type="unselectedItemWithData" dxfId="47"/>
            <x14:slicerStyleElement type="selectedItemWithData" dxfId="46"/>
            <x14:slicerStyleElement type="hoveredUnselectedItemWithData" dxfId="45"/>
            <x14:slicerStyleElement type="hoveredSelectedItemWithData" dxfId="44"/>
          </x14:slicerStyleElements>
        </x14:slicerStyle>
        <x14:slicerStyle name="Style de segment 1 2 2 2 3">
          <x14:slicerStyleElements>
            <x14:slicerStyleElement type="unselectedItemWithData" dxfId="43"/>
            <x14:slicerStyleElement type="selectedItemWithData" dxfId="42"/>
            <x14:slicerStyleElement type="hoveredUnselectedItemWithData" dxfId="41"/>
            <x14:slicerStyleElement type="hoveredSelectedItemWithData" dxfId="40"/>
          </x14:slicerStyleElements>
        </x14:slicerStyle>
        <x14:slicerStyle name="Style de segment 1 2 2 2 4">
          <x14:slicerStyleElements>
            <x14:slicerStyleElement type="unselectedItemWithData" dxfId="39"/>
            <x14:slicerStyleElement type="selectedItemWithData" dxfId="38"/>
            <x14:slicerStyleElement type="hoveredUnselectedItemWithData" dxfId="37"/>
            <x14:slicerStyleElement type="hoveredSelectedItemWithData" dxfId="36"/>
          </x14:slicerStyleElements>
        </x14:slicerStyle>
        <x14:slicerStyle name="Style de segment 1 2 2 3">
          <x14:slicerStyleElements>
            <x14:slicerStyleElement type="unselectedItemWithData" dxfId="35"/>
            <x14:slicerStyleElement type="selectedItemWithData" dxfId="34"/>
            <x14:slicerStyleElement type="hoveredUnselectedItemWithData" dxfId="33"/>
            <x14:slicerStyleElement type="hoveredSelectedItemWithData" dxfId="32"/>
          </x14:slicerStyleElements>
        </x14:slicerStyle>
        <x14:slicerStyle name="Style de segment 1 2 2 4">
          <x14:slicerStyleElements>
            <x14:slicerStyleElement type="unselectedItemWithData" dxfId="31"/>
            <x14:slicerStyleElement type="selectedItemWithData" dxfId="30"/>
            <x14:slicerStyleElement type="hoveredUnselectedItemWithData" dxfId="29"/>
            <x14:slicerStyleElement type="hoveredSelectedItemWithData" dxfId="28"/>
          </x14:slicerStyleElements>
        </x14:slicerStyle>
        <x14:slicerStyle name="Style de segment 1 2 3">
          <x14:slicerStyleElements>
            <x14:slicerStyleElement type="unselectedItemWithData" dxfId="27"/>
            <x14:slicerStyleElement type="selectedItemWithData" dxfId="26"/>
            <x14:slicerStyleElement type="hoveredUnselectedItemWithData" dxfId="25"/>
            <x14:slicerStyleElement type="hoveredSelectedItemWithData" dxfId="24"/>
          </x14:slicerStyleElements>
        </x14:slicerStyle>
        <x14:slicerStyle name="Style de segment 1 2 3 2">
          <x14:slicerStyleElements>
            <x14:slicerStyleElement type="unselectedItemWithData" dxfId="23"/>
            <x14:slicerStyleElement type="selectedItemWithData" dxfId="22"/>
            <x14:slicerStyleElement type="hoveredUnselectedItemWithData" dxfId="21"/>
            <x14:slicerStyleElement type="hoveredSelectedItemWithData" dxfId="20"/>
          </x14:slicerStyleElements>
        </x14:slicerStyle>
        <x14:slicerStyle name="Style de segment 1 2 3 2 2">
          <x14:slicerStyleElements>
            <x14:slicerStyleElement type="unselectedItemWithData" dxfId="19"/>
            <x14:slicerStyleElement type="selectedItemWithData" dxfId="18"/>
            <x14:slicerStyleElement type="hoveredUnselectedItemWithData" dxfId="17"/>
            <x14:slicerStyleElement type="hoveredSelectedItemWithData" dxfId="16"/>
          </x14:slicerStyleElements>
        </x14:slicerStyle>
        <x14:slicerStyle name="Style de segment 1 2 3 2 3">
          <x14:slicerStyleElements>
            <x14:slicerStyleElement type="unselectedItemWithData" dxfId="15"/>
            <x14:slicerStyleElement type="selectedItemWithData" dxfId="14"/>
            <x14:slicerStyleElement type="hoveredUnselectedItemWithData" dxfId="13"/>
            <x14:slicerStyleElement type="hoveredSelectedItemWithData" dxfId="12"/>
          </x14:slicerStyleElements>
        </x14:slicerStyle>
        <x14:slicerStyle name="Style de segment 1 2 4">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tyle de segment 1 2 4 2">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tyle de segment 1 2 4 2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worksheet" Target="worksheets/sheet21.xml"/><Relationship Id="rId42" Type="http://schemas.microsoft.com/office/2007/relationships/slicerCache" Target="slicerCaches/slicerCache18.xml"/><Relationship Id="rId47" Type="http://schemas.microsoft.com/office/2007/relationships/slicerCache" Target="slicerCaches/slicerCache23.xml"/><Relationship Id="rId63" Type="http://schemas.openxmlformats.org/officeDocument/2006/relationships/sharedStrings" Target="sharedStrings.xml"/><Relationship Id="rId68"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microsoft.com/office/2007/relationships/slicerCache" Target="slicerCaches/slicerCache21.xml"/><Relationship Id="rId53" Type="http://schemas.microsoft.com/office/2007/relationships/slicerCache" Target="slicerCaches/slicerCache29.xml"/><Relationship Id="rId58" Type="http://schemas.microsoft.com/office/2007/relationships/slicerCache" Target="slicerCaches/slicerCache34.xml"/><Relationship Id="rId66" Type="http://schemas.microsoft.com/office/2017/06/relationships/rdRichValue" Target="richData/rdrichvalue.xml"/><Relationship Id="rId5" Type="http://schemas.openxmlformats.org/officeDocument/2006/relationships/worksheet" Target="worksheets/sheet5.xml"/><Relationship Id="rId61" Type="http://schemas.openxmlformats.org/officeDocument/2006/relationships/connections" Target="connection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microsoft.com/office/2007/relationships/slicerCache" Target="slicerCaches/slicerCache19.xml"/><Relationship Id="rId48" Type="http://schemas.microsoft.com/office/2007/relationships/slicerCache" Target="slicerCaches/slicerCache24.xml"/><Relationship Id="rId56" Type="http://schemas.microsoft.com/office/2007/relationships/slicerCache" Target="slicerCaches/slicerCache32.xml"/><Relationship Id="rId64" Type="http://schemas.openxmlformats.org/officeDocument/2006/relationships/sheetMetadata" Target="metadata.xml"/><Relationship Id="rId69" Type="http://schemas.microsoft.com/office/2017/10/relationships/person" Target="persons/person.xml"/><Relationship Id="rId8" Type="http://schemas.openxmlformats.org/officeDocument/2006/relationships/worksheet" Target="worksheets/sheet8.xml"/><Relationship Id="rId51" Type="http://schemas.microsoft.com/office/2007/relationships/slicerCache" Target="slicerCaches/slicerCache27.xml"/><Relationship Id="rId72"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microsoft.com/office/2007/relationships/slicerCache" Target="slicerCaches/slicerCache22.xml"/><Relationship Id="rId59" Type="http://schemas.microsoft.com/office/2007/relationships/slicerCache" Target="slicerCaches/slicerCache35.xml"/><Relationship Id="rId67" Type="http://schemas.microsoft.com/office/2017/06/relationships/rdRichValueStructure" Target="richData/rdrichvaluestructure.xml"/><Relationship Id="rId20" Type="http://schemas.openxmlformats.org/officeDocument/2006/relationships/worksheet" Target="worksheets/sheet20.xml"/><Relationship Id="rId41" Type="http://schemas.microsoft.com/office/2007/relationships/slicerCache" Target="slicerCaches/slicerCache17.xml"/><Relationship Id="rId54" Type="http://schemas.microsoft.com/office/2007/relationships/slicerCache" Target="slicerCaches/slicerCache30.xml"/><Relationship Id="rId62" Type="http://schemas.openxmlformats.org/officeDocument/2006/relationships/styles" Target="styles.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4.xml"/><Relationship Id="rId36" Type="http://schemas.microsoft.com/office/2007/relationships/slicerCache" Target="slicerCaches/slicerCache12.xml"/><Relationship Id="rId49" Type="http://schemas.microsoft.com/office/2007/relationships/slicerCache" Target="slicerCaches/slicerCache25.xml"/><Relationship Id="rId57" Type="http://schemas.microsoft.com/office/2007/relationships/slicerCache" Target="slicerCaches/slicerCache33.xml"/><Relationship Id="rId10" Type="http://schemas.openxmlformats.org/officeDocument/2006/relationships/worksheet" Target="worksheets/sheet10.xml"/><Relationship Id="rId31" Type="http://schemas.microsoft.com/office/2007/relationships/slicerCache" Target="slicerCaches/slicerCache7.xml"/><Relationship Id="rId44" Type="http://schemas.microsoft.com/office/2007/relationships/slicerCache" Target="slicerCaches/slicerCache20.xml"/><Relationship Id="rId52" Type="http://schemas.microsoft.com/office/2007/relationships/slicerCache" Target="slicerCaches/slicerCache28.xml"/><Relationship Id="rId60" Type="http://schemas.openxmlformats.org/officeDocument/2006/relationships/theme" Target="theme/theme1.xml"/><Relationship Id="rId65" Type="http://schemas.microsoft.com/office/2022/10/relationships/richValueRel" Target="richData/richValueRel.xml"/><Relationship Id="rId73"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 Id="rId34" Type="http://schemas.microsoft.com/office/2007/relationships/slicerCache" Target="slicerCaches/slicerCache10.xml"/><Relationship Id="rId50" Type="http://schemas.microsoft.com/office/2007/relationships/slicerCache" Target="slicerCaches/slicerCache26.xml"/><Relationship Id="rId55" Type="http://schemas.microsoft.com/office/2007/relationships/slicerCache" Target="slicerCaches/slicerCache31.xml"/><Relationship Id="rId7" Type="http://schemas.openxmlformats.org/officeDocument/2006/relationships/worksheet" Target="worksheets/sheet7.xml"/><Relationship Id="rId71"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83333333333333E-2"/>
          <c:y val="5.2380952380952382E-2"/>
          <c:w val="0.9375"/>
          <c:h val="0.89523809523809528"/>
        </c:manualLayout>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rgbClr val="D5EDF2"/>
              </a:solidFill>
              <a:ln w="19050">
                <a:solidFill>
                  <a:schemeClr val="lt1"/>
                </a:solidFill>
              </a:ln>
              <a:effectLst/>
            </c:spPr>
            <c:extLst>
              <c:ext xmlns:c16="http://schemas.microsoft.com/office/drawing/2014/chart" uri="{C3380CC4-5D6E-409C-BE32-E72D297353CC}">
                <c16:uniqueId val="{00000001-FD47-4F3B-8DD2-4ED963E84EFB}"/>
              </c:ext>
            </c:extLst>
          </c:dPt>
          <c:dPt>
            <c:idx val="1"/>
            <c:invertIfNegative val="0"/>
            <c:bubble3D val="0"/>
            <c:spPr>
              <a:solidFill>
                <a:srgbClr val="C4AEF2"/>
              </a:solidFill>
              <a:ln w="19050">
                <a:solidFill>
                  <a:schemeClr val="lt1"/>
                </a:solidFill>
              </a:ln>
              <a:effectLst/>
            </c:spPr>
            <c:extLst>
              <c:ext xmlns:c16="http://schemas.microsoft.com/office/drawing/2014/chart" uri="{C3380CC4-5D6E-409C-BE32-E72D297353CC}">
                <c16:uniqueId val="{00000003-FD47-4F3B-8DD2-4ED963E84EFB}"/>
              </c:ext>
            </c:extLst>
          </c:dPt>
          <c:dPt>
            <c:idx val="2"/>
            <c:invertIfNegative val="0"/>
            <c:bubble3D val="0"/>
            <c:spPr>
              <a:solidFill>
                <a:srgbClr val="24A699"/>
              </a:solidFill>
              <a:ln w="19050">
                <a:solidFill>
                  <a:schemeClr val="lt1"/>
                </a:solidFill>
              </a:ln>
              <a:effectLst/>
            </c:spPr>
            <c:extLst>
              <c:ext xmlns:c16="http://schemas.microsoft.com/office/drawing/2014/chart" uri="{C3380CC4-5D6E-409C-BE32-E72D297353CC}">
                <c16:uniqueId val="{00000005-FD47-4F3B-8DD2-4ED963E84EFB}"/>
              </c:ext>
            </c:extLst>
          </c:dPt>
          <c:dPt>
            <c:idx val="3"/>
            <c:invertIfNegative val="0"/>
            <c:bubble3D val="0"/>
            <c:spPr>
              <a:solidFill>
                <a:srgbClr val="BFBFBF"/>
              </a:solidFill>
              <a:ln w="19050">
                <a:solidFill>
                  <a:schemeClr val="lt1"/>
                </a:solidFill>
              </a:ln>
              <a:effectLst/>
            </c:spPr>
            <c:extLst>
              <c:ext xmlns:c16="http://schemas.microsoft.com/office/drawing/2014/chart" uri="{C3380CC4-5D6E-409C-BE32-E72D297353CC}">
                <c16:uniqueId val="{00000007-FD47-4F3B-8DD2-4ED963E84E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_data_!$P$20:$P$23</c:f>
              <c:numCache>
                <c:formatCode>General</c:formatCode>
                <c:ptCount val="4"/>
                <c:pt idx="0">
                  <c:v>74</c:v>
                </c:pt>
                <c:pt idx="1">
                  <c:v>1</c:v>
                </c:pt>
                <c:pt idx="2">
                  <c:v>0</c:v>
                </c:pt>
                <c:pt idx="3">
                  <c:v>0</c:v>
                </c:pt>
              </c:numCache>
            </c:numRef>
          </c:val>
          <c:extLst>
            <c:ext xmlns:c16="http://schemas.microsoft.com/office/drawing/2014/chart" uri="{C3380CC4-5D6E-409C-BE32-E72D297353CC}">
              <c16:uniqueId val="{00000008-D845-4C4E-8584-5FADC79F1C3B}"/>
            </c:ext>
          </c:extLst>
        </c:ser>
        <c:dLbls>
          <c:showLegendKey val="0"/>
          <c:showVal val="0"/>
          <c:showCatName val="0"/>
          <c:showSerName val="0"/>
          <c:showPercent val="0"/>
          <c:showBubbleSize val="0"/>
        </c:dLbls>
        <c:gapWidth val="100"/>
        <c:axId val="79641136"/>
        <c:axId val="241720432"/>
      </c:barChart>
      <c:catAx>
        <c:axId val="79641136"/>
        <c:scaling>
          <c:orientation val="minMax"/>
        </c:scaling>
        <c:delete val="1"/>
        <c:axPos val="b"/>
        <c:numFmt formatCode="General" sourceLinked="1"/>
        <c:majorTickMark val="out"/>
        <c:minorTickMark val="none"/>
        <c:tickLblPos val="nextTo"/>
        <c:crossAx val="241720432"/>
        <c:crosses val="autoZero"/>
        <c:auto val="1"/>
        <c:lblAlgn val="ctr"/>
        <c:lblOffset val="100"/>
        <c:noMultiLvlLbl val="0"/>
      </c:catAx>
      <c:valAx>
        <c:axId val="241720432"/>
        <c:scaling>
          <c:orientation val="minMax"/>
        </c:scaling>
        <c:delete val="1"/>
        <c:axPos val="l"/>
        <c:numFmt formatCode="General" sourceLinked="1"/>
        <c:majorTickMark val="out"/>
        <c:minorTickMark val="none"/>
        <c:tickLblPos val="nextTo"/>
        <c:crossAx val="796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700854700854701E-2"/>
          <c:y val="5.2380952380952382E-2"/>
          <c:w val="0.92478632478632483"/>
          <c:h val="0.89523809523809528"/>
        </c:manualLayout>
      </c:layout>
      <c:barChart>
        <c:barDir val="col"/>
        <c:grouping val="clustered"/>
        <c:varyColors val="0"/>
        <c:ser>
          <c:idx val="0"/>
          <c:order val="0"/>
          <c:tx>
            <c:v>_shots</c:v>
          </c:tx>
          <c:spPr>
            <a:solidFill>
              <a:schemeClr val="accent1"/>
            </a:solidFill>
            <a:ln w="19050">
              <a:solidFill>
                <a:schemeClr val="lt1"/>
              </a:solidFill>
            </a:ln>
            <a:effectLst/>
          </c:spPr>
          <c:invertIfNegative val="0"/>
          <c:dPt>
            <c:idx val="0"/>
            <c:invertIfNegative val="0"/>
            <c:bubble3D val="0"/>
            <c:spPr>
              <a:solidFill>
                <a:srgbClr val="F45E52"/>
              </a:solidFill>
              <a:ln w="19050">
                <a:solidFill>
                  <a:schemeClr val="lt1"/>
                </a:solidFill>
              </a:ln>
              <a:effectLst/>
            </c:spPr>
            <c:extLst>
              <c:ext xmlns:c16="http://schemas.microsoft.com/office/drawing/2014/chart" uri="{C3380CC4-5D6E-409C-BE32-E72D297353CC}">
                <c16:uniqueId val="{00000001-E3FF-41B7-BBBB-64943D5CF331}"/>
              </c:ext>
            </c:extLst>
          </c:dPt>
          <c:dPt>
            <c:idx val="1"/>
            <c:invertIfNegative val="0"/>
            <c:bubble3D val="0"/>
            <c:spPr>
              <a:solidFill>
                <a:srgbClr val="589DFA"/>
              </a:solidFill>
              <a:ln w="19050">
                <a:solidFill>
                  <a:schemeClr val="lt1"/>
                </a:solidFill>
              </a:ln>
              <a:effectLst/>
            </c:spPr>
            <c:extLst>
              <c:ext xmlns:c16="http://schemas.microsoft.com/office/drawing/2014/chart" uri="{C3380CC4-5D6E-409C-BE32-E72D297353CC}">
                <c16:uniqueId val="{00000003-E3FF-41B7-BBBB-64943D5CF331}"/>
              </c:ext>
            </c:extLst>
          </c:dPt>
          <c:dPt>
            <c:idx val="2"/>
            <c:invertIfNegative val="0"/>
            <c:bubble3D val="0"/>
            <c:spPr>
              <a:solidFill>
                <a:srgbClr val="F2EA72"/>
              </a:solidFill>
              <a:ln w="19050">
                <a:solidFill>
                  <a:schemeClr val="lt1"/>
                </a:solidFill>
              </a:ln>
              <a:effectLst/>
            </c:spPr>
            <c:extLst>
              <c:ext xmlns:c16="http://schemas.microsoft.com/office/drawing/2014/chart" uri="{C3380CC4-5D6E-409C-BE32-E72D297353CC}">
                <c16:uniqueId val="{00000005-E3FF-41B7-BBBB-64943D5CF331}"/>
              </c:ext>
            </c:extLst>
          </c:dPt>
          <c:dPt>
            <c:idx val="3"/>
            <c:invertIfNegative val="0"/>
            <c:bubble3D val="0"/>
            <c:spPr>
              <a:solidFill>
                <a:srgbClr val="F29F05"/>
              </a:solidFill>
              <a:ln w="19050">
                <a:solidFill>
                  <a:schemeClr val="lt1"/>
                </a:solidFill>
              </a:ln>
              <a:effectLst/>
            </c:spPr>
            <c:extLst>
              <c:ext xmlns:c16="http://schemas.microsoft.com/office/drawing/2014/chart" uri="{C3380CC4-5D6E-409C-BE32-E72D297353CC}">
                <c16:uniqueId val="{00000007-E3FF-41B7-BBBB-64943D5CF331}"/>
              </c:ext>
            </c:extLst>
          </c:dPt>
          <c:dPt>
            <c:idx val="4"/>
            <c:invertIfNegative val="0"/>
            <c:bubble3D val="0"/>
            <c:spPr>
              <a:solidFill>
                <a:srgbClr val="BF246D"/>
              </a:solidFill>
              <a:ln w="19050">
                <a:solidFill>
                  <a:schemeClr val="lt1"/>
                </a:solidFill>
              </a:ln>
              <a:effectLst/>
            </c:spPr>
            <c:extLst>
              <c:ext xmlns:c16="http://schemas.microsoft.com/office/drawing/2014/chart" uri="{C3380CC4-5D6E-409C-BE32-E72D297353CC}">
                <c16:uniqueId val="{00000009-E3FF-41B7-BBBB-64943D5CF331}"/>
              </c:ext>
            </c:extLst>
          </c:dPt>
          <c:dPt>
            <c:idx val="5"/>
            <c:invertIfNegative val="0"/>
            <c:bubble3D val="0"/>
            <c:spPr>
              <a:solidFill>
                <a:srgbClr val="94F2C6"/>
              </a:solidFill>
              <a:ln w="19050">
                <a:solidFill>
                  <a:schemeClr val="lt1"/>
                </a:solidFill>
              </a:ln>
              <a:effectLst/>
            </c:spPr>
            <c:extLst>
              <c:ext xmlns:c16="http://schemas.microsoft.com/office/drawing/2014/chart" uri="{C3380CC4-5D6E-409C-BE32-E72D297353CC}">
                <c16:uniqueId val="{0000000B-E3FF-41B7-BBBB-64943D5CF3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_data_!$R$20:$R$25</c:f>
              <c:strCache>
                <c:ptCount val="6"/>
                <c:pt idx="0">
                  <c:v>Layout</c:v>
                </c:pt>
                <c:pt idx="1">
                  <c:v>Anim</c:v>
                </c:pt>
                <c:pt idx="2">
                  <c:v>Lighting</c:v>
                </c:pt>
                <c:pt idx="3">
                  <c:v>VFX</c:v>
                </c:pt>
                <c:pt idx="4">
                  <c:v>Render</c:v>
                </c:pt>
                <c:pt idx="5">
                  <c:v>Comp</c:v>
                </c:pt>
              </c:strCache>
            </c:strRef>
          </c:cat>
          <c:val>
            <c:numRef>
              <c:f>_data_!$S$20:$S$25</c:f>
              <c:numCache>
                <c:formatCode>General</c:formatCode>
                <c:ptCount val="6"/>
                <c:pt idx="0">
                  <c:v>0</c:v>
                </c:pt>
                <c:pt idx="1">
                  <c:v>17</c:v>
                </c:pt>
                <c:pt idx="2">
                  <c:v>1</c:v>
                </c:pt>
                <c:pt idx="3">
                  <c:v>2</c:v>
                </c:pt>
                <c:pt idx="4">
                  <c:v>9</c:v>
                </c:pt>
                <c:pt idx="5">
                  <c:v>19</c:v>
                </c:pt>
              </c:numCache>
            </c:numRef>
          </c:val>
          <c:extLst>
            <c:ext xmlns:c16="http://schemas.microsoft.com/office/drawing/2014/chart" uri="{C3380CC4-5D6E-409C-BE32-E72D297353CC}">
              <c16:uniqueId val="{0000000C-E3FF-41B7-BBBB-64943D5CF331}"/>
            </c:ext>
          </c:extLst>
        </c:ser>
        <c:dLbls>
          <c:dLblPos val="outEnd"/>
          <c:showLegendKey val="0"/>
          <c:showVal val="1"/>
          <c:showCatName val="0"/>
          <c:showSerName val="0"/>
          <c:showPercent val="0"/>
          <c:showBubbleSize val="0"/>
        </c:dLbls>
        <c:gapWidth val="100"/>
        <c:axId val="1917035456"/>
        <c:axId val="183582064"/>
      </c:barChart>
      <c:catAx>
        <c:axId val="1917035456"/>
        <c:scaling>
          <c:orientation val="minMax"/>
        </c:scaling>
        <c:delete val="1"/>
        <c:axPos val="b"/>
        <c:numFmt formatCode="General" sourceLinked="1"/>
        <c:majorTickMark val="out"/>
        <c:minorTickMark val="none"/>
        <c:tickLblPos val="nextTo"/>
        <c:crossAx val="183582064"/>
        <c:crosses val="autoZero"/>
        <c:auto val="1"/>
        <c:lblAlgn val="ctr"/>
        <c:lblOffset val="100"/>
        <c:noMultiLvlLbl val="0"/>
      </c:catAx>
      <c:valAx>
        <c:axId val="183582064"/>
        <c:scaling>
          <c:orientation val="minMax"/>
        </c:scaling>
        <c:delete val="1"/>
        <c:axPos val="l"/>
        <c:numFmt formatCode="General" sourceLinked="1"/>
        <c:majorTickMark val="out"/>
        <c:minorTickMark val="none"/>
        <c:tickLblPos val="nextTo"/>
        <c:crossAx val="191703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75000"/>
              </a:schemeClr>
            </a:solidFill>
          </c:spPr>
          <c:dPt>
            <c:idx val="0"/>
            <c:bubble3D val="0"/>
            <c:spPr>
              <a:solidFill>
                <a:srgbClr val="009999"/>
              </a:solidFill>
              <a:ln w="19050">
                <a:solidFill>
                  <a:schemeClr val="lt1"/>
                </a:solidFill>
              </a:ln>
              <a:effectLst/>
            </c:spPr>
            <c:extLst>
              <c:ext xmlns:c16="http://schemas.microsoft.com/office/drawing/2014/chart" uri="{C3380CC4-5D6E-409C-BE32-E72D297353CC}">
                <c16:uniqueId val="{00000002-CA76-48B9-B933-F1ED2E6DE43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CA76-48B9-B933-F1ED2E6DE438}"/>
              </c:ext>
            </c:extLst>
          </c:dPt>
          <c:val>
            <c:numRef>
              <c:f>_data_!$G$49:$G$50</c:f>
              <c:numCache>
                <c:formatCode>0%</c:formatCode>
                <c:ptCount val="2"/>
                <c:pt idx="0">
                  <c:v>0.98914333017975398</c:v>
                </c:pt>
                <c:pt idx="1">
                  <c:v>1.0856669820246023E-2</c:v>
                </c:pt>
              </c:numCache>
            </c:numRef>
          </c:val>
          <c:extLst>
            <c:ext xmlns:c16="http://schemas.microsoft.com/office/drawing/2014/chart" uri="{C3380CC4-5D6E-409C-BE32-E72D297353CC}">
              <c16:uniqueId val="{00000000-CA76-48B9-B933-F1ED2E6DE438}"/>
            </c:ext>
          </c:extLst>
        </c:ser>
        <c:dLbls>
          <c:showLegendKey val="0"/>
          <c:showVal val="0"/>
          <c:showCatName val="0"/>
          <c:showSerName val="0"/>
          <c:showPercent val="0"/>
          <c:showBubbleSize val="0"/>
          <c:showLeaderLines val="1"/>
        </c:dLbls>
        <c:firstSliceAng val="0"/>
        <c:holeSize val="70"/>
      </c:doughnutChart>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50"/>
              </a:solidFill>
              <a:ln w="19050">
                <a:solidFill>
                  <a:schemeClr val="lt1"/>
                </a:solidFill>
              </a:ln>
              <a:effectLst/>
            </c:spPr>
            <c:extLst>
              <c:ext xmlns:c16="http://schemas.microsoft.com/office/drawing/2014/chart" uri="{C3380CC4-5D6E-409C-BE32-E72D297353CC}">
                <c16:uniqueId val="{00000002-CA76-48B9-B933-F1ED2E6DE43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CA76-48B9-B933-F1ED2E6DE438}"/>
              </c:ext>
            </c:extLst>
          </c:dPt>
          <c:val>
            <c:numRef>
              <c:f>_data_!$I$49:$I$50</c:f>
              <c:numCache>
                <c:formatCode>0%</c:formatCode>
                <c:ptCount val="2"/>
                <c:pt idx="0">
                  <c:v>0.62576209498446522</c:v>
                </c:pt>
                <c:pt idx="1">
                  <c:v>0.37423790501553478</c:v>
                </c:pt>
              </c:numCache>
            </c:numRef>
          </c:val>
          <c:extLst>
            <c:ext xmlns:c16="http://schemas.microsoft.com/office/drawing/2014/chart" uri="{C3380CC4-5D6E-409C-BE32-E72D297353CC}">
              <c16:uniqueId val="{00000000-CA76-48B9-B933-F1ED2E6DE438}"/>
            </c:ext>
          </c:extLst>
        </c:ser>
        <c:dLbls>
          <c:showLegendKey val="0"/>
          <c:showVal val="0"/>
          <c:showCatName val="0"/>
          <c:showSerName val="0"/>
          <c:showPercent val="0"/>
          <c:showBubbleSize val="0"/>
          <c:showLeaderLines val="1"/>
        </c:dLbls>
        <c:firstSliceAng val="0"/>
        <c:holeSize val="70"/>
      </c:doughnutChart>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3-0428-40FB-992E-C5165B84F906}"/>
              </c:ext>
            </c:extLst>
          </c:dPt>
          <c:dPt>
            <c:idx val="1"/>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2-0428-40FB-992E-C5165B84F906}"/>
              </c:ext>
            </c:extLst>
          </c:dPt>
          <c:val>
            <c:numRef>
              <c:f>_data_!$H$49:$H$50</c:f>
              <c:numCache>
                <c:formatCode>0%</c:formatCode>
                <c:ptCount val="2"/>
                <c:pt idx="0">
                  <c:v>0.80166956720861005</c:v>
                </c:pt>
                <c:pt idx="1">
                  <c:v>0.19833043279138995</c:v>
                </c:pt>
              </c:numCache>
            </c:numRef>
          </c:val>
          <c:extLst>
            <c:ext xmlns:c16="http://schemas.microsoft.com/office/drawing/2014/chart" uri="{C3380CC4-5D6E-409C-BE32-E72D297353CC}">
              <c16:uniqueId val="{00000000-0428-40FB-992E-C5165B84F90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Aptos" panose="020B0004020202020204" pitchFamily="34" charset="0"/>
                <a:ea typeface="+mn-ea"/>
                <a:cs typeface="+mn-cs"/>
              </a:defRPr>
            </a:pPr>
            <a:r>
              <a:rPr lang="en-CA" b="1">
                <a:solidFill>
                  <a:sysClr val="windowText" lastClr="000000"/>
                </a:solidFill>
              </a:rPr>
              <a:t>Baseline vs Hours to do </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infos!$A$6:$A$10</c:f>
              <c:strCache>
                <c:ptCount val="5"/>
                <c:pt idx="0">
                  <c:v>P-A</c:v>
                </c:pt>
                <c:pt idx="1">
                  <c:v>Fred</c:v>
                </c:pt>
                <c:pt idx="2">
                  <c:v>AnnLau</c:v>
                </c:pt>
                <c:pt idx="3">
                  <c:v>Jacob</c:v>
                </c:pt>
                <c:pt idx="4">
                  <c:v>Mym</c:v>
                </c:pt>
              </c:strCache>
            </c:strRef>
          </c:cat>
          <c:val>
            <c:numRef>
              <c:f>infos!$E$6:$E$10</c:f>
              <c:numCache>
                <c:formatCode>0\ " hrs"</c:formatCode>
                <c:ptCount val="5"/>
                <c:pt idx="0">
                  <c:v>313</c:v>
                </c:pt>
                <c:pt idx="1">
                  <c:v>326</c:v>
                </c:pt>
                <c:pt idx="2">
                  <c:v>642.5</c:v>
                </c:pt>
                <c:pt idx="3">
                  <c:v>522.5</c:v>
                </c:pt>
                <c:pt idx="4">
                  <c:v>356</c:v>
                </c:pt>
              </c:numCache>
            </c:numRef>
          </c:val>
          <c:extLst>
            <c:ext xmlns:c16="http://schemas.microsoft.com/office/drawing/2014/chart" uri="{C3380CC4-5D6E-409C-BE32-E72D297353CC}">
              <c16:uniqueId val="{00000000-D99D-4B05-8A79-A123DEC92886}"/>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infos!$A$6:$A$10</c:f>
              <c:strCache>
                <c:ptCount val="5"/>
                <c:pt idx="0">
                  <c:v>P-A</c:v>
                </c:pt>
                <c:pt idx="1">
                  <c:v>Fred</c:v>
                </c:pt>
                <c:pt idx="2">
                  <c:v>AnnLau</c:v>
                </c:pt>
                <c:pt idx="3">
                  <c:v>Jacob</c:v>
                </c:pt>
                <c:pt idx="4">
                  <c:v>Mym</c:v>
                </c:pt>
              </c:strCache>
            </c:strRef>
          </c:cat>
          <c:val>
            <c:numRef>
              <c:f>infos!$F$6:$F$10</c:f>
              <c:numCache>
                <c:formatCode>0\ " hrs"</c:formatCode>
                <c:ptCount val="5"/>
                <c:pt idx="0">
                  <c:v>5.3000000000000016</c:v>
                </c:pt>
                <c:pt idx="1">
                  <c:v>3.0000000000000027</c:v>
                </c:pt>
                <c:pt idx="2">
                  <c:v>177.77</c:v>
                </c:pt>
                <c:pt idx="3">
                  <c:v>103.46</c:v>
                </c:pt>
                <c:pt idx="4">
                  <c:v>177.89999999999998</c:v>
                </c:pt>
              </c:numCache>
            </c:numRef>
          </c:val>
          <c:extLst>
            <c:ext xmlns:c16="http://schemas.microsoft.com/office/drawing/2014/chart" uri="{C3380CC4-5D6E-409C-BE32-E72D297353CC}">
              <c16:uniqueId val="{00000001-D99D-4B05-8A79-A123DEC92886}"/>
            </c:ext>
          </c:extLst>
        </c:ser>
        <c:dLbls>
          <c:showLegendKey val="0"/>
          <c:showVal val="0"/>
          <c:showCatName val="0"/>
          <c:showSerName val="0"/>
          <c:showPercent val="0"/>
          <c:showBubbleSize val="0"/>
        </c:dLbls>
        <c:gapWidth val="219"/>
        <c:overlap val="-27"/>
        <c:axId val="1400732528"/>
        <c:axId val="1123705872"/>
      </c:barChart>
      <c:catAx>
        <c:axId val="14007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ptos" panose="020B0004020202020204" pitchFamily="34" charset="0"/>
                <a:ea typeface="+mn-ea"/>
                <a:cs typeface="+mn-cs"/>
              </a:defRPr>
            </a:pPr>
            <a:endParaRPr lang="en-US"/>
          </a:p>
        </c:txPr>
        <c:crossAx val="1123705872"/>
        <c:crosses val="autoZero"/>
        <c:auto val="1"/>
        <c:lblAlgn val="ctr"/>
        <c:lblOffset val="100"/>
        <c:noMultiLvlLbl val="0"/>
      </c:catAx>
      <c:valAx>
        <c:axId val="1123705872"/>
        <c:scaling>
          <c:orientation val="minMax"/>
        </c:scaling>
        <c:delete val="0"/>
        <c:axPos val="l"/>
        <c:majorGridlines>
          <c:spPr>
            <a:ln w="9525" cap="flat" cmpd="sng" algn="ctr">
              <a:solidFill>
                <a:schemeClr val="tx1">
                  <a:lumMod val="15000"/>
                  <a:lumOff val="85000"/>
                </a:schemeClr>
              </a:solidFill>
              <a:round/>
            </a:ln>
            <a:effectLst/>
          </c:spPr>
        </c:majorGridlines>
        <c:numFmt formatCode="0\ &quot; hrs&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ptos" panose="020B0004020202020204" pitchFamily="34" charset="0"/>
                <a:ea typeface="+mn-ea"/>
                <a:cs typeface="+mn-cs"/>
              </a:defRPr>
            </a:pPr>
            <a:endParaRPr lang="en-US"/>
          </a:p>
        </c:txPr>
        <c:crossAx val="140073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Aptos" panose="020B00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BFBFBF"/>
              </a:solidFill>
              <a:ln w="19050">
                <a:solidFill>
                  <a:schemeClr val="lt1"/>
                </a:solidFill>
              </a:ln>
              <a:effectLst/>
            </c:spPr>
            <c:extLst>
              <c:ext xmlns:c16="http://schemas.microsoft.com/office/drawing/2014/chart" uri="{C3380CC4-5D6E-409C-BE32-E72D297353CC}">
                <c16:uniqueId val="{00000001-F35D-4D96-861D-A53E7EC623EA}"/>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F35D-4D96-861D-A53E7EC623EA}"/>
              </c:ext>
            </c:extLst>
          </c:dPt>
          <c:val>
            <c:numRef>
              <c:f>_data_!$G$53:$G$54</c:f>
              <c:numCache>
                <c:formatCode>0%</c:formatCode>
                <c:ptCount val="2"/>
                <c:pt idx="0">
                  <c:v>1</c:v>
                </c:pt>
                <c:pt idx="1">
                  <c:v>0</c:v>
                </c:pt>
              </c:numCache>
            </c:numRef>
          </c:val>
          <c:extLst>
            <c:ext xmlns:c16="http://schemas.microsoft.com/office/drawing/2014/chart" uri="{C3380CC4-5D6E-409C-BE32-E72D297353CC}">
              <c16:uniqueId val="{00000004-F35D-4D96-861D-A53E7EC623EA}"/>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24A699"/>
              </a:solidFill>
              <a:ln w="19050">
                <a:solidFill>
                  <a:schemeClr val="lt1"/>
                </a:solidFill>
              </a:ln>
              <a:effectLst/>
            </c:spPr>
            <c:extLst>
              <c:ext xmlns:c16="http://schemas.microsoft.com/office/drawing/2014/chart" uri="{C3380CC4-5D6E-409C-BE32-E72D297353CC}">
                <c16:uniqueId val="{00000001-AEF8-43DB-BF18-CEEF59FD1B1B}"/>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AEF8-43DB-BF18-CEEF59FD1B1B}"/>
              </c:ext>
            </c:extLst>
          </c:dPt>
          <c:val>
            <c:numRef>
              <c:f>_data_!$H$53:$H$54</c:f>
              <c:numCache>
                <c:formatCode>0%</c:formatCode>
                <c:ptCount val="2"/>
                <c:pt idx="0">
                  <c:v>0.99037433155080212</c:v>
                </c:pt>
                <c:pt idx="1">
                  <c:v>9.6256684491978772E-3</c:v>
                </c:pt>
              </c:numCache>
            </c:numRef>
          </c:val>
          <c:extLst>
            <c:ext xmlns:c16="http://schemas.microsoft.com/office/drawing/2014/chart" uri="{C3380CC4-5D6E-409C-BE32-E72D297353CC}">
              <c16:uniqueId val="{00000004-AEF8-43DB-BF18-CEEF59FD1B1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C4AEF2"/>
              </a:solidFill>
              <a:ln w="19050">
                <a:solidFill>
                  <a:schemeClr val="lt1"/>
                </a:solidFill>
              </a:ln>
              <a:effectLst/>
            </c:spPr>
            <c:extLst>
              <c:ext xmlns:c16="http://schemas.microsoft.com/office/drawing/2014/chart" uri="{C3380CC4-5D6E-409C-BE32-E72D297353CC}">
                <c16:uniqueId val="{00000001-6829-432B-AD7E-76CCE985E86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6829-432B-AD7E-76CCE985E86C}"/>
              </c:ext>
            </c:extLst>
          </c:dPt>
          <c:val>
            <c:numRef>
              <c:f>_data_!$I$53:$I$54</c:f>
              <c:numCache>
                <c:formatCode>0%</c:formatCode>
                <c:ptCount val="2"/>
                <c:pt idx="0">
                  <c:v>0.98691860465116277</c:v>
                </c:pt>
                <c:pt idx="1">
                  <c:v>1.3081395348837233E-2</c:v>
                </c:pt>
              </c:numCache>
            </c:numRef>
          </c:val>
          <c:extLst>
            <c:ext xmlns:c16="http://schemas.microsoft.com/office/drawing/2014/chart" uri="{C3380CC4-5D6E-409C-BE32-E72D297353CC}">
              <c16:uniqueId val="{00000004-6829-432B-AD7E-76CCE985E86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D5EDF2"/>
              </a:solidFill>
              <a:ln w="19050">
                <a:solidFill>
                  <a:schemeClr val="lt1"/>
                </a:solidFill>
              </a:ln>
              <a:effectLst/>
            </c:spPr>
            <c:extLst>
              <c:ext xmlns:c16="http://schemas.microsoft.com/office/drawing/2014/chart" uri="{C3380CC4-5D6E-409C-BE32-E72D297353CC}">
                <c16:uniqueId val="{00000001-B868-4C8F-9B6D-B59CF9B89F56}"/>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B868-4C8F-9B6D-B59CF9B89F56}"/>
              </c:ext>
            </c:extLst>
          </c:dPt>
          <c:val>
            <c:numRef>
              <c:f>_data_!$J$53:$J$54</c:f>
              <c:numCache>
                <c:formatCode>0%</c:formatCode>
                <c:ptCount val="2"/>
                <c:pt idx="0">
                  <c:v>0.99035087719298243</c:v>
                </c:pt>
                <c:pt idx="1">
                  <c:v>9.6491228070175739E-3</c:v>
                </c:pt>
              </c:numCache>
            </c:numRef>
          </c:val>
          <c:extLst>
            <c:ext xmlns:c16="http://schemas.microsoft.com/office/drawing/2014/chart" uri="{C3380CC4-5D6E-409C-BE32-E72D297353CC}">
              <c16:uniqueId val="{00000004-B868-4C8F-9B6D-B59CF9B89F5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2">
                  <a:lumMod val="60000"/>
                  <a:lumOff val="40000"/>
                </a:schemeClr>
              </a:solidFill>
              <a:ln w="19050">
                <a:solidFill>
                  <a:schemeClr val="lt1"/>
                </a:solidFill>
              </a:ln>
              <a:effectLst/>
            </c:spPr>
            <c:extLst>
              <c:ext xmlns:c16="http://schemas.microsoft.com/office/drawing/2014/chart" uri="{C3380CC4-5D6E-409C-BE32-E72D297353CC}">
                <c16:uniqueId val="{00000001-940D-4DC9-A7EB-A69036058716}"/>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940D-4DC9-A7EB-A69036058716}"/>
              </c:ext>
            </c:extLst>
          </c:dPt>
          <c:val>
            <c:numRef>
              <c:f>_data_!$G$49:$G$50</c:f>
              <c:numCache>
                <c:formatCode>0%</c:formatCode>
                <c:ptCount val="2"/>
                <c:pt idx="0">
                  <c:v>0.98914333017975398</c:v>
                </c:pt>
                <c:pt idx="1">
                  <c:v>1.0856669820246023E-2</c:v>
                </c:pt>
              </c:numCache>
            </c:numRef>
          </c:val>
          <c:extLst>
            <c:ext xmlns:c16="http://schemas.microsoft.com/office/drawing/2014/chart" uri="{C3380CC4-5D6E-409C-BE32-E72D297353CC}">
              <c16:uniqueId val="{00000004-940D-4DC9-A7EB-A6903605871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45E52"/>
              </a:solidFill>
              <a:ln w="19050">
                <a:solidFill>
                  <a:schemeClr val="lt1"/>
                </a:solidFill>
              </a:ln>
              <a:effectLst/>
            </c:spPr>
            <c:extLst>
              <c:ext xmlns:c16="http://schemas.microsoft.com/office/drawing/2014/chart" uri="{C3380CC4-5D6E-409C-BE32-E72D297353CC}">
                <c16:uniqueId val="{00000001-85DA-4A03-98BB-4FAE31A8BA0F}"/>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85DA-4A03-98BB-4FAE31A8BA0F}"/>
              </c:ext>
            </c:extLst>
          </c:dPt>
          <c:val>
            <c:numRef>
              <c:f>_data_!$G$36:$G$37</c:f>
              <c:numCache>
                <c:formatCode>0%</c:formatCode>
                <c:ptCount val="2"/>
                <c:pt idx="0">
                  <c:v>0.96394052044609668</c:v>
                </c:pt>
                <c:pt idx="1">
                  <c:v>3.6059479553903317E-2</c:v>
                </c:pt>
              </c:numCache>
            </c:numRef>
          </c:val>
          <c:extLst>
            <c:ext xmlns:c16="http://schemas.microsoft.com/office/drawing/2014/chart" uri="{C3380CC4-5D6E-409C-BE32-E72D297353CC}">
              <c16:uniqueId val="{00000004-85DA-4A03-98BB-4FAE31A8BA0F}"/>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589DFA"/>
              </a:solidFill>
              <a:ln w="19050">
                <a:solidFill>
                  <a:schemeClr val="lt1"/>
                </a:solidFill>
              </a:ln>
              <a:effectLst/>
            </c:spPr>
            <c:extLst>
              <c:ext xmlns:c16="http://schemas.microsoft.com/office/drawing/2014/chart" uri="{C3380CC4-5D6E-409C-BE32-E72D297353CC}">
                <c16:uniqueId val="{00000001-5BA2-4073-84EF-BF36DF912DD8}"/>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5BA2-4073-84EF-BF36DF912DD8}"/>
              </c:ext>
            </c:extLst>
          </c:dPt>
          <c:val>
            <c:numRef>
              <c:f>_data_!$H$36:$H$37</c:f>
              <c:numCache>
                <c:formatCode>0%</c:formatCode>
                <c:ptCount val="2"/>
                <c:pt idx="0">
                  <c:v>0.99757042253521122</c:v>
                </c:pt>
                <c:pt idx="1">
                  <c:v>2.4295774647887791E-3</c:v>
                </c:pt>
              </c:numCache>
            </c:numRef>
          </c:val>
          <c:extLst>
            <c:ext xmlns:c16="http://schemas.microsoft.com/office/drawing/2014/chart" uri="{C3380CC4-5D6E-409C-BE32-E72D297353CC}">
              <c16:uniqueId val="{00000004-5BA2-4073-84EF-BF36DF912DD8}"/>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2EA72"/>
              </a:solidFill>
              <a:ln w="19050">
                <a:solidFill>
                  <a:schemeClr val="lt1"/>
                </a:solidFill>
              </a:ln>
              <a:effectLst/>
            </c:spPr>
            <c:extLst>
              <c:ext xmlns:c16="http://schemas.microsoft.com/office/drawing/2014/chart" uri="{C3380CC4-5D6E-409C-BE32-E72D297353CC}">
                <c16:uniqueId val="{00000001-98AF-444C-812C-85C353039159}"/>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98AF-444C-812C-85C353039159}"/>
              </c:ext>
            </c:extLst>
          </c:dPt>
          <c:val>
            <c:numRef>
              <c:f>_data_!$I$36:$I$37</c:f>
              <c:numCache>
                <c:formatCode>0%</c:formatCode>
                <c:ptCount val="2"/>
                <c:pt idx="0">
                  <c:v>0.44225806451612903</c:v>
                </c:pt>
                <c:pt idx="1">
                  <c:v>0.55774193548387097</c:v>
                </c:pt>
              </c:numCache>
            </c:numRef>
          </c:val>
          <c:extLst>
            <c:ext xmlns:c16="http://schemas.microsoft.com/office/drawing/2014/chart" uri="{C3380CC4-5D6E-409C-BE32-E72D297353CC}">
              <c16:uniqueId val="{00000004-98AF-444C-812C-85C353039159}"/>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F29F05"/>
              </a:solidFill>
              <a:ln w="19050">
                <a:solidFill>
                  <a:schemeClr val="lt1"/>
                </a:solidFill>
              </a:ln>
              <a:effectLst/>
            </c:spPr>
            <c:extLst>
              <c:ext xmlns:c16="http://schemas.microsoft.com/office/drawing/2014/chart" uri="{C3380CC4-5D6E-409C-BE32-E72D297353CC}">
                <c16:uniqueId val="{00000001-46FC-4AF5-A451-2A1A78F621CC}"/>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46FC-4AF5-A451-2A1A78F621CC}"/>
              </c:ext>
            </c:extLst>
          </c:dPt>
          <c:val>
            <c:numRef>
              <c:f>_data_!$J$36:$J$37</c:f>
              <c:numCache>
                <c:formatCode>0%</c:formatCode>
                <c:ptCount val="2"/>
                <c:pt idx="0">
                  <c:v>0.23448275862068965</c:v>
                </c:pt>
                <c:pt idx="1">
                  <c:v>0.76551724137931032</c:v>
                </c:pt>
              </c:numCache>
            </c:numRef>
          </c:val>
          <c:extLst>
            <c:ext xmlns:c16="http://schemas.microsoft.com/office/drawing/2014/chart" uri="{C3380CC4-5D6E-409C-BE32-E72D297353CC}">
              <c16:uniqueId val="{00000004-46FC-4AF5-A451-2A1A78F621CC}"/>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BF246D"/>
              </a:solidFill>
              <a:ln w="19050">
                <a:solidFill>
                  <a:schemeClr val="lt1"/>
                </a:solidFill>
              </a:ln>
              <a:effectLst/>
            </c:spPr>
            <c:extLst>
              <c:ext xmlns:c16="http://schemas.microsoft.com/office/drawing/2014/chart" uri="{C3380CC4-5D6E-409C-BE32-E72D297353CC}">
                <c16:uniqueId val="{00000001-9C52-45A6-943E-0000185DB350}"/>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9C52-45A6-943E-0000185DB350}"/>
              </c:ext>
            </c:extLst>
          </c:dPt>
          <c:val>
            <c:numRef>
              <c:f>_data_!$K$36:$K$37</c:f>
              <c:numCache>
                <c:formatCode>0%</c:formatCode>
                <c:ptCount val="2"/>
                <c:pt idx="0">
                  <c:v>0.43125000000000013</c:v>
                </c:pt>
                <c:pt idx="1">
                  <c:v>0.56874999999999987</c:v>
                </c:pt>
              </c:numCache>
            </c:numRef>
          </c:val>
          <c:extLst>
            <c:ext xmlns:c16="http://schemas.microsoft.com/office/drawing/2014/chart" uri="{C3380CC4-5D6E-409C-BE32-E72D297353CC}">
              <c16:uniqueId val="{00000004-9C52-45A6-943E-0000185DB350}"/>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94F2C6"/>
              </a:solidFill>
              <a:ln w="19050">
                <a:solidFill>
                  <a:schemeClr val="lt1"/>
                </a:solidFill>
              </a:ln>
              <a:effectLst/>
            </c:spPr>
            <c:extLst>
              <c:ext xmlns:c16="http://schemas.microsoft.com/office/drawing/2014/chart" uri="{C3380CC4-5D6E-409C-BE32-E72D297353CC}">
                <c16:uniqueId val="{00000001-1F95-4EF9-8E83-B3712B302096}"/>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1F95-4EF9-8E83-B3712B302096}"/>
              </c:ext>
            </c:extLst>
          </c:dPt>
          <c:val>
            <c:numRef>
              <c:f>_data_!$L$36:$L$37</c:f>
              <c:numCache>
                <c:formatCode>0%</c:formatCode>
                <c:ptCount val="2"/>
                <c:pt idx="0">
                  <c:v>0.24463768115942022</c:v>
                </c:pt>
                <c:pt idx="1">
                  <c:v>0.75536231884057981</c:v>
                </c:pt>
              </c:numCache>
            </c:numRef>
          </c:val>
          <c:extLst>
            <c:ext xmlns:c16="http://schemas.microsoft.com/office/drawing/2014/chart" uri="{C3380CC4-5D6E-409C-BE32-E72D297353CC}">
              <c16:uniqueId val="{00000004-1F95-4EF9-8E83-B3712B302096}"/>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533-415C-826D-EA6742194C8E}"/>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1533-415C-826D-EA6742194C8E}"/>
              </c:ext>
            </c:extLst>
          </c:dPt>
          <c:val>
            <c:numRef>
              <c:f>_data_!$I$49:$I$50</c:f>
              <c:numCache>
                <c:formatCode>0%</c:formatCode>
                <c:ptCount val="2"/>
                <c:pt idx="0">
                  <c:v>0.62576209498446522</c:v>
                </c:pt>
                <c:pt idx="1">
                  <c:v>0.37423790501553478</c:v>
                </c:pt>
              </c:numCache>
            </c:numRef>
          </c:val>
          <c:extLst>
            <c:ext xmlns:c16="http://schemas.microsoft.com/office/drawing/2014/chart" uri="{C3380CC4-5D6E-409C-BE32-E72D297353CC}">
              <c16:uniqueId val="{00000004-1533-415C-826D-EA6742194C8E}"/>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globalCalendar_scrollbar_value" horiz="1" max="20" page="0" val="15"/>
</file>

<file path=xl/drawings/_rels/drawing2.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5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absolute">
    <xdr:from>
      <xdr:col>3</xdr:col>
      <xdr:colOff>1228726</xdr:colOff>
      <xdr:row>0</xdr:row>
      <xdr:rowOff>0</xdr:rowOff>
    </xdr:from>
    <xdr:to>
      <xdr:col>7</xdr:col>
      <xdr:colOff>1</xdr:colOff>
      <xdr:row>3</xdr:row>
      <xdr:rowOff>0</xdr:rowOff>
    </xdr:to>
    <mc:AlternateContent xmlns:mc="http://schemas.openxmlformats.org/markup-compatibility/2006" xmlns:sle15="http://schemas.microsoft.com/office/drawing/2012/slicer">
      <mc:Choice Requires="sle15">
        <xdr:graphicFrame macro="">
          <xdr:nvGraphicFramePr>
            <xdr:cNvPr id="3" name="Artist">
              <a:extLst>
                <a:ext uri="{FF2B5EF4-FFF2-40B4-BE49-F238E27FC236}">
                  <a16:creationId xmlns:a16="http://schemas.microsoft.com/office/drawing/2014/main" id="{00000000-0008-0000-01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a:graphicData>
          </a:graphic>
        </xdr:graphicFrame>
      </mc:Choice>
      <mc:Fallback xmlns="">
        <xdr:sp macro="" textlink="">
          <xdr:nvSpPr>
            <xdr:cNvPr id="0" name=""/>
            <xdr:cNvSpPr>
              <a:spLocks noTextEdit="1"/>
            </xdr:cNvSpPr>
          </xdr:nvSpPr>
          <xdr:spPr>
            <a:xfrm>
              <a:off x="6858000" y="0"/>
              <a:ext cx="3429000" cy="885825"/>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85726</xdr:colOff>
      <xdr:row>3</xdr:row>
      <xdr:rowOff>38100</xdr:rowOff>
    </xdr:from>
    <xdr:to>
      <xdr:col>4</xdr:col>
      <xdr:colOff>1471266</xdr:colOff>
      <xdr:row>3</xdr:row>
      <xdr:rowOff>916557</xdr:rowOff>
    </xdr:to>
    <xdr:pic>
      <xdr:nvPicPr>
        <xdr:cNvPr id="11" name="Picture 2">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7867471" y="918713"/>
          <a:ext cx="1385540" cy="878457"/>
        </a:xfrm>
        <a:prstGeom prst="rect">
          <a:avLst/>
        </a:prstGeom>
      </xdr:spPr>
    </xdr:pic>
    <xdr:clientData/>
  </xdr:twoCellAnchor>
  <xdr:twoCellAnchor editAs="oneCell">
    <xdr:from>
      <xdr:col>4</xdr:col>
      <xdr:colOff>62902</xdr:colOff>
      <xdr:row>7</xdr:row>
      <xdr:rowOff>35944</xdr:rowOff>
    </xdr:from>
    <xdr:to>
      <xdr:col>4</xdr:col>
      <xdr:colOff>1793634</xdr:colOff>
      <xdr:row>8</xdr:row>
      <xdr:rowOff>37741</xdr:rowOff>
    </xdr:to>
    <xdr:pic>
      <xdr:nvPicPr>
        <xdr:cNvPr id="10" name="Picture 7">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2"/>
        <a:stretch>
          <a:fillRect/>
        </a:stretch>
      </xdr:blipFill>
      <xdr:spPr>
        <a:xfrm>
          <a:off x="7844647" y="3432595"/>
          <a:ext cx="1730732" cy="763797"/>
        </a:xfrm>
        <a:prstGeom prst="rect">
          <a:avLst/>
        </a:prstGeom>
      </xdr:spPr>
    </xdr:pic>
    <xdr:clientData/>
  </xdr:twoCellAnchor>
  <xdr:twoCellAnchor editAs="oneCell">
    <xdr:from>
      <xdr:col>4</xdr:col>
      <xdr:colOff>44930</xdr:colOff>
      <xdr:row>9</xdr:row>
      <xdr:rowOff>26957</xdr:rowOff>
    </xdr:from>
    <xdr:to>
      <xdr:col>4</xdr:col>
      <xdr:colOff>1617137</xdr:colOff>
      <xdr:row>9</xdr:row>
      <xdr:rowOff>817712</xdr:rowOff>
    </xdr:to>
    <xdr:pic>
      <xdr:nvPicPr>
        <xdr:cNvPr id="17" name="Picture 3">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
        <a:stretch>
          <a:fillRect/>
        </a:stretch>
      </xdr:blipFill>
      <xdr:spPr>
        <a:xfrm>
          <a:off x="6739388" y="1824127"/>
          <a:ext cx="1572207" cy="790755"/>
        </a:xfrm>
        <a:prstGeom prst="rect">
          <a:avLst/>
        </a:prstGeom>
      </xdr:spPr>
    </xdr:pic>
    <xdr:clientData/>
  </xdr:twoCellAnchor>
  <xdr:twoCellAnchor editAs="oneCell">
    <xdr:from>
      <xdr:col>4</xdr:col>
      <xdr:colOff>1662383</xdr:colOff>
      <xdr:row>9</xdr:row>
      <xdr:rowOff>35943</xdr:rowOff>
    </xdr:from>
    <xdr:to>
      <xdr:col>4</xdr:col>
      <xdr:colOff>2758657</xdr:colOff>
      <xdr:row>9</xdr:row>
      <xdr:rowOff>817094</xdr:rowOff>
    </xdr:to>
    <xdr:pic>
      <xdr:nvPicPr>
        <xdr:cNvPr id="20" name="Picture 4">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4"/>
        <a:stretch>
          <a:fillRect/>
        </a:stretch>
      </xdr:blipFill>
      <xdr:spPr>
        <a:xfrm>
          <a:off x="9444128" y="1833113"/>
          <a:ext cx="1096274" cy="781151"/>
        </a:xfrm>
        <a:prstGeom prst="rect">
          <a:avLst/>
        </a:prstGeom>
      </xdr:spPr>
    </xdr:pic>
    <xdr:clientData/>
  </xdr:twoCellAnchor>
  <xdr:twoCellAnchor editAs="oneCell">
    <xdr:from>
      <xdr:col>4</xdr:col>
      <xdr:colOff>71888</xdr:colOff>
      <xdr:row>4</xdr:row>
      <xdr:rowOff>53916</xdr:rowOff>
    </xdr:from>
    <xdr:to>
      <xdr:col>4</xdr:col>
      <xdr:colOff>1599482</xdr:colOff>
      <xdr:row>4</xdr:row>
      <xdr:rowOff>880614</xdr:rowOff>
    </xdr:to>
    <xdr:pic>
      <xdr:nvPicPr>
        <xdr:cNvPr id="24" name="Picture 5">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5"/>
        <a:stretch>
          <a:fillRect/>
        </a:stretch>
      </xdr:blipFill>
      <xdr:spPr>
        <a:xfrm>
          <a:off x="7853633" y="1878043"/>
          <a:ext cx="1527594" cy="826698"/>
        </a:xfrm>
        <a:prstGeom prst="rect">
          <a:avLst/>
        </a:prstGeom>
      </xdr:spPr>
    </xdr:pic>
    <xdr:clientData/>
  </xdr:twoCellAnchor>
  <xdr:twoCellAnchor editAs="oneCell">
    <xdr:from>
      <xdr:col>4</xdr:col>
      <xdr:colOff>1653397</xdr:colOff>
      <xdr:row>4</xdr:row>
      <xdr:rowOff>44930</xdr:rowOff>
    </xdr:from>
    <xdr:to>
      <xdr:col>4</xdr:col>
      <xdr:colOff>3293202</xdr:colOff>
      <xdr:row>4</xdr:row>
      <xdr:rowOff>889599</xdr:rowOff>
    </xdr:to>
    <xdr:pic>
      <xdr:nvPicPr>
        <xdr:cNvPr id="28" name="Picture 6">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6"/>
        <a:stretch>
          <a:fillRect/>
        </a:stretch>
      </xdr:blipFill>
      <xdr:spPr>
        <a:xfrm>
          <a:off x="9435142" y="1869057"/>
          <a:ext cx="1639805" cy="8446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5</xdr:col>
      <xdr:colOff>0</xdr:colOff>
      <xdr:row>15</xdr:row>
      <xdr:rowOff>0</xdr:rowOff>
    </xdr:to>
    <xdr:graphicFrame macro="">
      <xdr:nvGraphicFramePr>
        <xdr:cNvPr id="2" name="Graphique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0</xdr:colOff>
      <xdr:row>1</xdr:row>
      <xdr:rowOff>1</xdr:rowOff>
    </xdr:from>
    <xdr:to>
      <xdr:col>27</xdr:col>
      <xdr:colOff>561975</xdr:colOff>
      <xdr:row>15</xdr:row>
      <xdr:rowOff>1</xdr:rowOff>
    </xdr:to>
    <xdr:graphicFrame macro="">
      <xdr:nvGraphicFramePr>
        <xdr:cNvPr id="4" name="Graphique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619124</xdr:colOff>
      <xdr:row>32</xdr:row>
      <xdr:rowOff>19050</xdr:rowOff>
    </xdr:from>
    <xdr:to>
      <xdr:col>13</xdr:col>
      <xdr:colOff>326939</xdr:colOff>
      <xdr:row>35</xdr:row>
      <xdr:rowOff>19050</xdr:rowOff>
    </xdr:to>
    <xdr:sp macro="" textlink="_data_!M29">
      <xdr:nvSpPr>
        <xdr:cNvPr id="106" name="ZoneTexte 10">
          <a:extLst>
            <a:ext uri="{FF2B5EF4-FFF2-40B4-BE49-F238E27FC236}">
              <a16:creationId xmlns:a16="http://schemas.microsoft.com/office/drawing/2014/main" id="{00000000-0008-0000-0400-00006A000000}"/>
            </a:ext>
          </a:extLst>
        </xdr:cNvPr>
        <xdr:cNvSpPr txBox="1"/>
      </xdr:nvSpPr>
      <xdr:spPr>
        <a:xfrm>
          <a:off x="5857874" y="6238875"/>
          <a:ext cx="280344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FC4B35-AB5E-4517-B7E9-909036C735B7}" type="TxLink">
            <a:rPr lang="en-US" sz="1800" b="1" i="0" u="none" strike="noStrike">
              <a:solidFill>
                <a:srgbClr val="000000"/>
              </a:solidFill>
              <a:latin typeface="Aptos" panose="020B0004020202020204" pitchFamily="34" charset="0"/>
              <a:ea typeface="Calibri"/>
              <a:cs typeface="Calibri"/>
            </a:rPr>
            <a:pPr algn="ctr"/>
            <a:t>2 jours</a:t>
          </a:fld>
          <a:endParaRPr lang="en-CA" sz="1800" b="1" i="0">
            <a:latin typeface="Aptos" panose="020B0004020202020204" pitchFamily="34" charset="0"/>
          </a:endParaRPr>
        </a:p>
      </xdr:txBody>
    </xdr:sp>
    <xdr:clientData/>
  </xdr:twoCellAnchor>
  <xdr:twoCellAnchor>
    <xdr:from>
      <xdr:col>13</xdr:col>
      <xdr:colOff>324365</xdr:colOff>
      <xdr:row>32</xdr:row>
      <xdr:rowOff>19050</xdr:rowOff>
    </xdr:from>
    <xdr:to>
      <xdr:col>18</xdr:col>
      <xdr:colOff>0</xdr:colOff>
      <xdr:row>35</xdr:row>
      <xdr:rowOff>19050</xdr:rowOff>
    </xdr:to>
    <xdr:sp macro="" textlink="_data_!M30">
      <xdr:nvSpPr>
        <xdr:cNvPr id="107" name="ZoneTexte 11">
          <a:extLst>
            <a:ext uri="{FF2B5EF4-FFF2-40B4-BE49-F238E27FC236}">
              <a16:creationId xmlns:a16="http://schemas.microsoft.com/office/drawing/2014/main" id="{00000000-0008-0000-0400-00006B000000}"/>
            </a:ext>
          </a:extLst>
        </xdr:cNvPr>
        <xdr:cNvSpPr txBox="1"/>
      </xdr:nvSpPr>
      <xdr:spPr>
        <a:xfrm>
          <a:off x="8658740" y="6238875"/>
          <a:ext cx="277126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9D5132-80FE-4CEA-BA5E-CC75623ABC5B}" type="TxLink">
            <a:rPr lang="en-US" sz="1800" b="1" i="0" u="none" strike="noStrike">
              <a:solidFill>
                <a:srgbClr val="000000"/>
              </a:solidFill>
              <a:latin typeface="Aptos" panose="020B0004020202020204" pitchFamily="34" charset="0"/>
              <a:ea typeface="Calibri"/>
              <a:cs typeface="Calibri"/>
            </a:rPr>
            <a:pPr algn="ctr"/>
            <a:t>16 jours</a:t>
          </a:fld>
          <a:endParaRPr lang="en-CA" sz="1800" b="1" i="0">
            <a:latin typeface="Aptos" panose="020B0004020202020204" pitchFamily="34" charset="0"/>
          </a:endParaRPr>
        </a:p>
      </xdr:txBody>
    </xdr:sp>
    <xdr:clientData/>
  </xdr:twoCellAnchor>
  <xdr:twoCellAnchor>
    <xdr:from>
      <xdr:col>15</xdr:col>
      <xdr:colOff>0</xdr:colOff>
      <xdr:row>42</xdr:row>
      <xdr:rowOff>0</xdr:rowOff>
    </xdr:from>
    <xdr:to>
      <xdr:col>18</xdr:col>
      <xdr:colOff>0</xdr:colOff>
      <xdr:row>44</xdr:row>
      <xdr:rowOff>0</xdr:rowOff>
    </xdr:to>
    <xdr:sp macro="" textlink="_data_!M32">
      <xdr:nvSpPr>
        <xdr:cNvPr id="14" name="ZoneTexte 13">
          <a:extLst>
            <a:ext uri="{FF2B5EF4-FFF2-40B4-BE49-F238E27FC236}">
              <a16:creationId xmlns:a16="http://schemas.microsoft.com/office/drawing/2014/main" id="{00000000-0008-0000-0400-00000E000000}"/>
            </a:ext>
          </a:extLst>
        </xdr:cNvPr>
        <xdr:cNvSpPr txBox="1"/>
      </xdr:nvSpPr>
      <xdr:spPr>
        <a:xfrm>
          <a:off x="9572625" y="8124825"/>
          <a:ext cx="18573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46193964-6C75-4D6A-A0B0-57FEDE4A73ED}" type="TxLink">
            <a:rPr lang="en-US" sz="1200" b="1" i="0" u="none" strike="noStrike">
              <a:solidFill>
                <a:srgbClr val="000000"/>
              </a:solidFill>
              <a:latin typeface="Aptos" panose="020B0004020202020204" pitchFamily="34" charset="0"/>
              <a:ea typeface="Calibri"/>
              <a:cs typeface="Calibri"/>
            </a:rPr>
            <a:pPr algn="r"/>
            <a:t>23 avril 2024</a:t>
          </a:fld>
          <a:endParaRPr lang="en-CA" sz="1200" b="1">
            <a:latin typeface="Aptos" panose="020B0004020202020204" pitchFamily="34" charset="0"/>
          </a:endParaRPr>
        </a:p>
      </xdr:txBody>
    </xdr:sp>
    <xdr:clientData/>
  </xdr:twoCellAnchor>
  <xdr:twoCellAnchor>
    <xdr:from>
      <xdr:col>15</xdr:col>
      <xdr:colOff>0</xdr:colOff>
      <xdr:row>44</xdr:row>
      <xdr:rowOff>0</xdr:rowOff>
    </xdr:from>
    <xdr:to>
      <xdr:col>18</xdr:col>
      <xdr:colOff>0</xdr:colOff>
      <xdr:row>46</xdr:row>
      <xdr:rowOff>0</xdr:rowOff>
    </xdr:to>
    <xdr:sp macro="" textlink="_data_!M33">
      <xdr:nvSpPr>
        <xdr:cNvPr id="5" name="ZoneTexte 14">
          <a:extLst>
            <a:ext uri="{FF2B5EF4-FFF2-40B4-BE49-F238E27FC236}">
              <a16:creationId xmlns:a16="http://schemas.microsoft.com/office/drawing/2014/main" id="{00000000-0008-0000-0400-000005000000}"/>
            </a:ext>
          </a:extLst>
        </xdr:cNvPr>
        <xdr:cNvSpPr txBox="1"/>
      </xdr:nvSpPr>
      <xdr:spPr>
        <a:xfrm>
          <a:off x="9572625" y="8505825"/>
          <a:ext cx="1857375"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81EF125B-787A-455E-8553-C879EBF421F7}" type="TxLink">
            <a:rPr lang="en-US" sz="1200" b="1" i="0" u="none" strike="noStrike">
              <a:solidFill>
                <a:srgbClr val="000000"/>
              </a:solidFill>
              <a:latin typeface="Aptos" panose="020B0004020202020204" pitchFamily="34" charset="0"/>
              <a:ea typeface="Calibri"/>
              <a:cs typeface="Calibri"/>
            </a:rPr>
            <a:pPr algn="r"/>
            <a:t>3 jours</a:t>
          </a:fld>
          <a:endParaRPr lang="en-CA" sz="1200" b="1">
            <a:latin typeface="Aptos" panose="020B0004020202020204" pitchFamily="34" charset="0"/>
          </a:endParaRPr>
        </a:p>
      </xdr:txBody>
    </xdr:sp>
    <xdr:clientData/>
  </xdr:twoCellAnchor>
  <xdr:twoCellAnchor>
    <xdr:from>
      <xdr:col>13</xdr:col>
      <xdr:colOff>323850</xdr:colOff>
      <xdr:row>30</xdr:row>
      <xdr:rowOff>0</xdr:rowOff>
    </xdr:from>
    <xdr:to>
      <xdr:col>18</xdr:col>
      <xdr:colOff>1</xdr:colOff>
      <xdr:row>33</xdr:row>
      <xdr:rowOff>0</xdr:rowOff>
    </xdr:to>
    <xdr:sp macro="" textlink="">
      <xdr:nvSpPr>
        <xdr:cNvPr id="97" name="ZoneTexte 18">
          <a:extLst>
            <a:ext uri="{FF2B5EF4-FFF2-40B4-BE49-F238E27FC236}">
              <a16:creationId xmlns:a16="http://schemas.microsoft.com/office/drawing/2014/main" id="{00000000-0008-0000-0400-000061000000}"/>
            </a:ext>
          </a:extLst>
        </xdr:cNvPr>
        <xdr:cNvSpPr txBox="1"/>
      </xdr:nvSpPr>
      <xdr:spPr>
        <a:xfrm>
          <a:off x="8658225" y="5838825"/>
          <a:ext cx="2771776"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aseline="0">
              <a:latin typeface="Aptos" panose="020B0004020202020204" pitchFamily="34" charset="0"/>
            </a:rPr>
            <a:t>Suivi</a:t>
          </a:r>
        </a:p>
      </xdr:txBody>
    </xdr:sp>
    <xdr:clientData/>
  </xdr:twoCellAnchor>
  <xdr:twoCellAnchor>
    <xdr:from>
      <xdr:col>8</xdr:col>
      <xdr:colOff>620412</xdr:colOff>
      <xdr:row>30</xdr:row>
      <xdr:rowOff>0</xdr:rowOff>
    </xdr:from>
    <xdr:to>
      <xdr:col>13</xdr:col>
      <xdr:colOff>324365</xdr:colOff>
      <xdr:row>33</xdr:row>
      <xdr:rowOff>0</xdr:rowOff>
    </xdr:to>
    <xdr:sp macro="" textlink="">
      <xdr:nvSpPr>
        <xdr:cNvPr id="100" name="ZoneTexte 19">
          <a:extLst>
            <a:ext uri="{FF2B5EF4-FFF2-40B4-BE49-F238E27FC236}">
              <a16:creationId xmlns:a16="http://schemas.microsoft.com/office/drawing/2014/main" id="{00000000-0008-0000-0400-000064000000}"/>
            </a:ext>
          </a:extLst>
        </xdr:cNvPr>
        <xdr:cNvSpPr txBox="1"/>
      </xdr:nvSpPr>
      <xdr:spPr>
        <a:xfrm>
          <a:off x="5869459" y="5838568"/>
          <a:ext cx="2806014"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aseline="0">
              <a:latin typeface="Aptos" panose="020B0004020202020204" pitchFamily="34" charset="0"/>
            </a:rPr>
            <a:t>Production</a:t>
          </a:r>
        </a:p>
      </xdr:txBody>
    </xdr:sp>
    <xdr:clientData/>
  </xdr:twoCellAnchor>
  <xdr:twoCellAnchor>
    <xdr:from>
      <xdr:col>9</xdr:col>
      <xdr:colOff>1</xdr:colOff>
      <xdr:row>44</xdr:row>
      <xdr:rowOff>0</xdr:rowOff>
    </xdr:from>
    <xdr:to>
      <xdr:col>15</xdr:col>
      <xdr:colOff>1</xdr:colOff>
      <xdr:row>46</xdr:row>
      <xdr:rowOff>0</xdr:rowOff>
    </xdr:to>
    <xdr:sp macro="" textlink="">
      <xdr:nvSpPr>
        <xdr:cNvPr id="22" name="ZoneTexte 21">
          <a:extLst>
            <a:ext uri="{FF2B5EF4-FFF2-40B4-BE49-F238E27FC236}">
              <a16:creationId xmlns:a16="http://schemas.microsoft.com/office/drawing/2014/main" id="{00000000-0008-0000-0400-000016000000}"/>
            </a:ext>
          </a:extLst>
        </xdr:cNvPr>
        <xdr:cNvSpPr txBox="1"/>
      </xdr:nvSpPr>
      <xdr:spPr>
        <a:xfrm>
          <a:off x="5857876" y="8505825"/>
          <a:ext cx="37147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latin typeface="Aptos" panose="020B0004020202020204" pitchFamily="34" charset="0"/>
            </a:rPr>
            <a:t>Buffer</a:t>
          </a:r>
        </a:p>
      </xdr:txBody>
    </xdr:sp>
    <xdr:clientData/>
  </xdr:twoCellAnchor>
  <xdr:twoCellAnchor>
    <xdr:from>
      <xdr:col>9</xdr:col>
      <xdr:colOff>1</xdr:colOff>
      <xdr:row>42</xdr:row>
      <xdr:rowOff>0</xdr:rowOff>
    </xdr:from>
    <xdr:to>
      <xdr:col>15</xdr:col>
      <xdr:colOff>1</xdr:colOff>
      <xdr:row>44</xdr:row>
      <xdr:rowOff>0</xdr:rowOff>
    </xdr:to>
    <xdr:sp macro="" textlink="">
      <xdr:nvSpPr>
        <xdr:cNvPr id="23" name="ZoneTexte 22">
          <a:extLst>
            <a:ext uri="{FF2B5EF4-FFF2-40B4-BE49-F238E27FC236}">
              <a16:creationId xmlns:a16="http://schemas.microsoft.com/office/drawing/2014/main" id="{00000000-0008-0000-0400-000017000000}"/>
            </a:ext>
          </a:extLst>
        </xdr:cNvPr>
        <xdr:cNvSpPr txBox="1"/>
      </xdr:nvSpPr>
      <xdr:spPr>
        <a:xfrm>
          <a:off x="5857876" y="8124825"/>
          <a:ext cx="37147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aseline="0">
              <a:latin typeface="Aptos" panose="020B0004020202020204" pitchFamily="34" charset="0"/>
            </a:rPr>
            <a:t>Date de livraison selon le rythme de production</a:t>
          </a:r>
        </a:p>
      </xdr:txBody>
    </xdr:sp>
    <xdr:clientData/>
  </xdr:twoCellAnchor>
  <xdr:twoCellAnchor editAs="oneCell">
    <xdr:from>
      <xdr:col>5</xdr:col>
      <xdr:colOff>1</xdr:colOff>
      <xdr:row>1</xdr:row>
      <xdr:rowOff>1</xdr:rowOff>
    </xdr:from>
    <xdr:to>
      <xdr:col>7</xdr:col>
      <xdr:colOff>47625</xdr:colOff>
      <xdr:row>5</xdr:row>
      <xdr:rowOff>1</xdr:rowOff>
    </xdr:to>
    <xdr:sp macro="" textlink="">
      <xdr:nvSpPr>
        <xdr:cNvPr id="41" name="ZoneTexte 23">
          <a:extLst>
            <a:ext uri="{FF2B5EF4-FFF2-40B4-BE49-F238E27FC236}">
              <a16:creationId xmlns:a16="http://schemas.microsoft.com/office/drawing/2014/main" id="{00000000-0008-0000-0400-000029000000}"/>
            </a:ext>
          </a:extLst>
        </xdr:cNvPr>
        <xdr:cNvSpPr txBox="1"/>
      </xdr:nvSpPr>
      <xdr:spPr>
        <a:xfrm>
          <a:off x="3810001" y="190501"/>
          <a:ext cx="2666999" cy="76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4000" b="1">
              <a:solidFill>
                <a:schemeClr val="tx2">
                  <a:lumMod val="75000"/>
                </a:schemeClr>
              </a:solidFill>
              <a:latin typeface="Aptos" panose="020B0004020202020204" pitchFamily="34" charset="0"/>
            </a:rPr>
            <a:t>Assets</a:t>
          </a:r>
          <a:endParaRPr lang="en-CA" sz="1100" b="1">
            <a:solidFill>
              <a:schemeClr val="tx2">
                <a:lumMod val="75000"/>
              </a:schemeClr>
            </a:solidFill>
            <a:latin typeface="Aptos" panose="020B0004020202020204" pitchFamily="34" charset="0"/>
          </a:endParaRPr>
        </a:p>
      </xdr:txBody>
    </xdr:sp>
    <xdr:clientData/>
  </xdr:twoCellAnchor>
  <xdr:twoCellAnchor>
    <xdr:from>
      <xdr:col>19</xdr:col>
      <xdr:colOff>0</xdr:colOff>
      <xdr:row>1</xdr:row>
      <xdr:rowOff>0</xdr:rowOff>
    </xdr:from>
    <xdr:to>
      <xdr:col>22</xdr:col>
      <xdr:colOff>0</xdr:colOff>
      <xdr:row>5</xdr:row>
      <xdr:rowOff>0</xdr:rowOff>
    </xdr:to>
    <xdr:sp macro="" textlink="">
      <xdr:nvSpPr>
        <xdr:cNvPr id="40" name="ZoneTexte 25">
          <a:extLst>
            <a:ext uri="{FF2B5EF4-FFF2-40B4-BE49-F238E27FC236}">
              <a16:creationId xmlns:a16="http://schemas.microsoft.com/office/drawing/2014/main" id="{00000000-0008-0000-0400-000028000000}"/>
            </a:ext>
          </a:extLst>
        </xdr:cNvPr>
        <xdr:cNvSpPr txBox="1"/>
      </xdr:nvSpPr>
      <xdr:spPr>
        <a:xfrm>
          <a:off x="14859000" y="190500"/>
          <a:ext cx="2286000" cy="76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4000" b="1">
              <a:solidFill>
                <a:schemeClr val="accent6">
                  <a:lumMod val="75000"/>
                </a:schemeClr>
              </a:solidFill>
              <a:latin typeface="Aptos" panose="020B0004020202020204" pitchFamily="34" charset="0"/>
            </a:rPr>
            <a:t>Shots</a:t>
          </a:r>
          <a:endParaRPr lang="en-CA" sz="1100" b="1">
            <a:solidFill>
              <a:schemeClr val="accent6">
                <a:lumMod val="75000"/>
              </a:schemeClr>
            </a:solidFill>
            <a:latin typeface="Aptos" panose="020B0004020202020204" pitchFamily="34" charset="0"/>
          </a:endParaRPr>
        </a:p>
      </xdr:txBody>
    </xdr:sp>
    <xdr:clientData/>
  </xdr:twoCellAnchor>
  <xdr:twoCellAnchor editAs="oneCell">
    <xdr:from>
      <xdr:col>5</xdr:col>
      <xdr:colOff>0</xdr:colOff>
      <xdr:row>5</xdr:row>
      <xdr:rowOff>0</xdr:rowOff>
    </xdr:from>
    <xdr:to>
      <xdr:col>7</xdr:col>
      <xdr:colOff>47625</xdr:colOff>
      <xdr:row>16</xdr:row>
      <xdr:rowOff>0</xdr:rowOff>
    </xdr:to>
    <xdr:grpSp>
      <xdr:nvGrpSpPr>
        <xdr:cNvPr id="34" name="Groupe 33">
          <a:extLst>
            <a:ext uri="{FF2B5EF4-FFF2-40B4-BE49-F238E27FC236}">
              <a16:creationId xmlns:a16="http://schemas.microsoft.com/office/drawing/2014/main" id="{00000000-0008-0000-0400-000022000000}"/>
            </a:ext>
          </a:extLst>
        </xdr:cNvPr>
        <xdr:cNvGrpSpPr/>
      </xdr:nvGrpSpPr>
      <xdr:grpSpPr>
        <a:xfrm>
          <a:off x="2809875" y="952500"/>
          <a:ext cx="1857375" cy="2171700"/>
          <a:chOff x="3810000" y="952500"/>
          <a:chExt cx="2667000" cy="2095500"/>
        </a:xfrm>
      </xdr:grpSpPr>
      <xdr:graphicFrame macro="">
        <xdr:nvGraphicFramePr>
          <xdr:cNvPr id="38" name="Graphique 26">
            <a:extLst>
              <a:ext uri="{FF2B5EF4-FFF2-40B4-BE49-F238E27FC236}">
                <a16:creationId xmlns:a16="http://schemas.microsoft.com/office/drawing/2014/main" id="{00000000-0008-0000-0400-000026000000}"/>
              </a:ext>
            </a:extLst>
          </xdr:cNvPr>
          <xdr:cNvGraphicFramePr/>
        </xdr:nvGraphicFramePr>
        <xdr:xfrm>
          <a:off x="3810000" y="952500"/>
          <a:ext cx="2667000" cy="2095500"/>
        </xdr:xfrm>
        <a:graphic>
          <a:graphicData uri="http://schemas.openxmlformats.org/drawingml/2006/chart">
            <c:chart xmlns:c="http://schemas.openxmlformats.org/drawingml/2006/chart" xmlns:r="http://schemas.openxmlformats.org/officeDocument/2006/relationships" r:id="rId3"/>
          </a:graphicData>
        </a:graphic>
      </xdr:graphicFrame>
      <xdr:sp macro="" textlink="_data_!G49">
        <xdr:nvSpPr>
          <xdr:cNvPr id="39" name="ZoneTexte 28">
            <a:extLst>
              <a:ext uri="{FF2B5EF4-FFF2-40B4-BE49-F238E27FC236}">
                <a16:creationId xmlns:a16="http://schemas.microsoft.com/office/drawing/2014/main" id="{00000000-0008-0000-0400-000027000000}"/>
              </a:ext>
            </a:extLst>
          </xdr:cNvPr>
          <xdr:cNvSpPr txBox="1"/>
        </xdr:nvSpPr>
        <xdr:spPr>
          <a:xfrm>
            <a:off x="4162425" y="1076326"/>
            <a:ext cx="2000250" cy="1821680"/>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7CE75-77EE-4510-90A0-B0507ED4BD67}" type="TxLink">
              <a:rPr lang="en-US" sz="2800" b="1" i="0" u="none" strike="noStrike">
                <a:solidFill>
                  <a:srgbClr val="000000"/>
                </a:solidFill>
                <a:latin typeface="Aptos" panose="020B0004020202020204" pitchFamily="34" charset="0"/>
                <a:ea typeface="Calibri"/>
                <a:cs typeface="Calibri"/>
              </a:rPr>
              <a:pPr algn="ctr"/>
              <a:t>99%</a:t>
            </a:fld>
            <a:endParaRPr lang="en-CA" sz="2800" b="1">
              <a:latin typeface="Aptos" panose="020B0004020202020204" pitchFamily="34" charset="0"/>
            </a:endParaRPr>
          </a:p>
        </xdr:txBody>
      </xdr:sp>
    </xdr:grpSp>
    <xdr:clientData/>
  </xdr:twoCellAnchor>
  <xdr:twoCellAnchor editAs="oneCell">
    <xdr:from>
      <xdr:col>19</xdr:col>
      <xdr:colOff>0</xdr:colOff>
      <xdr:row>5</xdr:row>
      <xdr:rowOff>0</xdr:rowOff>
    </xdr:from>
    <xdr:to>
      <xdr:col>22</xdr:col>
      <xdr:colOff>0</xdr:colOff>
      <xdr:row>16</xdr:row>
      <xdr:rowOff>0</xdr:rowOff>
    </xdr:to>
    <xdr:grpSp>
      <xdr:nvGrpSpPr>
        <xdr:cNvPr id="27" name="Groupe 34">
          <a:extLst>
            <a:ext uri="{FF2B5EF4-FFF2-40B4-BE49-F238E27FC236}">
              <a16:creationId xmlns:a16="http://schemas.microsoft.com/office/drawing/2014/main" id="{00000000-0008-0000-0400-00001B000000}"/>
            </a:ext>
          </a:extLst>
        </xdr:cNvPr>
        <xdr:cNvGrpSpPr/>
      </xdr:nvGrpSpPr>
      <xdr:grpSpPr>
        <a:xfrm>
          <a:off x="12049125" y="952500"/>
          <a:ext cx="1857375" cy="2171700"/>
          <a:chOff x="14859000" y="952500"/>
          <a:chExt cx="2286000" cy="2095500"/>
        </a:xfrm>
      </xdr:grpSpPr>
      <xdr:graphicFrame macro="">
        <xdr:nvGraphicFramePr>
          <xdr:cNvPr id="29" name="Graphique 27">
            <a:extLst>
              <a:ext uri="{FF2B5EF4-FFF2-40B4-BE49-F238E27FC236}">
                <a16:creationId xmlns:a16="http://schemas.microsoft.com/office/drawing/2014/main" id="{00000000-0008-0000-0400-00001D000000}"/>
              </a:ext>
            </a:extLst>
          </xdr:cNvPr>
          <xdr:cNvGraphicFramePr/>
        </xdr:nvGraphicFramePr>
        <xdr:xfrm>
          <a:off x="14859000" y="952500"/>
          <a:ext cx="2286000" cy="2095500"/>
        </xdr:xfrm>
        <a:graphic>
          <a:graphicData uri="http://schemas.openxmlformats.org/drawingml/2006/chart">
            <c:chart xmlns:c="http://schemas.openxmlformats.org/drawingml/2006/chart" xmlns:r="http://schemas.openxmlformats.org/officeDocument/2006/relationships" r:id="rId4"/>
          </a:graphicData>
        </a:graphic>
      </xdr:graphicFrame>
      <xdr:sp macro="" textlink="_data_!I49">
        <xdr:nvSpPr>
          <xdr:cNvPr id="30" name="ZoneTexte 30">
            <a:extLst>
              <a:ext uri="{FF2B5EF4-FFF2-40B4-BE49-F238E27FC236}">
                <a16:creationId xmlns:a16="http://schemas.microsoft.com/office/drawing/2014/main" id="{00000000-0008-0000-0400-00001E000000}"/>
              </a:ext>
            </a:extLst>
          </xdr:cNvPr>
          <xdr:cNvSpPr txBox="1"/>
        </xdr:nvSpPr>
        <xdr:spPr>
          <a:xfrm>
            <a:off x="15011400" y="1085851"/>
            <a:ext cx="2000250" cy="1821680"/>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E1D76E-7079-4E28-AE59-8DE617DBFC24}" type="TxLink">
              <a:rPr lang="en-US" sz="2800" b="1" i="0" u="none" strike="noStrike">
                <a:solidFill>
                  <a:srgbClr val="000000"/>
                </a:solidFill>
                <a:latin typeface="Aptos" panose="020B0004020202020204" pitchFamily="34" charset="0"/>
                <a:ea typeface="Calibri"/>
                <a:cs typeface="Calibri"/>
              </a:rPr>
              <a:pPr algn="ctr"/>
              <a:t>63%</a:t>
            </a:fld>
            <a:endParaRPr lang="en-CA" sz="2800" b="1">
              <a:latin typeface="Aptos" panose="020B0004020202020204" pitchFamily="34" charset="0"/>
            </a:endParaRPr>
          </a:p>
        </xdr:txBody>
      </xdr:sp>
    </xdr:grpSp>
    <xdr:clientData/>
  </xdr:twoCellAnchor>
  <xdr:twoCellAnchor editAs="oneCell">
    <xdr:from>
      <xdr:col>9</xdr:col>
      <xdr:colOff>0</xdr:colOff>
      <xdr:row>7</xdr:row>
      <xdr:rowOff>114300</xdr:rowOff>
    </xdr:from>
    <xdr:to>
      <xdr:col>18</xdr:col>
      <xdr:colOff>0</xdr:colOff>
      <xdr:row>29</xdr:row>
      <xdr:rowOff>114300</xdr:rowOff>
    </xdr:to>
    <xdr:grpSp>
      <xdr:nvGrpSpPr>
        <xdr:cNvPr id="36" name="Groupe 35">
          <a:extLst>
            <a:ext uri="{FF2B5EF4-FFF2-40B4-BE49-F238E27FC236}">
              <a16:creationId xmlns:a16="http://schemas.microsoft.com/office/drawing/2014/main" id="{00000000-0008-0000-0400-000024000000}"/>
            </a:ext>
          </a:extLst>
        </xdr:cNvPr>
        <xdr:cNvGrpSpPr/>
      </xdr:nvGrpSpPr>
      <xdr:grpSpPr>
        <a:xfrm>
          <a:off x="5857875" y="1447800"/>
          <a:ext cx="5572125" cy="4314825"/>
          <a:chOff x="9163050" y="2300287"/>
          <a:chExt cx="4572000" cy="2741519"/>
        </a:xfrm>
      </xdr:grpSpPr>
      <xdr:graphicFrame macro="">
        <xdr:nvGraphicFramePr>
          <xdr:cNvPr id="32" name="Graphique 31">
            <a:extLst>
              <a:ext uri="{FF2B5EF4-FFF2-40B4-BE49-F238E27FC236}">
                <a16:creationId xmlns:a16="http://schemas.microsoft.com/office/drawing/2014/main" id="{00000000-0008-0000-0400-000020000000}"/>
              </a:ext>
            </a:extLst>
          </xdr:cNvPr>
          <xdr:cNvGraphicFramePr/>
        </xdr:nvGraphicFramePr>
        <xdr:xfrm>
          <a:off x="9163050" y="2300287"/>
          <a:ext cx="4572000" cy="2741519"/>
        </xdr:xfrm>
        <a:graphic>
          <a:graphicData uri="http://schemas.openxmlformats.org/drawingml/2006/chart">
            <c:chart xmlns:c="http://schemas.openxmlformats.org/drawingml/2006/chart" xmlns:r="http://schemas.openxmlformats.org/officeDocument/2006/relationships" r:id="rId5"/>
          </a:graphicData>
        </a:graphic>
      </xdr:graphicFrame>
      <xdr:sp macro="" textlink="_data_!H49">
        <xdr:nvSpPr>
          <xdr:cNvPr id="33" name="ZoneTexte 32">
            <a:extLst>
              <a:ext uri="{FF2B5EF4-FFF2-40B4-BE49-F238E27FC236}">
                <a16:creationId xmlns:a16="http://schemas.microsoft.com/office/drawing/2014/main" id="{00000000-0008-0000-0400-000021000000}"/>
              </a:ext>
            </a:extLst>
          </xdr:cNvPr>
          <xdr:cNvSpPr txBox="1"/>
        </xdr:nvSpPr>
        <xdr:spPr>
          <a:xfrm>
            <a:off x="10468535" y="2751046"/>
            <a:ext cx="2000250" cy="1821680"/>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3604C88-4AD6-42BF-88D4-79113C9957F2}" type="TxLink">
              <a:rPr lang="en-US" sz="4400" b="1" i="0" u="none" strike="noStrike">
                <a:solidFill>
                  <a:srgbClr val="000000"/>
                </a:solidFill>
                <a:latin typeface="Aptos" panose="020B0004020202020204" pitchFamily="34" charset="0"/>
                <a:ea typeface="Calibri"/>
                <a:cs typeface="Calibri"/>
              </a:rPr>
              <a:pPr algn="ctr"/>
              <a:t>80%</a:t>
            </a:fld>
            <a:endParaRPr lang="en-CA" sz="4400" b="1">
              <a:latin typeface="Aptos" panose="020B0004020202020204" pitchFamily="34" charset="0"/>
            </a:endParaRPr>
          </a:p>
        </xdr:txBody>
      </xdr:sp>
    </xdr:grpSp>
    <xdr:clientData/>
  </xdr:twoCellAnchor>
  <xdr:twoCellAnchor>
    <xdr:from>
      <xdr:col>9</xdr:col>
      <xdr:colOff>0</xdr:colOff>
      <xdr:row>37</xdr:row>
      <xdr:rowOff>0</xdr:rowOff>
    </xdr:from>
    <xdr:to>
      <xdr:col>10</xdr:col>
      <xdr:colOff>504824</xdr:colOff>
      <xdr:row>39</xdr:row>
      <xdr:rowOff>0</xdr:rowOff>
    </xdr:to>
    <xdr:sp macro="" textlink="_data_!$L$49">
      <xdr:nvSpPr>
        <xdr:cNvPr id="42" name="ZoneTexte 41">
          <a:extLst>
            <a:ext uri="{FF2B5EF4-FFF2-40B4-BE49-F238E27FC236}">
              <a16:creationId xmlns:a16="http://schemas.microsoft.com/office/drawing/2014/main" id="{00000000-0008-0000-0400-00002A000000}"/>
            </a:ext>
          </a:extLst>
        </xdr:cNvPr>
        <xdr:cNvSpPr txBox="1"/>
      </xdr:nvSpPr>
      <xdr:spPr>
        <a:xfrm>
          <a:off x="5857875" y="7172325"/>
          <a:ext cx="1123949"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B2E146EF-672A-4DE7-ADD9-AF6DFA3021F5}" type="TxLink">
            <a:rPr lang="en-US" sz="1100" b="0" i="0" u="none" strike="noStrike">
              <a:solidFill>
                <a:srgbClr val="000000"/>
              </a:solidFill>
              <a:latin typeface="Aptos"/>
            </a:rPr>
            <a:pPr algn="ctr"/>
            <a:t>P-A</a:t>
          </a:fld>
          <a:endParaRPr lang="en-CA" sz="2000">
            <a:solidFill>
              <a:schemeClr val="accent6">
                <a:lumMod val="75000"/>
              </a:schemeClr>
            </a:solidFill>
            <a:latin typeface="Aptos" panose="020B0004020202020204" pitchFamily="34" charset="0"/>
          </a:endParaRPr>
        </a:p>
      </xdr:txBody>
    </xdr:sp>
    <xdr:clientData/>
  </xdr:twoCellAnchor>
  <xdr:twoCellAnchor>
    <xdr:from>
      <xdr:col>12</xdr:col>
      <xdr:colOff>342900</xdr:colOff>
      <xdr:row>37</xdr:row>
      <xdr:rowOff>0</xdr:rowOff>
    </xdr:from>
    <xdr:to>
      <xdr:col>14</xdr:col>
      <xdr:colOff>276225</xdr:colOff>
      <xdr:row>39</xdr:row>
      <xdr:rowOff>0</xdr:rowOff>
    </xdr:to>
    <xdr:sp macro="" textlink="_data_!$L$51">
      <xdr:nvSpPr>
        <xdr:cNvPr id="43" name="ZoneTexte 42">
          <a:extLst>
            <a:ext uri="{FF2B5EF4-FFF2-40B4-BE49-F238E27FC236}">
              <a16:creationId xmlns:a16="http://schemas.microsoft.com/office/drawing/2014/main" id="{00000000-0008-0000-0400-00002B000000}"/>
            </a:ext>
          </a:extLst>
        </xdr:cNvPr>
        <xdr:cNvSpPr txBox="1"/>
      </xdr:nvSpPr>
      <xdr:spPr>
        <a:xfrm>
          <a:off x="8058150" y="7172325"/>
          <a:ext cx="117157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11188C6F-6C56-4CB5-8F8B-28E0399F5BC8}" type="TxLink">
            <a:rPr lang="en-US" sz="1100" b="0" i="0" u="none" strike="noStrike">
              <a:solidFill>
                <a:srgbClr val="000000"/>
              </a:solidFill>
              <a:latin typeface="Aptos"/>
            </a:rPr>
            <a:pPr algn="ctr"/>
            <a:t>AnnLau</a:t>
          </a:fld>
          <a:endParaRPr lang="en-CA" sz="2000">
            <a:solidFill>
              <a:schemeClr val="accent6">
                <a:lumMod val="75000"/>
              </a:schemeClr>
            </a:solidFill>
            <a:latin typeface="Aptos" panose="020B0004020202020204" pitchFamily="34" charset="0"/>
          </a:endParaRPr>
        </a:p>
      </xdr:txBody>
    </xdr:sp>
    <xdr:clientData/>
  </xdr:twoCellAnchor>
  <xdr:twoCellAnchor>
    <xdr:from>
      <xdr:col>14</xdr:col>
      <xdr:colOff>266700</xdr:colOff>
      <xdr:row>37</xdr:row>
      <xdr:rowOff>1</xdr:rowOff>
    </xdr:from>
    <xdr:to>
      <xdr:col>16</xdr:col>
      <xdr:colOff>66675</xdr:colOff>
      <xdr:row>39</xdr:row>
      <xdr:rowOff>1</xdr:rowOff>
    </xdr:to>
    <xdr:sp macro="" textlink="_data_!$L$52">
      <xdr:nvSpPr>
        <xdr:cNvPr id="44" name="ZoneTexte 43">
          <a:extLst>
            <a:ext uri="{FF2B5EF4-FFF2-40B4-BE49-F238E27FC236}">
              <a16:creationId xmlns:a16="http://schemas.microsoft.com/office/drawing/2014/main" id="{00000000-0008-0000-0400-00002C000000}"/>
            </a:ext>
          </a:extLst>
        </xdr:cNvPr>
        <xdr:cNvSpPr txBox="1"/>
      </xdr:nvSpPr>
      <xdr:spPr>
        <a:xfrm>
          <a:off x="9220200" y="7172326"/>
          <a:ext cx="103822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012B17DC-8516-4809-B010-640D8F1E385A}" type="TxLink">
            <a:rPr lang="en-US" sz="1100" b="0" i="0" u="none" strike="noStrike">
              <a:solidFill>
                <a:srgbClr val="000000"/>
              </a:solidFill>
              <a:latin typeface="Aptos"/>
            </a:rPr>
            <a:pPr algn="ctr"/>
            <a:t>Jacob</a:t>
          </a:fld>
          <a:endParaRPr lang="en-CA" sz="2000">
            <a:solidFill>
              <a:schemeClr val="accent6">
                <a:lumMod val="75000"/>
              </a:schemeClr>
            </a:solidFill>
            <a:latin typeface="Aptos" panose="020B0004020202020204" pitchFamily="34" charset="0"/>
          </a:endParaRPr>
        </a:p>
      </xdr:txBody>
    </xdr:sp>
    <xdr:clientData/>
  </xdr:twoCellAnchor>
  <xdr:twoCellAnchor>
    <xdr:from>
      <xdr:col>10</xdr:col>
      <xdr:colOff>504825</xdr:colOff>
      <xdr:row>37</xdr:row>
      <xdr:rowOff>0</xdr:rowOff>
    </xdr:from>
    <xdr:to>
      <xdr:col>12</xdr:col>
      <xdr:colOff>342900</xdr:colOff>
      <xdr:row>39</xdr:row>
      <xdr:rowOff>0</xdr:rowOff>
    </xdr:to>
    <xdr:sp macro="" textlink="_data_!$L$50">
      <xdr:nvSpPr>
        <xdr:cNvPr id="45" name="ZoneTexte 44">
          <a:extLst>
            <a:ext uri="{FF2B5EF4-FFF2-40B4-BE49-F238E27FC236}">
              <a16:creationId xmlns:a16="http://schemas.microsoft.com/office/drawing/2014/main" id="{00000000-0008-0000-0400-00002D000000}"/>
            </a:ext>
          </a:extLst>
        </xdr:cNvPr>
        <xdr:cNvSpPr txBox="1"/>
      </xdr:nvSpPr>
      <xdr:spPr>
        <a:xfrm>
          <a:off x="6981825" y="7172325"/>
          <a:ext cx="107632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5B579F03-2D09-4089-84DB-46A44D17A38B}" type="TxLink">
            <a:rPr lang="en-US" sz="1100" b="0" i="0" u="none" strike="noStrike">
              <a:solidFill>
                <a:srgbClr val="000000"/>
              </a:solidFill>
              <a:latin typeface="Aptos"/>
            </a:rPr>
            <a:pPr algn="ctr"/>
            <a:t>Fred</a:t>
          </a:fld>
          <a:endParaRPr lang="en-CA" sz="2000">
            <a:solidFill>
              <a:schemeClr val="accent6">
                <a:lumMod val="75000"/>
              </a:schemeClr>
            </a:solidFill>
            <a:latin typeface="Aptos" panose="020B0004020202020204" pitchFamily="34" charset="0"/>
          </a:endParaRPr>
        </a:p>
      </xdr:txBody>
    </xdr:sp>
    <xdr:clientData/>
  </xdr:twoCellAnchor>
  <xdr:twoCellAnchor>
    <xdr:from>
      <xdr:col>16</xdr:col>
      <xdr:colOff>66675</xdr:colOff>
      <xdr:row>37</xdr:row>
      <xdr:rowOff>0</xdr:rowOff>
    </xdr:from>
    <xdr:to>
      <xdr:col>18</xdr:col>
      <xdr:colOff>0</xdr:colOff>
      <xdr:row>39</xdr:row>
      <xdr:rowOff>0</xdr:rowOff>
    </xdr:to>
    <xdr:sp macro="" textlink="_data_!$L$53">
      <xdr:nvSpPr>
        <xdr:cNvPr id="46" name="ZoneTexte 45">
          <a:extLst>
            <a:ext uri="{FF2B5EF4-FFF2-40B4-BE49-F238E27FC236}">
              <a16:creationId xmlns:a16="http://schemas.microsoft.com/office/drawing/2014/main" id="{00000000-0008-0000-0400-00002E000000}"/>
            </a:ext>
          </a:extLst>
        </xdr:cNvPr>
        <xdr:cNvSpPr txBox="1"/>
      </xdr:nvSpPr>
      <xdr:spPr>
        <a:xfrm>
          <a:off x="10258425" y="7172325"/>
          <a:ext cx="117157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5EDBD08F-7C3D-494F-B4EA-829C383A6A97}" type="TxLink">
            <a:rPr lang="en-US" sz="1100" b="0" i="0" u="none" strike="noStrike">
              <a:solidFill>
                <a:srgbClr val="000000"/>
              </a:solidFill>
              <a:latin typeface="Aptos"/>
            </a:rPr>
            <a:pPr algn="ctr"/>
            <a:t>Mym</a:t>
          </a:fld>
          <a:endParaRPr lang="en-CA" sz="2000">
            <a:solidFill>
              <a:schemeClr val="accent6">
                <a:lumMod val="75000"/>
              </a:schemeClr>
            </a:solidFill>
            <a:latin typeface="Aptos" panose="020B0004020202020204" pitchFamily="34" charset="0"/>
          </a:endParaRPr>
        </a:p>
      </xdr:txBody>
    </xdr:sp>
    <xdr:clientData/>
  </xdr:twoCellAnchor>
  <xdr:twoCellAnchor>
    <xdr:from>
      <xdr:col>9</xdr:col>
      <xdr:colOff>0</xdr:colOff>
      <xdr:row>39</xdr:row>
      <xdr:rowOff>0</xdr:rowOff>
    </xdr:from>
    <xdr:to>
      <xdr:col>10</xdr:col>
      <xdr:colOff>504825</xdr:colOff>
      <xdr:row>41</xdr:row>
      <xdr:rowOff>0</xdr:rowOff>
    </xdr:to>
    <xdr:sp macro="" textlink="_data_!$O$49">
      <xdr:nvSpPr>
        <xdr:cNvPr id="47" name="ZoneTexte 46">
          <a:extLst>
            <a:ext uri="{FF2B5EF4-FFF2-40B4-BE49-F238E27FC236}">
              <a16:creationId xmlns:a16="http://schemas.microsoft.com/office/drawing/2014/main" id="{00000000-0008-0000-0400-00002F000000}"/>
            </a:ext>
          </a:extLst>
        </xdr:cNvPr>
        <xdr:cNvSpPr txBox="1"/>
      </xdr:nvSpPr>
      <xdr:spPr>
        <a:xfrm>
          <a:off x="5857875" y="7553325"/>
          <a:ext cx="1123950"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C69ECC48-AD5D-4B2B-8C38-DEB22139E12C}" type="TxLink">
            <a:rPr lang="en-US" sz="1100" b="1" i="0" u="none" strike="noStrike">
              <a:solidFill>
                <a:srgbClr val="000000"/>
              </a:solidFill>
              <a:latin typeface="Aptos"/>
            </a:rPr>
            <a:pPr algn="ctr"/>
            <a:t>211 hrs</a:t>
          </a:fld>
          <a:endParaRPr lang="en-CA" sz="2000" b="1">
            <a:solidFill>
              <a:schemeClr val="accent6">
                <a:lumMod val="75000"/>
              </a:schemeClr>
            </a:solidFill>
            <a:latin typeface="Aptos" panose="020B0004020202020204" pitchFamily="34" charset="0"/>
          </a:endParaRPr>
        </a:p>
      </xdr:txBody>
    </xdr:sp>
    <xdr:clientData/>
  </xdr:twoCellAnchor>
  <xdr:twoCellAnchor>
    <xdr:from>
      <xdr:col>12</xdr:col>
      <xdr:colOff>342900</xdr:colOff>
      <xdr:row>39</xdr:row>
      <xdr:rowOff>0</xdr:rowOff>
    </xdr:from>
    <xdr:to>
      <xdr:col>14</xdr:col>
      <xdr:colOff>266700</xdr:colOff>
      <xdr:row>41</xdr:row>
      <xdr:rowOff>0</xdr:rowOff>
    </xdr:to>
    <xdr:sp macro="" textlink="_data_!$O$51">
      <xdr:nvSpPr>
        <xdr:cNvPr id="48" name="ZoneTexte 47">
          <a:extLst>
            <a:ext uri="{FF2B5EF4-FFF2-40B4-BE49-F238E27FC236}">
              <a16:creationId xmlns:a16="http://schemas.microsoft.com/office/drawing/2014/main" id="{00000000-0008-0000-0400-000030000000}"/>
            </a:ext>
          </a:extLst>
        </xdr:cNvPr>
        <xdr:cNvSpPr txBox="1"/>
      </xdr:nvSpPr>
      <xdr:spPr>
        <a:xfrm>
          <a:off x="8058150" y="7553325"/>
          <a:ext cx="1162050"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3C2F8EA1-9A1A-49E2-BA83-8313E4F5C53B}" type="TxLink">
            <a:rPr lang="en-US" sz="1100" b="1" i="0" u="none" strike="noStrike">
              <a:solidFill>
                <a:srgbClr val="000000"/>
              </a:solidFill>
              <a:latin typeface="Aptos"/>
            </a:rPr>
            <a:pPr algn="ctr"/>
            <a:t>-178 hrs</a:t>
          </a:fld>
          <a:endParaRPr lang="en-CA" sz="2000" b="1">
            <a:solidFill>
              <a:schemeClr val="accent6">
                <a:lumMod val="75000"/>
              </a:schemeClr>
            </a:solidFill>
            <a:latin typeface="Aptos" panose="020B0004020202020204" pitchFamily="34" charset="0"/>
          </a:endParaRPr>
        </a:p>
      </xdr:txBody>
    </xdr:sp>
    <xdr:clientData/>
  </xdr:twoCellAnchor>
  <xdr:twoCellAnchor>
    <xdr:from>
      <xdr:col>14</xdr:col>
      <xdr:colOff>266700</xdr:colOff>
      <xdr:row>39</xdr:row>
      <xdr:rowOff>0</xdr:rowOff>
    </xdr:from>
    <xdr:to>
      <xdr:col>16</xdr:col>
      <xdr:colOff>66675</xdr:colOff>
      <xdr:row>41</xdr:row>
      <xdr:rowOff>0</xdr:rowOff>
    </xdr:to>
    <xdr:sp macro="" textlink="_data_!$O$52">
      <xdr:nvSpPr>
        <xdr:cNvPr id="49" name="ZoneTexte 48">
          <a:extLst>
            <a:ext uri="{FF2B5EF4-FFF2-40B4-BE49-F238E27FC236}">
              <a16:creationId xmlns:a16="http://schemas.microsoft.com/office/drawing/2014/main" id="{00000000-0008-0000-0400-000031000000}"/>
            </a:ext>
          </a:extLst>
        </xdr:cNvPr>
        <xdr:cNvSpPr txBox="1"/>
      </xdr:nvSpPr>
      <xdr:spPr>
        <a:xfrm>
          <a:off x="9220200" y="7553325"/>
          <a:ext cx="103822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6DF98095-5691-4661-A56B-69F9F8165B0B}" type="TxLink">
            <a:rPr lang="en-US" sz="1100" b="1" i="0" u="none" strike="noStrike">
              <a:solidFill>
                <a:srgbClr val="000000"/>
              </a:solidFill>
              <a:latin typeface="Aptos"/>
            </a:rPr>
            <a:pPr algn="ctr"/>
            <a:t>-22 hrs</a:t>
          </a:fld>
          <a:endParaRPr lang="en-CA" sz="2000" b="1">
            <a:solidFill>
              <a:schemeClr val="accent6">
                <a:lumMod val="75000"/>
              </a:schemeClr>
            </a:solidFill>
            <a:latin typeface="Aptos" panose="020B0004020202020204" pitchFamily="34" charset="0"/>
          </a:endParaRPr>
        </a:p>
      </xdr:txBody>
    </xdr:sp>
    <xdr:clientData/>
  </xdr:twoCellAnchor>
  <xdr:twoCellAnchor>
    <xdr:from>
      <xdr:col>10</xdr:col>
      <xdr:colOff>504824</xdr:colOff>
      <xdr:row>39</xdr:row>
      <xdr:rowOff>0</xdr:rowOff>
    </xdr:from>
    <xdr:to>
      <xdr:col>12</xdr:col>
      <xdr:colOff>342899</xdr:colOff>
      <xdr:row>41</xdr:row>
      <xdr:rowOff>0</xdr:rowOff>
    </xdr:to>
    <xdr:sp macro="" textlink="_data_!$O$50">
      <xdr:nvSpPr>
        <xdr:cNvPr id="50" name="ZoneTexte 49">
          <a:extLst>
            <a:ext uri="{FF2B5EF4-FFF2-40B4-BE49-F238E27FC236}">
              <a16:creationId xmlns:a16="http://schemas.microsoft.com/office/drawing/2014/main" id="{00000000-0008-0000-0400-000032000000}"/>
            </a:ext>
          </a:extLst>
        </xdr:cNvPr>
        <xdr:cNvSpPr txBox="1"/>
      </xdr:nvSpPr>
      <xdr:spPr>
        <a:xfrm>
          <a:off x="6981824" y="7553325"/>
          <a:ext cx="107632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4E03CA7A-08FF-4E76-BCDC-580913C6A1DA}" type="TxLink">
            <a:rPr lang="en-US" sz="1100" b="1" i="0" u="none" strike="noStrike">
              <a:solidFill>
                <a:srgbClr val="000000"/>
              </a:solidFill>
              <a:latin typeface="Aptos"/>
            </a:rPr>
            <a:pPr algn="ctr"/>
            <a:t>265 hrs</a:t>
          </a:fld>
          <a:endParaRPr lang="en-CA" sz="2000" b="1">
            <a:solidFill>
              <a:schemeClr val="accent6">
                <a:lumMod val="75000"/>
              </a:schemeClr>
            </a:solidFill>
            <a:latin typeface="Aptos" panose="020B0004020202020204" pitchFamily="34" charset="0"/>
          </a:endParaRPr>
        </a:p>
      </xdr:txBody>
    </xdr:sp>
    <xdr:clientData/>
  </xdr:twoCellAnchor>
  <xdr:twoCellAnchor>
    <xdr:from>
      <xdr:col>16</xdr:col>
      <xdr:colOff>66675</xdr:colOff>
      <xdr:row>39</xdr:row>
      <xdr:rowOff>0</xdr:rowOff>
    </xdr:from>
    <xdr:to>
      <xdr:col>18</xdr:col>
      <xdr:colOff>0</xdr:colOff>
      <xdr:row>41</xdr:row>
      <xdr:rowOff>0</xdr:rowOff>
    </xdr:to>
    <xdr:sp macro="" textlink="_data_!$O$53">
      <xdr:nvSpPr>
        <xdr:cNvPr id="51" name="ZoneTexte 50">
          <a:extLst>
            <a:ext uri="{FF2B5EF4-FFF2-40B4-BE49-F238E27FC236}">
              <a16:creationId xmlns:a16="http://schemas.microsoft.com/office/drawing/2014/main" id="{00000000-0008-0000-0400-000033000000}"/>
            </a:ext>
          </a:extLst>
        </xdr:cNvPr>
        <xdr:cNvSpPr txBox="1"/>
      </xdr:nvSpPr>
      <xdr:spPr>
        <a:xfrm>
          <a:off x="10258425" y="7553325"/>
          <a:ext cx="1171575" cy="381000"/>
        </a:xfrm>
        <a:prstGeom prst="rect">
          <a:avLst/>
        </a:prstGeom>
        <a:ln/>
      </xdr:spPr>
      <xdr:style>
        <a:lnRef idx="2">
          <a:schemeClr val="accent3"/>
        </a:lnRef>
        <a:fillRef idx="1">
          <a:schemeClr val="lt1"/>
        </a:fillRef>
        <a:effectRef idx="0">
          <a:schemeClr val="accent3"/>
        </a:effectRef>
        <a:fontRef idx="minor">
          <a:schemeClr val="dk1"/>
        </a:fontRef>
      </xdr:style>
      <xdr:txBody>
        <a:bodyPr vertOverflow="clip" horzOverflow="clip" wrap="square" rtlCol="0" anchor="ctr"/>
        <a:lstStyle/>
        <a:p>
          <a:pPr algn="ctr"/>
          <a:fld id="{26A66F99-53B9-4DFB-BEA8-2011D24D6403}" type="TxLink">
            <a:rPr lang="en-US" sz="1100" b="1" i="0" u="none" strike="noStrike">
              <a:solidFill>
                <a:srgbClr val="000000"/>
              </a:solidFill>
              <a:latin typeface="Aptos"/>
            </a:rPr>
            <a:pPr algn="ctr"/>
            <a:t>-68 hrs</a:t>
          </a:fld>
          <a:endParaRPr lang="en-CA" sz="2000" b="1">
            <a:solidFill>
              <a:schemeClr val="accent6">
                <a:lumMod val="75000"/>
              </a:schemeClr>
            </a:solidFill>
            <a:latin typeface="Aptos" panose="020B0004020202020204" pitchFamily="34" charset="0"/>
          </a:endParaRPr>
        </a:p>
      </xdr:txBody>
    </xdr:sp>
    <xdr:clientData/>
  </xdr:twoCellAnchor>
  <xdr:twoCellAnchor>
    <xdr:from>
      <xdr:col>5</xdr:col>
      <xdr:colOff>0</xdr:colOff>
      <xdr:row>4</xdr:row>
      <xdr:rowOff>0</xdr:rowOff>
    </xdr:from>
    <xdr:to>
      <xdr:col>7</xdr:col>
      <xdr:colOff>0</xdr:colOff>
      <xdr:row>6</xdr:row>
      <xdr:rowOff>0</xdr:rowOff>
    </xdr:to>
    <xdr:sp macro="" textlink="_data_!G57">
      <xdr:nvSpPr>
        <xdr:cNvPr id="79" name="ZoneTexte 9">
          <a:extLst>
            <a:ext uri="{FF2B5EF4-FFF2-40B4-BE49-F238E27FC236}">
              <a16:creationId xmlns:a16="http://schemas.microsoft.com/office/drawing/2014/main" id="{00000000-0008-0000-0400-00004F000000}"/>
            </a:ext>
          </a:extLst>
        </xdr:cNvPr>
        <xdr:cNvSpPr txBox="1"/>
      </xdr:nvSpPr>
      <xdr:spPr>
        <a:xfrm>
          <a:off x="2809875" y="762000"/>
          <a:ext cx="18097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1B47C2-E682-4361-A2D8-C347F7503F66}" type="TxLink">
            <a:rPr lang="en-US" sz="1800" b="0" i="0" u="none" strike="noStrike">
              <a:solidFill>
                <a:srgbClr val="000000"/>
              </a:solidFill>
              <a:latin typeface="Aptos"/>
            </a:rPr>
            <a:pPr algn="ctr"/>
            <a:t>11</a:t>
          </a:fld>
          <a:endParaRPr lang="en-CA" sz="28700">
            <a:solidFill>
              <a:schemeClr val="accent6">
                <a:lumMod val="75000"/>
              </a:schemeClr>
            </a:solidFill>
            <a:latin typeface="Aptos" panose="020B0004020202020204" pitchFamily="34" charset="0"/>
          </a:endParaRPr>
        </a:p>
      </xdr:txBody>
    </xdr:sp>
    <xdr:clientData/>
  </xdr:twoCellAnchor>
  <xdr:twoCellAnchor>
    <xdr:from>
      <xdr:col>19</xdr:col>
      <xdr:colOff>47625</xdr:colOff>
      <xdr:row>4</xdr:row>
      <xdr:rowOff>0</xdr:rowOff>
    </xdr:from>
    <xdr:to>
      <xdr:col>22</xdr:col>
      <xdr:colOff>0</xdr:colOff>
      <xdr:row>6</xdr:row>
      <xdr:rowOff>0</xdr:rowOff>
    </xdr:to>
    <xdr:sp macro="" textlink="_data_!I57">
      <xdr:nvSpPr>
        <xdr:cNvPr id="91" name="ZoneTexte 14">
          <a:extLst>
            <a:ext uri="{FF2B5EF4-FFF2-40B4-BE49-F238E27FC236}">
              <a16:creationId xmlns:a16="http://schemas.microsoft.com/office/drawing/2014/main" id="{00000000-0008-0000-0400-00005B000000}"/>
            </a:ext>
          </a:extLst>
        </xdr:cNvPr>
        <xdr:cNvSpPr txBox="1"/>
      </xdr:nvSpPr>
      <xdr:spPr>
        <a:xfrm>
          <a:off x="12096750" y="762000"/>
          <a:ext cx="18097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58A8339-7025-4537-AEA3-B2DC1DA02A61}" type="TxLink">
            <a:rPr lang="en-US" sz="1800" b="0" i="0" u="none" strike="noStrike">
              <a:solidFill>
                <a:srgbClr val="000000"/>
              </a:solidFill>
              <a:latin typeface="Aptos"/>
            </a:rPr>
            <a:pPr algn="ctr"/>
            <a:t>422</a:t>
          </a:fld>
          <a:endParaRPr lang="en-CA" sz="59500">
            <a:solidFill>
              <a:schemeClr val="accent6">
                <a:lumMod val="75000"/>
              </a:schemeClr>
            </a:solidFill>
            <a:latin typeface="Aptos" panose="020B0004020202020204" pitchFamily="34" charset="0"/>
          </a:endParaRPr>
        </a:p>
      </xdr:txBody>
    </xdr:sp>
    <xdr:clientData/>
  </xdr:twoCellAnchor>
  <xdr:twoCellAnchor>
    <xdr:from>
      <xdr:col>12</xdr:col>
      <xdr:colOff>0</xdr:colOff>
      <xdr:row>13</xdr:row>
      <xdr:rowOff>0</xdr:rowOff>
    </xdr:from>
    <xdr:to>
      <xdr:col>14</xdr:col>
      <xdr:colOff>571500</xdr:colOff>
      <xdr:row>15</xdr:row>
      <xdr:rowOff>0</xdr:rowOff>
    </xdr:to>
    <xdr:sp macro="" textlink="_data_!H57">
      <xdr:nvSpPr>
        <xdr:cNvPr id="99" name="ZoneTexte 15">
          <a:extLst>
            <a:ext uri="{FF2B5EF4-FFF2-40B4-BE49-F238E27FC236}">
              <a16:creationId xmlns:a16="http://schemas.microsoft.com/office/drawing/2014/main" id="{00000000-0008-0000-0400-000063000000}"/>
            </a:ext>
          </a:extLst>
        </xdr:cNvPr>
        <xdr:cNvSpPr txBox="1"/>
      </xdr:nvSpPr>
      <xdr:spPr>
        <a:xfrm>
          <a:off x="7715250" y="2476500"/>
          <a:ext cx="18097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0DDB03-03AD-4674-B237-76B59B76CB5F}" type="TxLink">
            <a:rPr lang="en-US" sz="1800" b="0" i="0" u="none" strike="noStrike">
              <a:solidFill>
                <a:srgbClr val="000000"/>
              </a:solidFill>
              <a:latin typeface="Aptos"/>
            </a:rPr>
            <a:pPr algn="ctr"/>
            <a:t>433</a:t>
          </a:fld>
          <a:endParaRPr lang="en-CA" sz="123400">
            <a:solidFill>
              <a:schemeClr val="accent6">
                <a:lumMod val="75000"/>
              </a:schemeClr>
            </a:solidFill>
            <a:latin typeface="Aptos" panose="020B0004020202020204" pitchFamily="34" charset="0"/>
          </a:endParaRPr>
        </a:p>
      </xdr:txBody>
    </xdr:sp>
    <xdr:clientData/>
  </xdr:twoCellAnchor>
  <xdr:twoCellAnchor>
    <xdr:from>
      <xdr:col>8</xdr:col>
      <xdr:colOff>621195</xdr:colOff>
      <xdr:row>47</xdr:row>
      <xdr:rowOff>0</xdr:rowOff>
    </xdr:from>
    <xdr:to>
      <xdr:col>18</xdr:col>
      <xdr:colOff>0</xdr:colOff>
      <xdr:row>62</xdr:row>
      <xdr:rowOff>0</xdr:rowOff>
    </xdr:to>
    <xdr:graphicFrame macro="">
      <xdr:nvGraphicFramePr>
        <xdr:cNvPr id="96" name="Graphique 5">
          <a:extLst>
            <a:ext uri="{FF2B5EF4-FFF2-40B4-BE49-F238E27FC236}">
              <a16:creationId xmlns:a16="http://schemas.microsoft.com/office/drawing/2014/main" id="{00000000-0008-0000-0400-00006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0</xdr:colOff>
      <xdr:row>4</xdr:row>
      <xdr:rowOff>0</xdr:rowOff>
    </xdr:from>
    <xdr:to>
      <xdr:col>7</xdr:col>
      <xdr:colOff>0</xdr:colOff>
      <xdr:row>6</xdr:row>
      <xdr:rowOff>0</xdr:rowOff>
    </xdr:to>
    <xdr:sp macro="" textlink="_data_!G58">
      <xdr:nvSpPr>
        <xdr:cNvPr id="120" name="ZoneTexte 9">
          <a:extLst>
            <a:ext uri="{FF2B5EF4-FFF2-40B4-BE49-F238E27FC236}">
              <a16:creationId xmlns:a16="http://schemas.microsoft.com/office/drawing/2014/main" id="{00000000-0008-0000-0400-000078000000}"/>
            </a:ext>
          </a:extLst>
        </xdr:cNvPr>
        <xdr:cNvSpPr txBox="1"/>
      </xdr:nvSpPr>
      <xdr:spPr>
        <a:xfrm>
          <a:off x="2809875" y="762000"/>
          <a:ext cx="18097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5FCEF4-F5AB-421D-BA95-D1DCAB8C44DA}" type="TxLink">
            <a:rPr lang="en-US" sz="1600" b="0" i="0" u="none" strike="noStrike">
              <a:solidFill>
                <a:srgbClr val="000000"/>
              </a:solidFill>
              <a:latin typeface="Aptos"/>
            </a:rPr>
            <a:pPr algn="ctr"/>
            <a:t>11 hrs</a:t>
          </a:fld>
          <a:endParaRPr lang="en-CA" sz="49600">
            <a:solidFill>
              <a:schemeClr val="accent6">
                <a:lumMod val="75000"/>
              </a:schemeClr>
            </a:solidFill>
            <a:latin typeface="Aptos" panose="020B0004020202020204" pitchFamily="34" charset="0"/>
          </a:endParaRPr>
        </a:p>
      </xdr:txBody>
    </xdr:sp>
    <xdr:clientData/>
  </xdr:twoCellAnchor>
  <xdr:twoCellAnchor>
    <xdr:from>
      <xdr:col>19</xdr:col>
      <xdr:colOff>47625</xdr:colOff>
      <xdr:row>4</xdr:row>
      <xdr:rowOff>0</xdr:rowOff>
    </xdr:from>
    <xdr:to>
      <xdr:col>22</xdr:col>
      <xdr:colOff>0</xdr:colOff>
      <xdr:row>6</xdr:row>
      <xdr:rowOff>0</xdr:rowOff>
    </xdr:to>
    <xdr:sp macro="" textlink="_data_!I58">
      <xdr:nvSpPr>
        <xdr:cNvPr id="122" name="ZoneTexte 14">
          <a:extLst>
            <a:ext uri="{FF2B5EF4-FFF2-40B4-BE49-F238E27FC236}">
              <a16:creationId xmlns:a16="http://schemas.microsoft.com/office/drawing/2014/main" id="{00000000-0008-0000-0400-00007A000000}"/>
            </a:ext>
          </a:extLst>
        </xdr:cNvPr>
        <xdr:cNvSpPr txBox="1"/>
      </xdr:nvSpPr>
      <xdr:spPr>
        <a:xfrm>
          <a:off x="12096750" y="762000"/>
          <a:ext cx="18097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6B2398-C543-47D5-AF0E-1B8765BE47CD}" type="TxLink">
            <a:rPr lang="en-US" sz="1600" b="0" i="0" u="none" strike="noStrike">
              <a:solidFill>
                <a:srgbClr val="000000"/>
              </a:solidFill>
              <a:latin typeface="Aptos"/>
            </a:rPr>
            <a:pPr algn="ctr"/>
            <a:t>422 hrs</a:t>
          </a:fld>
          <a:endParaRPr lang="en-CA" sz="102800">
            <a:solidFill>
              <a:schemeClr val="accent6">
                <a:lumMod val="75000"/>
              </a:schemeClr>
            </a:solidFill>
            <a:latin typeface="Aptos" panose="020B0004020202020204" pitchFamily="34" charset="0"/>
          </a:endParaRPr>
        </a:p>
      </xdr:txBody>
    </xdr:sp>
    <xdr:clientData/>
  </xdr:twoCellAnchor>
  <xdr:twoCellAnchor>
    <xdr:from>
      <xdr:col>12</xdr:col>
      <xdr:colOff>0</xdr:colOff>
      <xdr:row>13</xdr:row>
      <xdr:rowOff>0</xdr:rowOff>
    </xdr:from>
    <xdr:to>
      <xdr:col>14</xdr:col>
      <xdr:colOff>571500</xdr:colOff>
      <xdr:row>15</xdr:row>
      <xdr:rowOff>0</xdr:rowOff>
    </xdr:to>
    <xdr:sp macro="" textlink="_data_!H58">
      <xdr:nvSpPr>
        <xdr:cNvPr id="124" name="ZoneTexte 15">
          <a:extLst>
            <a:ext uri="{FF2B5EF4-FFF2-40B4-BE49-F238E27FC236}">
              <a16:creationId xmlns:a16="http://schemas.microsoft.com/office/drawing/2014/main" id="{00000000-0008-0000-0400-00007C000000}"/>
            </a:ext>
          </a:extLst>
        </xdr:cNvPr>
        <xdr:cNvSpPr txBox="1"/>
      </xdr:nvSpPr>
      <xdr:spPr>
        <a:xfrm>
          <a:off x="7715250" y="2476500"/>
          <a:ext cx="180975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10618E-32DA-47A6-AB37-3EF6C610E9E2}" type="TxLink">
            <a:rPr lang="en-US" sz="2400" b="0" i="0" u="none" strike="noStrike">
              <a:solidFill>
                <a:srgbClr val="000000"/>
              </a:solidFill>
              <a:latin typeface="Aptos"/>
            </a:rPr>
            <a:pPr algn="ctr"/>
            <a:t>433 hrs</a:t>
          </a:fld>
          <a:endParaRPr lang="en-CA" sz="368400">
            <a:solidFill>
              <a:schemeClr val="accent6">
                <a:lumMod val="75000"/>
              </a:schemeClr>
            </a:solidFill>
            <a:latin typeface="Aptos" panose="020B0004020202020204" pitchFamily="34" charset="0"/>
          </a:endParaRPr>
        </a:p>
      </xdr:txBody>
    </xdr:sp>
    <xdr:clientData/>
  </xdr:twoCellAnchor>
  <xdr:twoCellAnchor editAs="oneCell">
    <xdr:from>
      <xdr:col>9</xdr:col>
      <xdr:colOff>466725</xdr:colOff>
      <xdr:row>0</xdr:row>
      <xdr:rowOff>0</xdr:rowOff>
    </xdr:from>
    <xdr:to>
      <xdr:col>17</xdr:col>
      <xdr:colOff>152400</xdr:colOff>
      <xdr:row>8</xdr:row>
      <xdr:rowOff>0</xdr:rowOff>
    </xdr:to>
    <xdr:pic>
      <xdr:nvPicPr>
        <xdr:cNvPr id="7" name="Image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1446" t="26580" r="18872" b="38562"/>
        <a:stretch/>
      </xdr:blipFill>
      <xdr:spPr>
        <a:xfrm>
          <a:off x="6324600" y="0"/>
          <a:ext cx="4638675" cy="1524000"/>
        </a:xfrm>
        <a:prstGeom prst="rect">
          <a:avLst/>
        </a:prstGeom>
      </xdr:spPr>
    </xdr:pic>
    <xdr:clientData/>
  </xdr:twoCellAnchor>
  <xdr:twoCellAnchor>
    <xdr:from>
      <xdr:col>12</xdr:col>
      <xdr:colOff>0</xdr:colOff>
      <xdr:row>21</xdr:row>
      <xdr:rowOff>2721</xdr:rowOff>
    </xdr:from>
    <xdr:to>
      <xdr:col>15</xdr:col>
      <xdr:colOff>0</xdr:colOff>
      <xdr:row>24</xdr:row>
      <xdr:rowOff>0</xdr:rowOff>
    </xdr:to>
    <xdr:sp macro="" textlink="_data_!M31">
      <xdr:nvSpPr>
        <xdr:cNvPr id="13" name="ZoneTexte 12">
          <a:extLst>
            <a:ext uri="{FF2B5EF4-FFF2-40B4-BE49-F238E27FC236}">
              <a16:creationId xmlns:a16="http://schemas.microsoft.com/office/drawing/2014/main" id="{00000000-0008-0000-0400-00000D000000}"/>
            </a:ext>
          </a:extLst>
        </xdr:cNvPr>
        <xdr:cNvSpPr txBox="1"/>
      </xdr:nvSpPr>
      <xdr:spPr>
        <a:xfrm>
          <a:off x="7715250" y="4127046"/>
          <a:ext cx="1857375" cy="5687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22244C-9F2E-4865-AA6C-BD2D88554320}" type="TxLink">
            <a:rPr lang="en-US" sz="2400" b="0" i="0" u="none" strike="noStrike">
              <a:solidFill>
                <a:srgbClr val="000000"/>
              </a:solidFill>
              <a:latin typeface="Aptos" panose="020B0004020202020204" pitchFamily="34" charset="0"/>
              <a:ea typeface="Calibri"/>
              <a:cs typeface="Calibri"/>
            </a:rPr>
            <a:pPr algn="ctr"/>
            <a:t>38 jours</a:t>
          </a:fld>
          <a:endParaRPr lang="en-CA" sz="2400" b="0">
            <a:latin typeface="Aptos" panose="020B00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11</xdr:col>
      <xdr:colOff>714375</xdr:colOff>
      <xdr:row>0</xdr:row>
      <xdr:rowOff>0</xdr:rowOff>
    </xdr:from>
    <xdr:to>
      <xdr:col>14</xdr:col>
      <xdr:colOff>838200</xdr:colOff>
      <xdr:row>2</xdr:row>
      <xdr:rowOff>0</xdr:rowOff>
    </xdr:to>
    <mc:AlternateContent xmlns:mc="http://schemas.openxmlformats.org/markup-compatibility/2006" xmlns:sle15="http://schemas.microsoft.com/office/drawing/2012/slicer">
      <mc:Choice Requires="sle15">
        <xdr:graphicFrame macro="">
          <xdr:nvGraphicFramePr>
            <xdr:cNvPr id="2" name="Type">
              <a:extLst>
                <a:ext uri="{FF2B5EF4-FFF2-40B4-BE49-F238E27FC236}">
                  <a16:creationId xmlns:a16="http://schemas.microsoft.com/office/drawing/2014/main" id="{00000000-0008-0000-05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430000" y="0"/>
              <a:ext cx="298132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4</xdr:col>
      <xdr:colOff>210110</xdr:colOff>
      <xdr:row>0</xdr:row>
      <xdr:rowOff>0</xdr:rowOff>
    </xdr:from>
    <xdr:to>
      <xdr:col>7</xdr:col>
      <xdr:colOff>714375</xdr:colOff>
      <xdr:row>2</xdr:row>
      <xdr:rowOff>0</xdr:rowOff>
    </xdr:to>
    <mc:AlternateContent xmlns:mc="http://schemas.openxmlformats.org/markup-compatibility/2006" xmlns:sle15="http://schemas.microsoft.com/office/drawing/2012/slicer">
      <mc:Choice Requires="sle15">
        <xdr:graphicFrame macro="">
          <xdr:nvGraphicFramePr>
            <xdr:cNvPr id="3" name="Artist 7">
              <a:extLst>
                <a:ext uri="{FF2B5EF4-FFF2-40B4-BE49-F238E27FC236}">
                  <a16:creationId xmlns:a16="http://schemas.microsoft.com/office/drawing/2014/main" id="{00000000-0008-0000-05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7"/>
            </a:graphicData>
          </a:graphic>
        </xdr:graphicFrame>
      </mc:Choice>
      <mc:Fallback xmlns="">
        <xdr:sp macro="" textlink="">
          <xdr:nvSpPr>
            <xdr:cNvPr id="0" name=""/>
            <xdr:cNvSpPr>
              <a:spLocks noTextEdit="1"/>
            </xdr:cNvSpPr>
          </xdr:nvSpPr>
          <xdr:spPr>
            <a:xfrm>
              <a:off x="4258235" y="0"/>
              <a:ext cx="336176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918323</xdr:colOff>
      <xdr:row>0</xdr:row>
      <xdr:rowOff>0</xdr:rowOff>
    </xdr:from>
    <xdr:to>
      <xdr:col>14</xdr:col>
      <xdr:colOff>4238625</xdr:colOff>
      <xdr:row>2</xdr:row>
      <xdr:rowOff>0</xdr:rowOff>
    </xdr:to>
    <mc:AlternateContent xmlns:mc="http://schemas.openxmlformats.org/markup-compatibility/2006" xmlns:sle15="http://schemas.microsoft.com/office/drawing/2012/slicer">
      <mc:Choice Requires="sle15">
        <xdr:graphicFrame macro="">
          <xdr:nvGraphicFramePr>
            <xdr:cNvPr id="5" name="Status 6">
              <a:extLst>
                <a:ext uri="{FF2B5EF4-FFF2-40B4-BE49-F238E27FC236}">
                  <a16:creationId xmlns:a16="http://schemas.microsoft.com/office/drawing/2014/main" id="{00000000-0008-0000-05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6"/>
            </a:graphicData>
          </a:graphic>
        </xdr:graphicFrame>
      </mc:Choice>
      <mc:Fallback xmlns="">
        <xdr:sp macro="" textlink="">
          <xdr:nvSpPr>
            <xdr:cNvPr id="0" name=""/>
            <xdr:cNvSpPr>
              <a:spLocks noTextEdit="1"/>
            </xdr:cNvSpPr>
          </xdr:nvSpPr>
          <xdr:spPr>
            <a:xfrm>
              <a:off x="14491448" y="0"/>
              <a:ext cx="3320302"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466726</xdr:colOff>
      <xdr:row>0</xdr:row>
      <xdr:rowOff>0</xdr:rowOff>
    </xdr:from>
    <xdr:to>
      <xdr:col>3</xdr:col>
      <xdr:colOff>923926</xdr:colOff>
      <xdr:row>2</xdr:row>
      <xdr:rowOff>0</xdr:rowOff>
    </xdr:to>
    <xdr:graphicFrame macro="">
      <xdr:nvGraphicFramePr>
        <xdr:cNvPr id="4" name="Graphique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790576</xdr:colOff>
      <xdr:row>0</xdr:row>
      <xdr:rowOff>247651</xdr:rowOff>
    </xdr:from>
    <xdr:to>
      <xdr:col>3</xdr:col>
      <xdr:colOff>590549</xdr:colOff>
      <xdr:row>1</xdr:row>
      <xdr:rowOff>266700</xdr:rowOff>
    </xdr:to>
    <xdr:sp macro="" textlink="_data_!$G$53">
      <xdr:nvSpPr>
        <xdr:cNvPr id="6" name="ZoneTexte 5">
          <a:extLst>
            <a:ext uri="{FF2B5EF4-FFF2-40B4-BE49-F238E27FC236}">
              <a16:creationId xmlns:a16="http://schemas.microsoft.com/office/drawing/2014/main" id="{00000000-0008-0000-0500-000006000000}"/>
            </a:ext>
          </a:extLst>
        </xdr:cNvPr>
        <xdr:cNvSpPr txBox="1"/>
      </xdr:nvSpPr>
      <xdr:spPr>
        <a:xfrm>
          <a:off x="2933701" y="247651"/>
          <a:ext cx="752473"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D40986-E671-4073-ACEA-2A3724B0DD37}" type="TxLink">
            <a:rPr lang="en-US" sz="1100" b="0" i="0" u="none" strike="noStrike">
              <a:solidFill>
                <a:srgbClr val="000000"/>
              </a:solidFill>
              <a:latin typeface="Aptos"/>
            </a:rPr>
            <a:pPr algn="ctr"/>
            <a:t>100%</a:t>
          </a:fld>
          <a:endParaRPr lang="en-CA" sz="1200"/>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11</xdr:col>
      <xdr:colOff>714375</xdr:colOff>
      <xdr:row>0</xdr:row>
      <xdr:rowOff>0</xdr:rowOff>
    </xdr:from>
    <xdr:to>
      <xdr:col>14</xdr:col>
      <xdr:colOff>723900</xdr:colOff>
      <xdr:row>2</xdr:row>
      <xdr:rowOff>0</xdr:rowOff>
    </xdr:to>
    <mc:AlternateContent xmlns:mc="http://schemas.openxmlformats.org/markup-compatibility/2006" xmlns:sle15="http://schemas.microsoft.com/office/drawing/2012/slicer">
      <mc:Choice Requires="sle15">
        <xdr:graphicFrame macro="">
          <xdr:nvGraphicFramePr>
            <xdr:cNvPr id="2" name="Type 1">
              <a:extLst>
                <a:ext uri="{FF2B5EF4-FFF2-40B4-BE49-F238E27FC236}">
                  <a16:creationId xmlns:a16="http://schemas.microsoft.com/office/drawing/2014/main" id="{00000000-0008-0000-06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11430000" y="0"/>
              <a:ext cx="286702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4</xdr:col>
      <xdr:colOff>533401</xdr:colOff>
      <xdr:row>0</xdr:row>
      <xdr:rowOff>0</xdr:rowOff>
    </xdr:from>
    <xdr:to>
      <xdr:col>7</xdr:col>
      <xdr:colOff>714375</xdr:colOff>
      <xdr:row>2</xdr:row>
      <xdr:rowOff>0</xdr:rowOff>
    </xdr:to>
    <mc:AlternateContent xmlns:mc="http://schemas.openxmlformats.org/markup-compatibility/2006" xmlns:sle15="http://schemas.microsoft.com/office/drawing/2012/slicer">
      <mc:Choice Requires="sle15">
        <xdr:graphicFrame macro="">
          <xdr:nvGraphicFramePr>
            <xdr:cNvPr id="3" name="Artist 8">
              <a:extLst>
                <a:ext uri="{FF2B5EF4-FFF2-40B4-BE49-F238E27FC236}">
                  <a16:creationId xmlns:a16="http://schemas.microsoft.com/office/drawing/2014/main" id="{00000000-0008-0000-06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8"/>
            </a:graphicData>
          </a:graphic>
        </xdr:graphicFrame>
      </mc:Choice>
      <mc:Fallback xmlns="">
        <xdr:sp macro="" textlink="">
          <xdr:nvSpPr>
            <xdr:cNvPr id="0" name=""/>
            <xdr:cNvSpPr>
              <a:spLocks noTextEdit="1"/>
            </xdr:cNvSpPr>
          </xdr:nvSpPr>
          <xdr:spPr>
            <a:xfrm>
              <a:off x="4581526" y="0"/>
              <a:ext cx="3038474"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971550</xdr:colOff>
      <xdr:row>0</xdr:row>
      <xdr:rowOff>0</xdr:rowOff>
    </xdr:from>
    <xdr:to>
      <xdr:col>14</xdr:col>
      <xdr:colOff>4238625</xdr:colOff>
      <xdr:row>2</xdr:row>
      <xdr:rowOff>0</xdr:rowOff>
    </xdr:to>
    <mc:AlternateContent xmlns:mc="http://schemas.openxmlformats.org/markup-compatibility/2006" xmlns:sle15="http://schemas.microsoft.com/office/drawing/2012/slicer">
      <mc:Choice Requires="sle15">
        <xdr:graphicFrame macro="">
          <xdr:nvGraphicFramePr>
            <xdr:cNvPr id="5" name="Status 7">
              <a:extLst>
                <a:ext uri="{FF2B5EF4-FFF2-40B4-BE49-F238E27FC236}">
                  <a16:creationId xmlns:a16="http://schemas.microsoft.com/office/drawing/2014/main" id="{00000000-0008-0000-06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7"/>
            </a:graphicData>
          </a:graphic>
        </xdr:graphicFrame>
      </mc:Choice>
      <mc:Fallback xmlns="">
        <xdr:sp macro="" textlink="">
          <xdr:nvSpPr>
            <xdr:cNvPr id="0" name=""/>
            <xdr:cNvSpPr>
              <a:spLocks noTextEdit="1"/>
            </xdr:cNvSpPr>
          </xdr:nvSpPr>
          <xdr:spPr>
            <a:xfrm>
              <a:off x="14544675" y="0"/>
              <a:ext cx="32670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3</xdr:col>
      <xdr:colOff>66675</xdr:colOff>
      <xdr:row>0</xdr:row>
      <xdr:rowOff>0</xdr:rowOff>
    </xdr:from>
    <xdr:to>
      <xdr:col>4</xdr:col>
      <xdr:colOff>523875</xdr:colOff>
      <xdr:row>2</xdr:row>
      <xdr:rowOff>0</xdr:rowOff>
    </xdr:to>
    <xdr:graphicFrame macro="">
      <xdr:nvGraphicFramePr>
        <xdr:cNvPr id="8" name="Graphique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342899</xdr:colOff>
      <xdr:row>0</xdr:row>
      <xdr:rowOff>257175</xdr:rowOff>
    </xdr:from>
    <xdr:to>
      <xdr:col>4</xdr:col>
      <xdr:colOff>228600</xdr:colOff>
      <xdr:row>1</xdr:row>
      <xdr:rowOff>276224</xdr:rowOff>
    </xdr:to>
    <xdr:sp macro="" textlink="_data_!$H$53">
      <xdr:nvSpPr>
        <xdr:cNvPr id="4" name="ZoneTexte 3">
          <a:extLst>
            <a:ext uri="{FF2B5EF4-FFF2-40B4-BE49-F238E27FC236}">
              <a16:creationId xmlns:a16="http://schemas.microsoft.com/office/drawing/2014/main" id="{00000000-0008-0000-0600-000004000000}"/>
            </a:ext>
          </a:extLst>
        </xdr:cNvPr>
        <xdr:cNvSpPr txBox="1"/>
      </xdr:nvSpPr>
      <xdr:spPr>
        <a:xfrm>
          <a:off x="3438524" y="257175"/>
          <a:ext cx="838201"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A031AC-A506-4727-B48C-271296AD302B}" type="TxLink">
            <a:rPr lang="en-US" sz="1100" b="0" i="0" u="none" strike="noStrike">
              <a:solidFill>
                <a:srgbClr val="000000"/>
              </a:solidFill>
              <a:latin typeface="Aptos"/>
            </a:rPr>
            <a:pPr algn="ctr"/>
            <a:t>99%</a:t>
          </a:fld>
          <a:endParaRPr lang="en-CA" sz="1200"/>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12</xdr:col>
      <xdr:colOff>714375</xdr:colOff>
      <xdr:row>0</xdr:row>
      <xdr:rowOff>0</xdr:rowOff>
    </xdr:from>
    <xdr:to>
      <xdr:col>15</xdr:col>
      <xdr:colOff>513189</xdr:colOff>
      <xdr:row>2</xdr:row>
      <xdr:rowOff>0</xdr:rowOff>
    </xdr:to>
    <mc:AlternateContent xmlns:mc="http://schemas.openxmlformats.org/markup-compatibility/2006" xmlns:sle15="http://schemas.microsoft.com/office/drawing/2012/slicer">
      <mc:Choice Requires="sle15">
        <xdr:graphicFrame macro="">
          <xdr:nvGraphicFramePr>
            <xdr:cNvPr id="2" name="Type 3">
              <a:extLst>
                <a:ext uri="{FF2B5EF4-FFF2-40B4-BE49-F238E27FC236}">
                  <a16:creationId xmlns:a16="http://schemas.microsoft.com/office/drawing/2014/main" id="{00000000-0008-0000-07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12382500" y="0"/>
              <a:ext cx="2656314"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4</xdr:col>
      <xdr:colOff>533401</xdr:colOff>
      <xdr:row>0</xdr:row>
      <xdr:rowOff>0</xdr:rowOff>
    </xdr:from>
    <xdr:to>
      <xdr:col>7</xdr:col>
      <xdr:colOff>714375</xdr:colOff>
      <xdr:row>2</xdr:row>
      <xdr:rowOff>0</xdr:rowOff>
    </xdr:to>
    <mc:AlternateContent xmlns:mc="http://schemas.openxmlformats.org/markup-compatibility/2006" xmlns:sle15="http://schemas.microsoft.com/office/drawing/2012/slicer">
      <mc:Choice Requires="sle15">
        <xdr:graphicFrame macro="">
          <xdr:nvGraphicFramePr>
            <xdr:cNvPr id="3" name="Artist 10">
              <a:extLst>
                <a:ext uri="{FF2B5EF4-FFF2-40B4-BE49-F238E27FC236}">
                  <a16:creationId xmlns:a16="http://schemas.microsoft.com/office/drawing/2014/main" id="{00000000-0008-0000-07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10"/>
            </a:graphicData>
          </a:graphic>
        </xdr:graphicFrame>
      </mc:Choice>
      <mc:Fallback xmlns="">
        <xdr:sp macro="" textlink="">
          <xdr:nvSpPr>
            <xdr:cNvPr id="0" name=""/>
            <xdr:cNvSpPr>
              <a:spLocks noTextEdit="1"/>
            </xdr:cNvSpPr>
          </xdr:nvSpPr>
          <xdr:spPr>
            <a:xfrm>
              <a:off x="4581526" y="0"/>
              <a:ext cx="3038474"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15</xdr:col>
      <xdr:colOff>647700</xdr:colOff>
      <xdr:row>0</xdr:row>
      <xdr:rowOff>0</xdr:rowOff>
    </xdr:from>
    <xdr:to>
      <xdr:col>15</xdr:col>
      <xdr:colOff>3286125</xdr:colOff>
      <xdr:row>2</xdr:row>
      <xdr:rowOff>0</xdr:rowOff>
    </xdr:to>
    <mc:AlternateContent xmlns:mc="http://schemas.openxmlformats.org/markup-compatibility/2006" xmlns:sle15="http://schemas.microsoft.com/office/drawing/2012/slicer">
      <mc:Choice Requires="sle15">
        <xdr:graphicFrame macro="">
          <xdr:nvGraphicFramePr>
            <xdr:cNvPr id="5" name="Status 9">
              <a:extLst>
                <a:ext uri="{FF2B5EF4-FFF2-40B4-BE49-F238E27FC236}">
                  <a16:creationId xmlns:a16="http://schemas.microsoft.com/office/drawing/2014/main" id="{00000000-0008-0000-07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9"/>
            </a:graphicData>
          </a:graphic>
        </xdr:graphicFrame>
      </mc:Choice>
      <mc:Fallback xmlns="">
        <xdr:sp macro="" textlink="">
          <xdr:nvSpPr>
            <xdr:cNvPr id="0" name=""/>
            <xdr:cNvSpPr>
              <a:spLocks noTextEdit="1"/>
            </xdr:cNvSpPr>
          </xdr:nvSpPr>
          <xdr:spPr>
            <a:xfrm>
              <a:off x="15173325" y="0"/>
              <a:ext cx="263842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790575</xdr:colOff>
      <xdr:row>0</xdr:row>
      <xdr:rowOff>0</xdr:rowOff>
    </xdr:from>
    <xdr:to>
      <xdr:col>4</xdr:col>
      <xdr:colOff>200025</xdr:colOff>
      <xdr:row>2</xdr:row>
      <xdr:rowOff>0</xdr:rowOff>
    </xdr:to>
    <xdr:graphicFrame macro="">
      <xdr:nvGraphicFramePr>
        <xdr:cNvPr id="4" name="Graphique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123824</xdr:colOff>
      <xdr:row>0</xdr:row>
      <xdr:rowOff>247650</xdr:rowOff>
    </xdr:from>
    <xdr:to>
      <xdr:col>3</xdr:col>
      <xdr:colOff>857249</xdr:colOff>
      <xdr:row>1</xdr:row>
      <xdr:rowOff>266699</xdr:rowOff>
    </xdr:to>
    <xdr:sp macro="" textlink="_data_!$I$53">
      <xdr:nvSpPr>
        <xdr:cNvPr id="6" name="ZoneTexte 5">
          <a:extLst>
            <a:ext uri="{FF2B5EF4-FFF2-40B4-BE49-F238E27FC236}">
              <a16:creationId xmlns:a16="http://schemas.microsoft.com/office/drawing/2014/main" id="{00000000-0008-0000-0700-000006000000}"/>
            </a:ext>
          </a:extLst>
        </xdr:cNvPr>
        <xdr:cNvSpPr txBox="1"/>
      </xdr:nvSpPr>
      <xdr:spPr>
        <a:xfrm>
          <a:off x="3219449" y="247650"/>
          <a:ext cx="73342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226CA4-E2A7-4116-B3A4-1D92DC874CCC}" type="TxLink">
            <a:rPr lang="en-US" sz="1100" b="0" i="0" u="none" strike="noStrike">
              <a:solidFill>
                <a:srgbClr val="000000"/>
              </a:solidFill>
              <a:latin typeface="Aptos"/>
            </a:rPr>
            <a:pPr algn="ctr"/>
            <a:t>99%</a:t>
          </a:fld>
          <a:endParaRPr lang="en-CA" sz="1200"/>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11</xdr:col>
      <xdr:colOff>714375</xdr:colOff>
      <xdr:row>0</xdr:row>
      <xdr:rowOff>0</xdr:rowOff>
    </xdr:from>
    <xdr:to>
      <xdr:col>14</xdr:col>
      <xdr:colOff>866774</xdr:colOff>
      <xdr:row>2</xdr:row>
      <xdr:rowOff>0</xdr:rowOff>
    </xdr:to>
    <mc:AlternateContent xmlns:mc="http://schemas.openxmlformats.org/markup-compatibility/2006" xmlns:sle15="http://schemas.microsoft.com/office/drawing/2012/slicer">
      <mc:Choice Requires="sle15">
        <xdr:graphicFrame macro="">
          <xdr:nvGraphicFramePr>
            <xdr:cNvPr id="2" name="Type 2">
              <a:extLst>
                <a:ext uri="{FF2B5EF4-FFF2-40B4-BE49-F238E27FC236}">
                  <a16:creationId xmlns:a16="http://schemas.microsoft.com/office/drawing/2014/main" id="{00000000-0008-0000-08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1430000" y="0"/>
              <a:ext cx="3009899"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4</xdr:col>
      <xdr:colOff>714375</xdr:colOff>
      <xdr:row>0</xdr:row>
      <xdr:rowOff>0</xdr:rowOff>
    </xdr:from>
    <xdr:to>
      <xdr:col>7</xdr:col>
      <xdr:colOff>714375</xdr:colOff>
      <xdr:row>2</xdr:row>
      <xdr:rowOff>0</xdr:rowOff>
    </xdr:to>
    <mc:AlternateContent xmlns:mc="http://schemas.openxmlformats.org/markup-compatibility/2006" xmlns:sle15="http://schemas.microsoft.com/office/drawing/2012/slicer">
      <mc:Choice Requires="sle15">
        <xdr:graphicFrame macro="">
          <xdr:nvGraphicFramePr>
            <xdr:cNvPr id="3" name="Artist 9">
              <a:extLst>
                <a:ext uri="{FF2B5EF4-FFF2-40B4-BE49-F238E27FC236}">
                  <a16:creationId xmlns:a16="http://schemas.microsoft.com/office/drawing/2014/main" id="{00000000-0008-0000-08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9"/>
            </a:graphicData>
          </a:graphic>
        </xdr:graphicFrame>
      </mc:Choice>
      <mc:Fallback xmlns="">
        <xdr:sp macro="" textlink="">
          <xdr:nvSpPr>
            <xdr:cNvPr id="0" name=""/>
            <xdr:cNvSpPr>
              <a:spLocks noTextEdit="1"/>
            </xdr:cNvSpPr>
          </xdr:nvSpPr>
          <xdr:spPr>
            <a:xfrm>
              <a:off x="4762500" y="0"/>
              <a:ext cx="285750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885825</xdr:colOff>
      <xdr:row>0</xdr:row>
      <xdr:rowOff>0</xdr:rowOff>
    </xdr:from>
    <xdr:to>
      <xdr:col>14</xdr:col>
      <xdr:colOff>4143375</xdr:colOff>
      <xdr:row>2</xdr:row>
      <xdr:rowOff>0</xdr:rowOff>
    </xdr:to>
    <mc:AlternateContent xmlns:mc="http://schemas.openxmlformats.org/markup-compatibility/2006" xmlns:sle15="http://schemas.microsoft.com/office/drawing/2012/slicer">
      <mc:Choice Requires="sle15">
        <xdr:graphicFrame macro="">
          <xdr:nvGraphicFramePr>
            <xdr:cNvPr id="5" name="Status 8">
              <a:extLst>
                <a:ext uri="{FF2B5EF4-FFF2-40B4-BE49-F238E27FC236}">
                  <a16:creationId xmlns:a16="http://schemas.microsoft.com/office/drawing/2014/main" id="{00000000-0008-0000-08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8"/>
            </a:graphicData>
          </a:graphic>
        </xdr:graphicFrame>
      </mc:Choice>
      <mc:Fallback xmlns="">
        <xdr:sp macro="" textlink="">
          <xdr:nvSpPr>
            <xdr:cNvPr id="0" name=""/>
            <xdr:cNvSpPr>
              <a:spLocks noTextEdit="1"/>
            </xdr:cNvSpPr>
          </xdr:nvSpPr>
          <xdr:spPr>
            <a:xfrm>
              <a:off x="14458950" y="0"/>
              <a:ext cx="325755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3</xdr:col>
      <xdr:colOff>390525</xdr:colOff>
      <xdr:row>0</xdr:row>
      <xdr:rowOff>0</xdr:rowOff>
    </xdr:from>
    <xdr:to>
      <xdr:col>4</xdr:col>
      <xdr:colOff>847725</xdr:colOff>
      <xdr:row>2</xdr:row>
      <xdr:rowOff>0</xdr:rowOff>
    </xdr:to>
    <xdr:graphicFrame macro="">
      <xdr:nvGraphicFramePr>
        <xdr:cNvPr id="4" name="Graphique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714374</xdr:colOff>
      <xdr:row>0</xdr:row>
      <xdr:rowOff>257175</xdr:rowOff>
    </xdr:from>
    <xdr:to>
      <xdr:col>4</xdr:col>
      <xdr:colOff>533399</xdr:colOff>
      <xdr:row>1</xdr:row>
      <xdr:rowOff>276224</xdr:rowOff>
    </xdr:to>
    <xdr:sp macro="" textlink="_data_!$J$53">
      <xdr:nvSpPr>
        <xdr:cNvPr id="6" name="ZoneTexte 5">
          <a:extLst>
            <a:ext uri="{FF2B5EF4-FFF2-40B4-BE49-F238E27FC236}">
              <a16:creationId xmlns:a16="http://schemas.microsoft.com/office/drawing/2014/main" id="{00000000-0008-0000-0800-000006000000}"/>
            </a:ext>
          </a:extLst>
        </xdr:cNvPr>
        <xdr:cNvSpPr txBox="1"/>
      </xdr:nvSpPr>
      <xdr:spPr>
        <a:xfrm>
          <a:off x="3809999" y="257175"/>
          <a:ext cx="77152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2BB625-0E7F-450B-82C9-893610589EDD}" type="TxLink">
            <a:rPr lang="en-US" sz="1100" b="0" i="0" u="none" strike="noStrike">
              <a:solidFill>
                <a:srgbClr val="000000"/>
              </a:solidFill>
              <a:latin typeface="Aptos"/>
            </a:rPr>
            <a:pPr algn="ctr"/>
            <a:t>99%</a:t>
          </a:fld>
          <a:endParaRPr lang="en-CA" sz="12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9</xdr:col>
      <xdr:colOff>714375</xdr:colOff>
      <xdr:row>0</xdr:row>
      <xdr:rowOff>0</xdr:rowOff>
    </xdr:from>
    <xdr:to>
      <xdr:col>12</xdr:col>
      <xdr:colOff>1504950</xdr:colOff>
      <xdr:row>2</xdr:row>
      <xdr:rowOff>0</xdr:rowOff>
    </xdr:to>
    <mc:AlternateContent xmlns:mc="http://schemas.openxmlformats.org/markup-compatibility/2006" xmlns:sle15="http://schemas.microsoft.com/office/drawing/2012/slicer">
      <mc:Choice Requires="sle15">
        <xdr:graphicFrame macro="">
          <xdr:nvGraphicFramePr>
            <xdr:cNvPr id="2" name="Type 4">
              <a:extLst>
                <a:ext uri="{FF2B5EF4-FFF2-40B4-BE49-F238E27FC236}">
                  <a16:creationId xmlns:a16="http://schemas.microsoft.com/office/drawing/2014/main" id="{00000000-0008-0000-09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4"/>
            </a:graphicData>
          </a:graphic>
        </xdr:graphicFrame>
      </mc:Choice>
      <mc:Fallback xmlns="">
        <xdr:sp macro="" textlink="">
          <xdr:nvSpPr>
            <xdr:cNvPr id="0" name=""/>
            <xdr:cNvSpPr>
              <a:spLocks noTextEdit="1"/>
            </xdr:cNvSpPr>
          </xdr:nvSpPr>
          <xdr:spPr>
            <a:xfrm>
              <a:off x="9525000" y="0"/>
              <a:ext cx="36480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12</xdr:col>
      <xdr:colOff>1714500</xdr:colOff>
      <xdr:row>0</xdr:row>
      <xdr:rowOff>0</xdr:rowOff>
    </xdr:from>
    <xdr:to>
      <xdr:col>12</xdr:col>
      <xdr:colOff>6048374</xdr:colOff>
      <xdr:row>2</xdr:row>
      <xdr:rowOff>1361</xdr:rowOff>
    </xdr:to>
    <mc:AlternateContent xmlns:mc="http://schemas.openxmlformats.org/markup-compatibility/2006" xmlns:sle15="http://schemas.microsoft.com/office/drawing/2012/slicer">
      <mc:Choice Requires="sle15">
        <xdr:graphicFrame macro="">
          <xdr:nvGraphicFramePr>
            <xdr:cNvPr id="3" name="Status 10">
              <a:extLst>
                <a:ext uri="{FF2B5EF4-FFF2-40B4-BE49-F238E27FC236}">
                  <a16:creationId xmlns:a16="http://schemas.microsoft.com/office/drawing/2014/main" id="{00000000-0008-0000-09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10"/>
            </a:graphicData>
          </a:graphic>
        </xdr:graphicFrame>
      </mc:Choice>
      <mc:Fallback xmlns="">
        <xdr:sp macro="" textlink="">
          <xdr:nvSpPr>
            <xdr:cNvPr id="0" name=""/>
            <xdr:cNvSpPr>
              <a:spLocks noTextEdit="1"/>
            </xdr:cNvSpPr>
          </xdr:nvSpPr>
          <xdr:spPr>
            <a:xfrm>
              <a:off x="13382625" y="0"/>
              <a:ext cx="4333874" cy="1049111"/>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571500</xdr:colOff>
      <xdr:row>0</xdr:row>
      <xdr:rowOff>0</xdr:rowOff>
    </xdr:from>
    <xdr:to>
      <xdr:col>3</xdr:col>
      <xdr:colOff>904875</xdr:colOff>
      <xdr:row>2</xdr:row>
      <xdr:rowOff>0</xdr:rowOff>
    </xdr:to>
    <xdr:graphicFrame macro="">
      <xdr:nvGraphicFramePr>
        <xdr:cNvPr id="4" name="Graphique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847724</xdr:colOff>
      <xdr:row>0</xdr:row>
      <xdr:rowOff>257175</xdr:rowOff>
    </xdr:from>
    <xdr:to>
      <xdr:col>3</xdr:col>
      <xdr:colOff>647699</xdr:colOff>
      <xdr:row>1</xdr:row>
      <xdr:rowOff>276224</xdr:rowOff>
    </xdr:to>
    <xdr:sp macro="" textlink="_data_!G49">
      <xdr:nvSpPr>
        <xdr:cNvPr id="5" name="ZoneTexte 4">
          <a:extLst>
            <a:ext uri="{FF2B5EF4-FFF2-40B4-BE49-F238E27FC236}">
              <a16:creationId xmlns:a16="http://schemas.microsoft.com/office/drawing/2014/main" id="{00000000-0008-0000-0900-000005000000}"/>
            </a:ext>
          </a:extLst>
        </xdr:cNvPr>
        <xdr:cNvSpPr txBox="1"/>
      </xdr:nvSpPr>
      <xdr:spPr>
        <a:xfrm>
          <a:off x="2990849" y="257175"/>
          <a:ext cx="75247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675982-F8DF-4BFD-AB89-93BABC0695CE}" type="TxLink">
            <a:rPr lang="en-US" sz="1100" b="0" i="0" u="none" strike="noStrike">
              <a:solidFill>
                <a:srgbClr val="000000"/>
              </a:solidFill>
              <a:latin typeface="Aptos"/>
            </a:rPr>
            <a:pPr algn="ctr"/>
            <a:t>99%</a:t>
          </a:fld>
          <a:endParaRPr lang="en-CA" sz="12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1905000</xdr:colOff>
      <xdr:row>0</xdr:row>
      <xdr:rowOff>0</xdr:rowOff>
    </xdr:from>
    <xdr:to>
      <xdr:col>6</xdr:col>
      <xdr:colOff>695325</xdr:colOff>
      <xdr:row>2</xdr:row>
      <xdr:rowOff>0</xdr:rowOff>
    </xdr:to>
    <mc:AlternateContent xmlns:mc="http://schemas.openxmlformats.org/markup-compatibility/2006" xmlns:sle15="http://schemas.microsoft.com/office/drawing/2012/slicer">
      <mc:Choice Requires="sle15">
        <xdr:graphicFrame macro="">
          <xdr:nvGraphicFramePr>
            <xdr:cNvPr id="2" name="Type 6">
              <a:extLst>
                <a:ext uri="{FF2B5EF4-FFF2-40B4-BE49-F238E27FC236}">
                  <a16:creationId xmlns:a16="http://schemas.microsoft.com/office/drawing/2014/main" id="{00000000-0008-0000-0A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6"/>
            </a:graphicData>
          </a:graphic>
        </xdr:graphicFrame>
      </mc:Choice>
      <mc:Fallback xmlns="">
        <xdr:sp macro="" textlink="">
          <xdr:nvSpPr>
            <xdr:cNvPr id="0" name=""/>
            <xdr:cNvSpPr>
              <a:spLocks noTextEdit="1"/>
            </xdr:cNvSpPr>
          </xdr:nvSpPr>
          <xdr:spPr>
            <a:xfrm>
              <a:off x="5143500" y="0"/>
              <a:ext cx="525780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absolute">
    <xdr:from>
      <xdr:col>4</xdr:col>
      <xdr:colOff>371475</xdr:colOff>
      <xdr:row>0</xdr:row>
      <xdr:rowOff>0</xdr:rowOff>
    </xdr:from>
    <xdr:to>
      <xdr:col>7</xdr:col>
      <xdr:colOff>0</xdr:colOff>
      <xdr:row>2</xdr:row>
      <xdr:rowOff>0</xdr:rowOff>
    </xdr:to>
    <mc:AlternateContent xmlns:mc="http://schemas.openxmlformats.org/markup-compatibility/2006" xmlns:sle15="http://schemas.microsoft.com/office/drawing/2012/slicer">
      <mc:Choice Requires="sle15">
        <xdr:graphicFrame macro="">
          <xdr:nvGraphicFramePr>
            <xdr:cNvPr id="3" name="Artist 1">
              <a:extLst>
                <a:ext uri="{FF2B5EF4-FFF2-40B4-BE49-F238E27FC236}">
                  <a16:creationId xmlns:a16="http://schemas.microsoft.com/office/drawing/2014/main" id="{00000000-0008-0000-0B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1"/>
            </a:graphicData>
          </a:graphic>
        </xdr:graphicFrame>
      </mc:Choice>
      <mc:Fallback xmlns="">
        <xdr:sp macro="" textlink="">
          <xdr:nvSpPr>
            <xdr:cNvPr id="0" name=""/>
            <xdr:cNvSpPr>
              <a:spLocks noTextEdit="1"/>
            </xdr:cNvSpPr>
          </xdr:nvSpPr>
          <xdr:spPr>
            <a:xfrm>
              <a:off x="4181475" y="0"/>
              <a:ext cx="248602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0</xdr:colOff>
      <xdr:row>0</xdr:row>
      <xdr:rowOff>0</xdr:rowOff>
    </xdr:from>
    <xdr:to>
      <xdr:col>17</xdr:col>
      <xdr:colOff>990600</xdr:colOff>
      <xdr:row>2</xdr:row>
      <xdr:rowOff>0</xdr:rowOff>
    </xdr:to>
    <mc:AlternateContent xmlns:mc="http://schemas.openxmlformats.org/markup-compatibility/2006" xmlns:sle15="http://schemas.microsoft.com/office/drawing/2012/slicer">
      <mc:Choice Requires="sle15">
        <xdr:graphicFrame macro="">
          <xdr:nvGraphicFramePr>
            <xdr:cNvPr id="7" name="Status">
              <a:extLst>
                <a:ext uri="{FF2B5EF4-FFF2-40B4-BE49-F238E27FC236}">
                  <a16:creationId xmlns:a16="http://schemas.microsoft.com/office/drawing/2014/main" id="{00000000-0008-0000-0B00-000007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3335000" y="0"/>
              <a:ext cx="63150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704850</xdr:colOff>
      <xdr:row>0</xdr:row>
      <xdr:rowOff>0</xdr:rowOff>
    </xdr:from>
    <xdr:to>
      <xdr:col>4</xdr:col>
      <xdr:colOff>257175</xdr:colOff>
      <xdr:row>2</xdr:row>
      <xdr:rowOff>0</xdr:rowOff>
    </xdr:to>
    <xdr:graphicFrame macro="">
      <xdr:nvGraphicFramePr>
        <xdr:cNvPr id="2" name="Graphique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47624</xdr:colOff>
      <xdr:row>0</xdr:row>
      <xdr:rowOff>257175</xdr:rowOff>
    </xdr:from>
    <xdr:to>
      <xdr:col>3</xdr:col>
      <xdr:colOff>914399</xdr:colOff>
      <xdr:row>1</xdr:row>
      <xdr:rowOff>276224</xdr:rowOff>
    </xdr:to>
    <xdr:sp macro="" textlink="_data_!$G$36">
      <xdr:nvSpPr>
        <xdr:cNvPr id="5" name="ZoneTexte 4">
          <a:extLst>
            <a:ext uri="{FF2B5EF4-FFF2-40B4-BE49-F238E27FC236}">
              <a16:creationId xmlns:a16="http://schemas.microsoft.com/office/drawing/2014/main" id="{00000000-0008-0000-0B00-000005000000}"/>
            </a:ext>
          </a:extLst>
        </xdr:cNvPr>
        <xdr:cNvSpPr txBox="1"/>
      </xdr:nvSpPr>
      <xdr:spPr>
        <a:xfrm>
          <a:off x="2905124" y="257175"/>
          <a:ext cx="86677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5215A6-46A9-48CE-BE25-9E05A1961717}" type="TxLink">
            <a:rPr lang="en-US" sz="1100" b="0" i="0" u="none" strike="noStrike">
              <a:solidFill>
                <a:srgbClr val="000000"/>
              </a:solidFill>
              <a:latin typeface="Aptos"/>
            </a:rPr>
            <a:pPr algn="ctr"/>
            <a:t>96%</a:t>
          </a:fld>
          <a:endParaRPr lang="en-CA" sz="12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4</xdr:col>
      <xdr:colOff>323850</xdr:colOff>
      <xdr:row>0</xdr:row>
      <xdr:rowOff>0</xdr:rowOff>
    </xdr:from>
    <xdr:to>
      <xdr:col>7</xdr:col>
      <xdr:colOff>866</xdr:colOff>
      <xdr:row>2</xdr:row>
      <xdr:rowOff>1642</xdr:rowOff>
    </xdr:to>
    <mc:AlternateContent xmlns:mc="http://schemas.openxmlformats.org/markup-compatibility/2006" xmlns:sle15="http://schemas.microsoft.com/office/drawing/2012/slicer">
      <mc:Choice Requires="sle15">
        <xdr:graphicFrame macro="">
          <xdr:nvGraphicFramePr>
            <xdr:cNvPr id="2" name="Artist 2">
              <a:extLst>
                <a:ext uri="{FF2B5EF4-FFF2-40B4-BE49-F238E27FC236}">
                  <a16:creationId xmlns:a16="http://schemas.microsoft.com/office/drawing/2014/main" id="{00000000-0008-0000-0C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2"/>
            </a:graphicData>
          </a:graphic>
        </xdr:graphicFrame>
      </mc:Choice>
      <mc:Fallback xmlns="">
        <xdr:sp macro="" textlink="">
          <xdr:nvSpPr>
            <xdr:cNvPr id="0" name=""/>
            <xdr:cNvSpPr>
              <a:spLocks noTextEdit="1"/>
            </xdr:cNvSpPr>
          </xdr:nvSpPr>
          <xdr:spPr>
            <a:xfrm>
              <a:off x="3524250" y="0"/>
              <a:ext cx="2077316" cy="1049392"/>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16</xdr:col>
      <xdr:colOff>676274</xdr:colOff>
      <xdr:row>0</xdr:row>
      <xdr:rowOff>0</xdr:rowOff>
    </xdr:from>
    <xdr:to>
      <xdr:col>20</xdr:col>
      <xdr:colOff>380999</xdr:colOff>
      <xdr:row>2</xdr:row>
      <xdr:rowOff>1642</xdr:rowOff>
    </xdr:to>
    <mc:AlternateContent xmlns:mc="http://schemas.openxmlformats.org/markup-compatibility/2006" xmlns:sle15="http://schemas.microsoft.com/office/drawing/2012/slicer">
      <mc:Choice Requires="sle15">
        <xdr:graphicFrame macro="">
          <xdr:nvGraphicFramePr>
            <xdr:cNvPr id="3" name="Status 1">
              <a:extLst>
                <a:ext uri="{FF2B5EF4-FFF2-40B4-BE49-F238E27FC236}">
                  <a16:creationId xmlns:a16="http://schemas.microsoft.com/office/drawing/2014/main" id="{00000000-0008-0000-0C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3477874" y="0"/>
              <a:ext cx="42957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314325</xdr:colOff>
      <xdr:row>0</xdr:row>
      <xdr:rowOff>0</xdr:rowOff>
    </xdr:from>
    <xdr:to>
      <xdr:col>4</xdr:col>
      <xdr:colOff>238125</xdr:colOff>
      <xdr:row>2</xdr:row>
      <xdr:rowOff>1642</xdr:rowOff>
    </xdr:to>
    <xdr:graphicFrame macro="">
      <xdr:nvGraphicFramePr>
        <xdr:cNvPr id="4" name="Graphique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638175</xdr:colOff>
      <xdr:row>0</xdr:row>
      <xdr:rowOff>257175</xdr:rowOff>
    </xdr:from>
    <xdr:to>
      <xdr:col>3</xdr:col>
      <xdr:colOff>714375</xdr:colOff>
      <xdr:row>1</xdr:row>
      <xdr:rowOff>276224</xdr:rowOff>
    </xdr:to>
    <xdr:sp macro="" textlink="_data_!$H$36">
      <xdr:nvSpPr>
        <xdr:cNvPr id="5" name="ZoneTexte 4">
          <a:extLst>
            <a:ext uri="{FF2B5EF4-FFF2-40B4-BE49-F238E27FC236}">
              <a16:creationId xmlns:a16="http://schemas.microsoft.com/office/drawing/2014/main" id="{00000000-0008-0000-0C00-000005000000}"/>
            </a:ext>
          </a:extLst>
        </xdr:cNvPr>
        <xdr:cNvSpPr txBox="1"/>
      </xdr:nvSpPr>
      <xdr:spPr>
        <a:xfrm>
          <a:off x="2238375" y="257175"/>
          <a:ext cx="876300"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C8D16E-6FA7-45DF-879D-F84713FD3872}" type="TxLink">
            <a:rPr lang="en-US" sz="1100" b="0" i="0" u="none" strike="noStrike">
              <a:solidFill>
                <a:srgbClr val="000000"/>
              </a:solidFill>
              <a:latin typeface="Aptos"/>
            </a:rPr>
            <a:pPr algn="ctr"/>
            <a:t>100%</a:t>
          </a:fld>
          <a:endParaRPr lang="en-CA" sz="1200"/>
        </a:p>
      </xdr:txBody>
    </xdr:sp>
    <xdr:clientData/>
  </xdr:twoCellAnchor>
  <xdr:twoCellAnchor editAs="absolute">
    <xdr:from>
      <xdr:col>7</xdr:col>
      <xdr:colOff>866</xdr:colOff>
      <xdr:row>0</xdr:row>
      <xdr:rowOff>1</xdr:rowOff>
    </xdr:from>
    <xdr:to>
      <xdr:col>10</xdr:col>
      <xdr:colOff>0</xdr:colOff>
      <xdr:row>2</xdr:row>
      <xdr:rowOff>1</xdr:rowOff>
    </xdr:to>
    <mc:AlternateContent xmlns:mc="http://schemas.openxmlformats.org/markup-compatibility/2006" xmlns:sle15="http://schemas.microsoft.com/office/drawing/2012/slicer">
      <mc:Choice Requires="sle15">
        <xdr:graphicFrame macro="">
          <xdr:nvGraphicFramePr>
            <xdr:cNvPr id="6" name="Priority">
              <a:extLst>
                <a:ext uri="{FF2B5EF4-FFF2-40B4-BE49-F238E27FC236}">
                  <a16:creationId xmlns:a16="http://schemas.microsoft.com/office/drawing/2014/main" id="{00000000-0008-0000-0C00-000006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iority"/>
            </a:graphicData>
          </a:graphic>
        </xdr:graphicFrame>
      </mc:Choice>
      <mc:Fallback xmlns="">
        <xdr:sp macro="" textlink="">
          <xdr:nvSpPr>
            <xdr:cNvPr id="0" name=""/>
            <xdr:cNvSpPr>
              <a:spLocks noTextEdit="1"/>
            </xdr:cNvSpPr>
          </xdr:nvSpPr>
          <xdr:spPr>
            <a:xfrm>
              <a:off x="5601566" y="1"/>
              <a:ext cx="2399434"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absolute">
    <xdr:from>
      <xdr:col>4</xdr:col>
      <xdr:colOff>400050</xdr:colOff>
      <xdr:row>0</xdr:row>
      <xdr:rowOff>0</xdr:rowOff>
    </xdr:from>
    <xdr:to>
      <xdr:col>7</xdr:col>
      <xdr:colOff>0</xdr:colOff>
      <xdr:row>2</xdr:row>
      <xdr:rowOff>0</xdr:rowOff>
    </xdr:to>
    <mc:AlternateContent xmlns:mc="http://schemas.openxmlformats.org/markup-compatibility/2006" xmlns:sle15="http://schemas.microsoft.com/office/drawing/2012/slicer">
      <mc:Choice Requires="sle15">
        <xdr:graphicFrame macro="">
          <xdr:nvGraphicFramePr>
            <xdr:cNvPr id="2" name="Artist 3">
              <a:extLst>
                <a:ext uri="{FF2B5EF4-FFF2-40B4-BE49-F238E27FC236}">
                  <a16:creationId xmlns:a16="http://schemas.microsoft.com/office/drawing/2014/main" id="{00000000-0008-0000-0D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3"/>
            </a:graphicData>
          </a:graphic>
        </xdr:graphicFrame>
      </mc:Choice>
      <mc:Fallback xmlns="">
        <xdr:sp macro="" textlink="">
          <xdr:nvSpPr>
            <xdr:cNvPr id="0" name=""/>
            <xdr:cNvSpPr>
              <a:spLocks noTextEdit="1"/>
            </xdr:cNvSpPr>
          </xdr:nvSpPr>
          <xdr:spPr>
            <a:xfrm>
              <a:off x="3829050" y="0"/>
              <a:ext cx="217170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15</xdr:col>
      <xdr:colOff>66675</xdr:colOff>
      <xdr:row>0</xdr:row>
      <xdr:rowOff>0</xdr:rowOff>
    </xdr:from>
    <xdr:to>
      <xdr:col>17</xdr:col>
      <xdr:colOff>0</xdr:colOff>
      <xdr:row>2</xdr:row>
      <xdr:rowOff>0</xdr:rowOff>
    </xdr:to>
    <mc:AlternateContent xmlns:mc="http://schemas.openxmlformats.org/markup-compatibility/2006" xmlns:sle15="http://schemas.microsoft.com/office/drawing/2012/slicer">
      <mc:Choice Requires="sle15">
        <xdr:graphicFrame macro="">
          <xdr:nvGraphicFramePr>
            <xdr:cNvPr id="3" name="Status 2">
              <a:extLst>
                <a:ext uri="{FF2B5EF4-FFF2-40B4-BE49-F238E27FC236}">
                  <a16:creationId xmlns:a16="http://schemas.microsoft.com/office/drawing/2014/main" id="{00000000-0008-0000-0D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2"/>
            </a:graphicData>
          </a:graphic>
        </xdr:graphicFrame>
      </mc:Choice>
      <mc:Fallback xmlns="">
        <xdr:sp macro="" textlink="">
          <xdr:nvSpPr>
            <xdr:cNvPr id="0" name=""/>
            <xdr:cNvSpPr>
              <a:spLocks noTextEdit="1"/>
            </xdr:cNvSpPr>
          </xdr:nvSpPr>
          <xdr:spPr>
            <a:xfrm>
              <a:off x="12925425" y="0"/>
              <a:ext cx="47910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809625</xdr:colOff>
      <xdr:row>0</xdr:row>
      <xdr:rowOff>0</xdr:rowOff>
    </xdr:from>
    <xdr:to>
      <xdr:col>4</xdr:col>
      <xdr:colOff>619125</xdr:colOff>
      <xdr:row>2</xdr:row>
      <xdr:rowOff>0</xdr:rowOff>
    </xdr:to>
    <xdr:graphicFrame macro="">
      <xdr:nvGraphicFramePr>
        <xdr:cNvPr id="4" name="Graphique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314324</xdr:colOff>
      <xdr:row>0</xdr:row>
      <xdr:rowOff>257175</xdr:rowOff>
    </xdr:from>
    <xdr:to>
      <xdr:col>4</xdr:col>
      <xdr:colOff>266699</xdr:colOff>
      <xdr:row>1</xdr:row>
      <xdr:rowOff>276224</xdr:rowOff>
    </xdr:to>
    <xdr:sp macro="" textlink="_data_!$I$36">
      <xdr:nvSpPr>
        <xdr:cNvPr id="5" name="ZoneTexte 4">
          <a:extLst>
            <a:ext uri="{FF2B5EF4-FFF2-40B4-BE49-F238E27FC236}">
              <a16:creationId xmlns:a16="http://schemas.microsoft.com/office/drawing/2014/main" id="{00000000-0008-0000-0D00-000005000000}"/>
            </a:ext>
          </a:extLst>
        </xdr:cNvPr>
        <xdr:cNvSpPr txBox="1"/>
      </xdr:nvSpPr>
      <xdr:spPr>
        <a:xfrm>
          <a:off x="2886074" y="257175"/>
          <a:ext cx="80962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606D56-DBE9-42CC-9EAA-041B231A9F71}" type="TxLink">
            <a:rPr lang="en-US" sz="1100" b="0" i="0" u="none" strike="noStrike">
              <a:solidFill>
                <a:srgbClr val="000000"/>
              </a:solidFill>
              <a:latin typeface="Aptos"/>
            </a:rPr>
            <a:pPr algn="ctr"/>
            <a:t>44%</a:t>
          </a:fld>
          <a:endParaRPr lang="en-CA" sz="1200"/>
        </a:p>
      </xdr:txBody>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790575</xdr:colOff>
      <xdr:row>0</xdr:row>
      <xdr:rowOff>0</xdr:rowOff>
    </xdr:from>
    <xdr:to>
      <xdr:col>7</xdr:col>
      <xdr:colOff>238125</xdr:colOff>
      <xdr:row>2</xdr:row>
      <xdr:rowOff>0</xdr:rowOff>
    </xdr:to>
    <mc:AlternateContent xmlns:mc="http://schemas.openxmlformats.org/markup-compatibility/2006" xmlns:sle15="http://schemas.microsoft.com/office/drawing/2012/slicer">
      <mc:Choice Requires="sle15">
        <xdr:graphicFrame macro="">
          <xdr:nvGraphicFramePr>
            <xdr:cNvPr id="2" name="Artist 4">
              <a:extLst>
                <a:ext uri="{FF2B5EF4-FFF2-40B4-BE49-F238E27FC236}">
                  <a16:creationId xmlns:a16="http://schemas.microsoft.com/office/drawing/2014/main" id="{00000000-0008-0000-0E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4"/>
            </a:graphicData>
          </a:graphic>
        </xdr:graphicFrame>
      </mc:Choice>
      <mc:Fallback xmlns="">
        <xdr:sp macro="" textlink="">
          <xdr:nvSpPr>
            <xdr:cNvPr id="0" name=""/>
            <xdr:cNvSpPr>
              <a:spLocks noTextEdit="1"/>
            </xdr:cNvSpPr>
          </xdr:nvSpPr>
          <xdr:spPr>
            <a:xfrm>
              <a:off x="3362325" y="0"/>
              <a:ext cx="287655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0</xdr:colOff>
      <xdr:row>0</xdr:row>
      <xdr:rowOff>0</xdr:rowOff>
    </xdr:from>
    <xdr:to>
      <xdr:col>17</xdr:col>
      <xdr:colOff>0</xdr:colOff>
      <xdr:row>2</xdr:row>
      <xdr:rowOff>0</xdr:rowOff>
    </xdr:to>
    <mc:AlternateContent xmlns:mc="http://schemas.openxmlformats.org/markup-compatibility/2006" xmlns:sle15="http://schemas.microsoft.com/office/drawing/2012/slicer">
      <mc:Choice Requires="sle15">
        <xdr:graphicFrame macro="">
          <xdr:nvGraphicFramePr>
            <xdr:cNvPr id="3" name="Status 3">
              <a:extLst>
                <a:ext uri="{FF2B5EF4-FFF2-40B4-BE49-F238E27FC236}">
                  <a16:creationId xmlns:a16="http://schemas.microsoft.com/office/drawing/2014/main" id="{00000000-0008-0000-0E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3"/>
            </a:graphicData>
          </a:graphic>
        </xdr:graphicFrame>
      </mc:Choice>
      <mc:Fallback xmlns="">
        <xdr:sp macro="" textlink="">
          <xdr:nvSpPr>
            <xdr:cNvPr id="0" name=""/>
            <xdr:cNvSpPr>
              <a:spLocks noTextEdit="1"/>
            </xdr:cNvSpPr>
          </xdr:nvSpPr>
          <xdr:spPr>
            <a:xfrm>
              <a:off x="12001500" y="0"/>
              <a:ext cx="57054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xdr:col>
      <xdr:colOff>361950</xdr:colOff>
      <xdr:row>0</xdr:row>
      <xdr:rowOff>0</xdr:rowOff>
    </xdr:from>
    <xdr:to>
      <xdr:col>3</xdr:col>
      <xdr:colOff>171450</xdr:colOff>
      <xdr:row>2</xdr:row>
      <xdr:rowOff>0</xdr:rowOff>
    </xdr:to>
    <xdr:graphicFrame macro="">
      <xdr:nvGraphicFramePr>
        <xdr:cNvPr id="4" name="Graphique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xdr:col>
      <xdr:colOff>752474</xdr:colOff>
      <xdr:row>0</xdr:row>
      <xdr:rowOff>257175</xdr:rowOff>
    </xdr:from>
    <xdr:to>
      <xdr:col>2</xdr:col>
      <xdr:colOff>647699</xdr:colOff>
      <xdr:row>1</xdr:row>
      <xdr:rowOff>276224</xdr:rowOff>
    </xdr:to>
    <xdr:sp macro="" textlink="_data_!$J$36">
      <xdr:nvSpPr>
        <xdr:cNvPr id="5" name="ZoneTexte 4">
          <a:extLst>
            <a:ext uri="{FF2B5EF4-FFF2-40B4-BE49-F238E27FC236}">
              <a16:creationId xmlns:a16="http://schemas.microsoft.com/office/drawing/2014/main" id="{00000000-0008-0000-0E00-000005000000}"/>
            </a:ext>
          </a:extLst>
        </xdr:cNvPr>
        <xdr:cNvSpPr txBox="1"/>
      </xdr:nvSpPr>
      <xdr:spPr>
        <a:xfrm>
          <a:off x="1609724" y="257175"/>
          <a:ext cx="75247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7768109-32CD-4C15-8251-730CD676433C}" type="TxLink">
            <a:rPr lang="en-US" sz="1100" b="0" i="0" u="none" strike="noStrike">
              <a:solidFill>
                <a:srgbClr val="000000"/>
              </a:solidFill>
              <a:latin typeface="Aptos"/>
            </a:rPr>
            <a:pPr algn="ctr"/>
            <a:t>23%</a:t>
          </a:fld>
          <a:endParaRPr lang="en-CA" sz="1200"/>
        </a:p>
      </xdr:txBody>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5</xdr:col>
      <xdr:colOff>0</xdr:colOff>
      <xdr:row>0</xdr:row>
      <xdr:rowOff>0</xdr:rowOff>
    </xdr:from>
    <xdr:to>
      <xdr:col>7</xdr:col>
      <xdr:colOff>0</xdr:colOff>
      <xdr:row>2</xdr:row>
      <xdr:rowOff>0</xdr:rowOff>
    </xdr:to>
    <mc:AlternateContent xmlns:mc="http://schemas.openxmlformats.org/markup-compatibility/2006" xmlns:sle15="http://schemas.microsoft.com/office/drawing/2012/slicer">
      <mc:Choice Requires="sle15">
        <xdr:graphicFrame macro="">
          <xdr:nvGraphicFramePr>
            <xdr:cNvPr id="4" name="Applicable">
              <a:extLst>
                <a:ext uri="{FF2B5EF4-FFF2-40B4-BE49-F238E27FC236}">
                  <a16:creationId xmlns:a16="http://schemas.microsoft.com/office/drawing/2014/main" id="{00000000-0008-0000-0F00-000004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pplicable"/>
            </a:graphicData>
          </a:graphic>
        </xdr:graphicFrame>
      </mc:Choice>
      <mc:Fallback xmlns="">
        <xdr:sp macro="" textlink="">
          <xdr:nvSpPr>
            <xdr:cNvPr id="0" name=""/>
            <xdr:cNvSpPr>
              <a:spLocks noTextEdit="1"/>
            </xdr:cNvSpPr>
          </xdr:nvSpPr>
          <xdr:spPr>
            <a:xfrm>
              <a:off x="4114800" y="0"/>
              <a:ext cx="2152650" cy="8572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7</xdr:col>
      <xdr:colOff>47625</xdr:colOff>
      <xdr:row>0</xdr:row>
      <xdr:rowOff>0</xdr:rowOff>
    </xdr:from>
    <xdr:to>
      <xdr:col>9</xdr:col>
      <xdr:colOff>762000</xdr:colOff>
      <xdr:row>2</xdr:row>
      <xdr:rowOff>0</xdr:rowOff>
    </xdr:to>
    <mc:AlternateContent xmlns:mc="http://schemas.openxmlformats.org/markup-compatibility/2006" xmlns:sle15="http://schemas.microsoft.com/office/drawing/2012/slicer">
      <mc:Choice Requires="sle15">
        <xdr:graphicFrame macro="">
          <xdr:nvGraphicFramePr>
            <xdr:cNvPr id="5" name="Ready">
              <a:extLst>
                <a:ext uri="{FF2B5EF4-FFF2-40B4-BE49-F238E27FC236}">
                  <a16:creationId xmlns:a16="http://schemas.microsoft.com/office/drawing/2014/main" id="{00000000-0008-0000-0F00-000005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ady"/>
            </a:graphicData>
          </a:graphic>
        </xdr:graphicFrame>
      </mc:Choice>
      <mc:Fallback xmlns="">
        <xdr:sp macro="" textlink="">
          <xdr:nvSpPr>
            <xdr:cNvPr id="0" name=""/>
            <xdr:cNvSpPr>
              <a:spLocks noTextEdit="1"/>
            </xdr:cNvSpPr>
          </xdr:nvSpPr>
          <xdr:spPr>
            <a:xfrm>
              <a:off x="6315075" y="0"/>
              <a:ext cx="2828925" cy="8572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absolute">
    <xdr:from>
      <xdr:col>4</xdr:col>
      <xdr:colOff>142875</xdr:colOff>
      <xdr:row>0</xdr:row>
      <xdr:rowOff>0</xdr:rowOff>
    </xdr:from>
    <xdr:to>
      <xdr:col>7</xdr:col>
      <xdr:colOff>0</xdr:colOff>
      <xdr:row>2</xdr:row>
      <xdr:rowOff>0</xdr:rowOff>
    </xdr:to>
    <mc:AlternateContent xmlns:mc="http://schemas.openxmlformats.org/markup-compatibility/2006" xmlns:sle15="http://schemas.microsoft.com/office/drawing/2012/slicer">
      <mc:Choice Requires="sle15">
        <xdr:graphicFrame macro="">
          <xdr:nvGraphicFramePr>
            <xdr:cNvPr id="2" name="Artist 5">
              <a:extLst>
                <a:ext uri="{FF2B5EF4-FFF2-40B4-BE49-F238E27FC236}">
                  <a16:creationId xmlns:a16="http://schemas.microsoft.com/office/drawing/2014/main" id="{00000000-0008-0000-10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5"/>
            </a:graphicData>
          </a:graphic>
        </xdr:graphicFrame>
      </mc:Choice>
      <mc:Fallback xmlns="">
        <xdr:sp macro="" textlink="">
          <xdr:nvSpPr>
            <xdr:cNvPr id="0" name=""/>
            <xdr:cNvSpPr>
              <a:spLocks noTextEdit="1"/>
            </xdr:cNvSpPr>
          </xdr:nvSpPr>
          <xdr:spPr>
            <a:xfrm>
              <a:off x="3762375" y="0"/>
              <a:ext cx="257175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0</xdr:colOff>
      <xdr:row>0</xdr:row>
      <xdr:rowOff>0</xdr:rowOff>
    </xdr:from>
    <xdr:to>
      <xdr:col>16</xdr:col>
      <xdr:colOff>3943350</xdr:colOff>
      <xdr:row>2</xdr:row>
      <xdr:rowOff>0</xdr:rowOff>
    </xdr:to>
    <mc:AlternateContent xmlns:mc="http://schemas.openxmlformats.org/markup-compatibility/2006" xmlns:sle15="http://schemas.microsoft.com/office/drawing/2012/slicer">
      <mc:Choice Requires="sle15">
        <xdr:graphicFrame macro="">
          <xdr:nvGraphicFramePr>
            <xdr:cNvPr id="3" name="Status 4">
              <a:extLst>
                <a:ext uri="{FF2B5EF4-FFF2-40B4-BE49-F238E27FC236}">
                  <a16:creationId xmlns:a16="http://schemas.microsoft.com/office/drawing/2014/main" id="{00000000-0008-0000-10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4"/>
            </a:graphicData>
          </a:graphic>
        </xdr:graphicFrame>
      </mc:Choice>
      <mc:Fallback xmlns="">
        <xdr:sp macro="" textlink="">
          <xdr:nvSpPr>
            <xdr:cNvPr id="0" name=""/>
            <xdr:cNvSpPr>
              <a:spLocks noTextEdit="1"/>
            </xdr:cNvSpPr>
          </xdr:nvSpPr>
          <xdr:spPr>
            <a:xfrm>
              <a:off x="12668250" y="0"/>
              <a:ext cx="575310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600075</xdr:colOff>
      <xdr:row>0</xdr:row>
      <xdr:rowOff>0</xdr:rowOff>
    </xdr:from>
    <xdr:to>
      <xdr:col>4</xdr:col>
      <xdr:colOff>314325</xdr:colOff>
      <xdr:row>2</xdr:row>
      <xdr:rowOff>0</xdr:rowOff>
    </xdr:to>
    <xdr:graphicFrame macro="">
      <xdr:nvGraphicFramePr>
        <xdr:cNvPr id="4" name="Graphique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66674</xdr:colOff>
      <xdr:row>0</xdr:row>
      <xdr:rowOff>247650</xdr:rowOff>
    </xdr:from>
    <xdr:to>
      <xdr:col>3</xdr:col>
      <xdr:colOff>876299</xdr:colOff>
      <xdr:row>1</xdr:row>
      <xdr:rowOff>266699</xdr:rowOff>
    </xdr:to>
    <xdr:sp macro="" textlink="_data_!$K$36">
      <xdr:nvSpPr>
        <xdr:cNvPr id="5" name="ZoneTexte 4">
          <a:extLst>
            <a:ext uri="{FF2B5EF4-FFF2-40B4-BE49-F238E27FC236}">
              <a16:creationId xmlns:a16="http://schemas.microsoft.com/office/drawing/2014/main" id="{00000000-0008-0000-1000-000005000000}"/>
            </a:ext>
          </a:extLst>
        </xdr:cNvPr>
        <xdr:cNvSpPr txBox="1"/>
      </xdr:nvSpPr>
      <xdr:spPr>
        <a:xfrm>
          <a:off x="2781299" y="247650"/>
          <a:ext cx="80962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49CCA5-9630-4912-BAE6-90A9CD08244A}" type="TxLink">
            <a:rPr lang="en-US" sz="1100" b="0" i="0" u="none" strike="noStrike">
              <a:solidFill>
                <a:srgbClr val="000000"/>
              </a:solidFill>
              <a:latin typeface="Aptos"/>
            </a:rPr>
            <a:pPr algn="ctr"/>
            <a:t>43%</a:t>
          </a:fld>
          <a:endParaRPr lang="en-CA" sz="1200"/>
        </a:p>
      </xdr:txBody>
    </xdr:sp>
    <xdr:clientData/>
  </xdr:twoCellAnchor>
  <xdr:twoCellAnchor editAs="absolute">
    <xdr:from>
      <xdr:col>16</xdr:col>
      <xdr:colOff>4143375</xdr:colOff>
      <xdr:row>0</xdr:row>
      <xdr:rowOff>1</xdr:rowOff>
    </xdr:from>
    <xdr:to>
      <xdr:col>18</xdr:col>
      <xdr:colOff>0</xdr:colOff>
      <xdr:row>2</xdr:row>
      <xdr:rowOff>0</xdr:rowOff>
    </xdr:to>
    <mc:AlternateContent xmlns:mc="http://schemas.openxmlformats.org/markup-compatibility/2006" xmlns:sle15="http://schemas.microsoft.com/office/drawing/2012/slicer">
      <mc:Choice Requires="sle15">
        <xdr:graphicFrame macro="">
          <xdr:nvGraphicFramePr>
            <xdr:cNvPr id="13" name="Cam fixed">
              <a:extLst>
                <a:ext uri="{FF2B5EF4-FFF2-40B4-BE49-F238E27FC236}">
                  <a16:creationId xmlns:a16="http://schemas.microsoft.com/office/drawing/2014/main" id="{00000000-0008-0000-1000-00000D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m fixed"/>
            </a:graphicData>
          </a:graphic>
        </xdr:graphicFrame>
      </mc:Choice>
      <mc:Fallback xmlns="">
        <xdr:sp macro="" textlink="">
          <xdr:nvSpPr>
            <xdr:cNvPr id="0" name=""/>
            <xdr:cNvSpPr>
              <a:spLocks noTextEdit="1"/>
            </xdr:cNvSpPr>
          </xdr:nvSpPr>
          <xdr:spPr>
            <a:xfrm>
              <a:off x="18621375" y="1"/>
              <a:ext cx="2895600" cy="1047749"/>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editAs="absolute">
    <xdr:from>
      <xdr:col>3</xdr:col>
      <xdr:colOff>704850</xdr:colOff>
      <xdr:row>0</xdr:row>
      <xdr:rowOff>0</xdr:rowOff>
    </xdr:from>
    <xdr:to>
      <xdr:col>7</xdr:col>
      <xdr:colOff>0</xdr:colOff>
      <xdr:row>2</xdr:row>
      <xdr:rowOff>0</xdr:rowOff>
    </xdr:to>
    <mc:AlternateContent xmlns:mc="http://schemas.openxmlformats.org/markup-compatibility/2006" xmlns:sle15="http://schemas.microsoft.com/office/drawing/2012/slicer">
      <mc:Choice Requires="sle15">
        <xdr:graphicFrame macro="">
          <xdr:nvGraphicFramePr>
            <xdr:cNvPr id="2" name="Artist 6">
              <a:extLst>
                <a:ext uri="{FF2B5EF4-FFF2-40B4-BE49-F238E27FC236}">
                  <a16:creationId xmlns:a16="http://schemas.microsoft.com/office/drawing/2014/main" id="{00000000-0008-0000-11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rtist 6"/>
            </a:graphicData>
          </a:graphic>
        </xdr:graphicFrame>
      </mc:Choice>
      <mc:Fallback xmlns="">
        <xdr:sp macro="" textlink="">
          <xdr:nvSpPr>
            <xdr:cNvPr id="0" name=""/>
            <xdr:cNvSpPr>
              <a:spLocks noTextEdit="1"/>
            </xdr:cNvSpPr>
          </xdr:nvSpPr>
          <xdr:spPr>
            <a:xfrm>
              <a:off x="3419475" y="0"/>
              <a:ext cx="291465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14</xdr:col>
      <xdr:colOff>0</xdr:colOff>
      <xdr:row>0</xdr:row>
      <xdr:rowOff>0</xdr:rowOff>
    </xdr:from>
    <xdr:to>
      <xdr:col>16</xdr:col>
      <xdr:colOff>3190875</xdr:colOff>
      <xdr:row>2</xdr:row>
      <xdr:rowOff>0</xdr:rowOff>
    </xdr:to>
    <mc:AlternateContent xmlns:mc="http://schemas.openxmlformats.org/markup-compatibility/2006" xmlns:sle15="http://schemas.microsoft.com/office/drawing/2012/slicer">
      <mc:Choice Requires="sle15">
        <xdr:graphicFrame macro="">
          <xdr:nvGraphicFramePr>
            <xdr:cNvPr id="3" name="Status 5">
              <a:extLst>
                <a:ext uri="{FF2B5EF4-FFF2-40B4-BE49-F238E27FC236}">
                  <a16:creationId xmlns:a16="http://schemas.microsoft.com/office/drawing/2014/main" id="{00000000-0008-0000-1100-000003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5"/>
            </a:graphicData>
          </a:graphic>
        </xdr:graphicFrame>
      </mc:Choice>
      <mc:Fallback xmlns="">
        <xdr:sp macro="" textlink="">
          <xdr:nvSpPr>
            <xdr:cNvPr id="0" name=""/>
            <xdr:cNvSpPr>
              <a:spLocks noTextEdit="1"/>
            </xdr:cNvSpPr>
          </xdr:nvSpPr>
          <xdr:spPr>
            <a:xfrm>
              <a:off x="12668250" y="0"/>
              <a:ext cx="500062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304800</xdr:colOff>
      <xdr:row>0</xdr:row>
      <xdr:rowOff>0</xdr:rowOff>
    </xdr:from>
    <xdr:to>
      <xdr:col>3</xdr:col>
      <xdr:colOff>514350</xdr:colOff>
      <xdr:row>2</xdr:row>
      <xdr:rowOff>0</xdr:rowOff>
    </xdr:to>
    <xdr:graphicFrame macro="">
      <xdr:nvGraphicFramePr>
        <xdr:cNvPr id="4" name="Graphique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466725</xdr:colOff>
      <xdr:row>0</xdr:row>
      <xdr:rowOff>247650</xdr:rowOff>
    </xdr:from>
    <xdr:to>
      <xdr:col>3</xdr:col>
      <xdr:colOff>352425</xdr:colOff>
      <xdr:row>1</xdr:row>
      <xdr:rowOff>266699</xdr:rowOff>
    </xdr:to>
    <xdr:sp macro="" textlink="_data_!$L$36">
      <xdr:nvSpPr>
        <xdr:cNvPr id="5" name="ZoneTexte 4">
          <a:extLst>
            <a:ext uri="{FF2B5EF4-FFF2-40B4-BE49-F238E27FC236}">
              <a16:creationId xmlns:a16="http://schemas.microsoft.com/office/drawing/2014/main" id="{00000000-0008-0000-1100-000005000000}"/>
            </a:ext>
          </a:extLst>
        </xdr:cNvPr>
        <xdr:cNvSpPr txBox="1"/>
      </xdr:nvSpPr>
      <xdr:spPr>
        <a:xfrm>
          <a:off x="2276475" y="247650"/>
          <a:ext cx="790575"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B5ECBB-AE3A-4161-8D14-3B46E7BA2307}" type="TxLink">
            <a:rPr lang="en-US" sz="1100" b="0" i="0" u="none" strike="noStrike">
              <a:solidFill>
                <a:srgbClr val="000000"/>
              </a:solidFill>
              <a:latin typeface="Aptos"/>
            </a:rPr>
            <a:pPr algn="ctr"/>
            <a:t>24%</a:t>
          </a:fld>
          <a:endParaRPr lang="en-CA" sz="1200"/>
        </a:p>
      </xdr:txBody>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13</xdr:col>
      <xdr:colOff>828675</xdr:colOff>
      <xdr:row>0</xdr:row>
      <xdr:rowOff>0</xdr:rowOff>
    </xdr:from>
    <xdr:to>
      <xdr:col>16</xdr:col>
      <xdr:colOff>4010025</xdr:colOff>
      <xdr:row>2</xdr:row>
      <xdr:rowOff>0</xdr:rowOff>
    </xdr:to>
    <mc:AlternateContent xmlns:mc="http://schemas.openxmlformats.org/markup-compatibility/2006" xmlns:sle15="http://schemas.microsoft.com/office/drawing/2012/slicer">
      <mc:Choice Requires="sle15">
        <xdr:graphicFrame macro="">
          <xdr:nvGraphicFramePr>
            <xdr:cNvPr id="2" name="Status 11">
              <a:extLst>
                <a:ext uri="{FF2B5EF4-FFF2-40B4-BE49-F238E27FC236}">
                  <a16:creationId xmlns:a16="http://schemas.microsoft.com/office/drawing/2014/main" id="{00000000-0008-0000-12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us 11"/>
            </a:graphicData>
          </a:graphic>
        </xdr:graphicFrame>
      </mc:Choice>
      <mc:Fallback xmlns="">
        <xdr:sp macro="" textlink="">
          <xdr:nvSpPr>
            <xdr:cNvPr id="0" name=""/>
            <xdr:cNvSpPr>
              <a:spLocks noTextEdit="1"/>
            </xdr:cNvSpPr>
          </xdr:nvSpPr>
          <xdr:spPr>
            <a:xfrm>
              <a:off x="11972925" y="0"/>
              <a:ext cx="5753100"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twoCellAnchor editAs="absolute">
    <xdr:from>
      <xdr:col>2</xdr:col>
      <xdr:colOff>390525</xdr:colOff>
      <xdr:row>0</xdr:row>
      <xdr:rowOff>0</xdr:rowOff>
    </xdr:from>
    <xdr:to>
      <xdr:col>4</xdr:col>
      <xdr:colOff>142875</xdr:colOff>
      <xdr:row>2</xdr:row>
      <xdr:rowOff>0</xdr:rowOff>
    </xdr:to>
    <xdr:graphicFrame macro="">
      <xdr:nvGraphicFramePr>
        <xdr:cNvPr id="3" name="Graphique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704850</xdr:colOff>
      <xdr:row>0</xdr:row>
      <xdr:rowOff>247650</xdr:rowOff>
    </xdr:from>
    <xdr:to>
      <xdr:col>3</xdr:col>
      <xdr:colOff>666750</xdr:colOff>
      <xdr:row>1</xdr:row>
      <xdr:rowOff>266699</xdr:rowOff>
    </xdr:to>
    <xdr:sp macro="" textlink="_data_!$I$49">
      <xdr:nvSpPr>
        <xdr:cNvPr id="4" name="ZoneTexte 3">
          <a:extLst>
            <a:ext uri="{FF2B5EF4-FFF2-40B4-BE49-F238E27FC236}">
              <a16:creationId xmlns:a16="http://schemas.microsoft.com/office/drawing/2014/main" id="{00000000-0008-0000-1200-000004000000}"/>
            </a:ext>
          </a:extLst>
        </xdr:cNvPr>
        <xdr:cNvSpPr txBox="1"/>
      </xdr:nvSpPr>
      <xdr:spPr>
        <a:xfrm>
          <a:off x="2419350" y="247650"/>
          <a:ext cx="819150" cy="542924"/>
        </a:xfrm>
        <a:prstGeom prst="flowChartConnector">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8A2FAA0-808F-4FE0-98FB-E3E98C8679AF}" type="TxLink">
            <a:rPr lang="en-US" sz="1100" b="0" i="0" u="none" strike="noStrike">
              <a:solidFill>
                <a:srgbClr val="000000"/>
              </a:solidFill>
              <a:latin typeface="Aptos"/>
            </a:rPr>
            <a:pPr algn="ctr"/>
            <a:t>63%</a:t>
          </a:fld>
          <a:endParaRPr lang="en-CA"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3</xdr:col>
      <xdr:colOff>1162050</xdr:colOff>
      <xdr:row>0</xdr:row>
      <xdr:rowOff>0</xdr:rowOff>
    </xdr:from>
    <xdr:to>
      <xdr:col>5</xdr:col>
      <xdr:colOff>0</xdr:colOff>
      <xdr:row>2</xdr:row>
      <xdr:rowOff>0</xdr:rowOff>
    </xdr:to>
    <mc:AlternateContent xmlns:mc="http://schemas.openxmlformats.org/markup-compatibility/2006" xmlns:sle15="http://schemas.microsoft.com/office/drawing/2012/slicer">
      <mc:Choice Requires="sle15">
        <xdr:graphicFrame macro="">
          <xdr:nvGraphicFramePr>
            <xdr:cNvPr id="2" name="Type 5">
              <a:extLst>
                <a:ext uri="{FF2B5EF4-FFF2-40B4-BE49-F238E27FC236}">
                  <a16:creationId xmlns:a16="http://schemas.microsoft.com/office/drawing/2014/main" id="{00000000-0008-0000-1300-000002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ype 5"/>
            </a:graphicData>
          </a:graphic>
        </xdr:graphicFrame>
      </mc:Choice>
      <mc:Fallback xmlns="">
        <xdr:sp macro="" textlink="">
          <xdr:nvSpPr>
            <xdr:cNvPr id="0" name=""/>
            <xdr:cNvSpPr>
              <a:spLocks noTextEdit="1"/>
            </xdr:cNvSpPr>
          </xdr:nvSpPr>
          <xdr:spPr>
            <a:xfrm>
              <a:off x="4924425" y="0"/>
              <a:ext cx="4714875" cy="104775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editAs="absolute">
    <xdr:from>
      <xdr:col>8</xdr:col>
      <xdr:colOff>12837</xdr:colOff>
      <xdr:row>0</xdr:row>
      <xdr:rowOff>1</xdr:rowOff>
    </xdr:from>
    <xdr:to>
      <xdr:col>13</xdr:col>
      <xdr:colOff>25675</xdr:colOff>
      <xdr:row>2</xdr:row>
      <xdr:rowOff>1</xdr:rowOff>
    </xdr:to>
    <mc:AlternateContent xmlns:mc="http://schemas.openxmlformats.org/markup-compatibility/2006" xmlns:sle15="http://schemas.microsoft.com/office/drawing/2012/slicer">
      <mc:Choice Requires="sle15">
        <xdr:graphicFrame macro="">
          <xdr:nvGraphicFramePr>
            <xdr:cNvPr id="11" name="Modif">
              <a:extLst>
                <a:ext uri="{FF2B5EF4-FFF2-40B4-BE49-F238E27FC236}">
                  <a16:creationId xmlns:a16="http://schemas.microsoft.com/office/drawing/2014/main" id="{00000000-0008-0000-1400-00000B0000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dif"/>
            </a:graphicData>
          </a:graphic>
        </xdr:graphicFrame>
      </mc:Choice>
      <mc:Fallback xmlns="">
        <xdr:sp macro="" textlink="">
          <xdr:nvSpPr>
            <xdr:cNvPr id="0" name=""/>
            <xdr:cNvSpPr>
              <a:spLocks noTextEdit="1"/>
            </xdr:cNvSpPr>
          </xdr:nvSpPr>
          <xdr:spPr>
            <a:xfrm>
              <a:off x="9375912" y="1"/>
              <a:ext cx="4232413" cy="762000"/>
            </a:xfrm>
            <a:prstGeom prst="rect">
              <a:avLst/>
            </a:prstGeom>
            <a:solidFill>
              <a:prstClr val="white"/>
            </a:solidFill>
            <a:ln w="1">
              <a:solidFill>
                <a:prstClr val="green"/>
              </a:solidFill>
            </a:ln>
          </xdr:spPr>
          <xdr:txBody>
            <a:bodyPr vertOverflow="clip" horzOverflow="clip"/>
            <a:lstStyle/>
            <a:p>
              <a:r>
                <a:rPr lang="en-CA" sz="1100"/>
                <a:t>Cette forme représente un segment de table. Les segments de table ne sont pas pris en charge dans cette version d’Excel.
En revanche, si la forme a été modifiée dans une version antérieure d’Excel, ou si le classeur a été enregistré dans Excel 2007 ou une version antérieure, vous ne pouvez pas utiliser le segment.</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1</xdr:row>
          <xdr:rowOff>0</xdr:rowOff>
        </xdr:from>
        <xdr:to>
          <xdr:col>8</xdr:col>
          <xdr:colOff>142875</xdr:colOff>
          <xdr:row>3</xdr:row>
          <xdr:rowOff>95250</xdr:rowOff>
        </xdr:to>
        <xdr:sp macro="" textlink="">
          <xdr:nvSpPr>
            <xdr:cNvPr id="17409" name="Scroll Bar 1" hidden="1">
              <a:extLst>
                <a:ext uri="{63B3BB69-23CF-44E3-9099-C40C66FF867C}">
                  <a14:compatExt spid="_x0000_s17409"/>
                </a:ext>
                <a:ext uri="{FF2B5EF4-FFF2-40B4-BE49-F238E27FC236}">
                  <a16:creationId xmlns:a16="http://schemas.microsoft.com/office/drawing/2014/main" id="{00000000-0008-0000-1600-0000014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14</xdr:col>
      <xdr:colOff>0</xdr:colOff>
      <xdr:row>1</xdr:row>
      <xdr:rowOff>0</xdr:rowOff>
    </xdr:from>
    <xdr:to>
      <xdr:col>16</xdr:col>
      <xdr:colOff>0</xdr:colOff>
      <xdr:row>3</xdr:row>
      <xdr:rowOff>0</xdr:rowOff>
    </xdr:to>
    <xdr:sp macro="" textlink="_data_!$M$29">
      <xdr:nvSpPr>
        <xdr:cNvPr id="2" name="ZoneTexte 1">
          <a:extLst>
            <a:ext uri="{FF2B5EF4-FFF2-40B4-BE49-F238E27FC236}">
              <a16:creationId xmlns:a16="http://schemas.microsoft.com/office/drawing/2014/main" id="{00000000-0008-0000-1600-000002000000}"/>
            </a:ext>
          </a:extLst>
        </xdr:cNvPr>
        <xdr:cNvSpPr txBox="1"/>
      </xdr:nvSpPr>
      <xdr:spPr>
        <a:xfrm>
          <a:off x="8362950" y="333375"/>
          <a:ext cx="11430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68C4AF-A488-4832-8FCF-D4EB4E62C381}" type="TxLink">
            <a:rPr lang="en-US" sz="1800" b="1" i="0" u="none" strike="noStrike">
              <a:solidFill>
                <a:srgbClr val="000000"/>
              </a:solidFill>
              <a:latin typeface="Aptos" panose="020B0004020202020204" pitchFamily="34" charset="0"/>
              <a:ea typeface="Calibri"/>
              <a:cs typeface="Calibri"/>
            </a:rPr>
            <a:pPr algn="ctr"/>
            <a:t>2 jours</a:t>
          </a:fld>
          <a:endParaRPr lang="en-CA" sz="4000" b="1">
            <a:latin typeface="Aptos" panose="020B0004020202020204" pitchFamily="34" charset="0"/>
          </a:endParaRPr>
        </a:p>
      </xdr:txBody>
    </xdr:sp>
    <xdr:clientData/>
  </xdr:twoCellAnchor>
  <xdr:twoCellAnchor>
    <xdr:from>
      <xdr:col>19</xdr:col>
      <xdr:colOff>47625</xdr:colOff>
      <xdr:row>1</xdr:row>
      <xdr:rowOff>0</xdr:rowOff>
    </xdr:from>
    <xdr:to>
      <xdr:col>21</xdr:col>
      <xdr:colOff>47626</xdr:colOff>
      <xdr:row>3</xdr:row>
      <xdr:rowOff>0</xdr:rowOff>
    </xdr:to>
    <xdr:sp macro="" textlink="_data_!$M$30">
      <xdr:nvSpPr>
        <xdr:cNvPr id="3" name="ZoneTexte 2">
          <a:extLst>
            <a:ext uri="{FF2B5EF4-FFF2-40B4-BE49-F238E27FC236}">
              <a16:creationId xmlns:a16="http://schemas.microsoft.com/office/drawing/2014/main" id="{00000000-0008-0000-1600-000003000000}"/>
            </a:ext>
          </a:extLst>
        </xdr:cNvPr>
        <xdr:cNvSpPr txBox="1"/>
      </xdr:nvSpPr>
      <xdr:spPr>
        <a:xfrm>
          <a:off x="11268075" y="333375"/>
          <a:ext cx="1143001"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D0727F-D814-46BD-8F0B-2F7F77D3A38B}" type="TxLink">
            <a:rPr lang="en-US" sz="1800" b="1" i="0" u="none" strike="noStrike">
              <a:solidFill>
                <a:srgbClr val="000000"/>
              </a:solidFill>
              <a:latin typeface="Aptos" panose="020B0004020202020204" pitchFamily="34" charset="0"/>
              <a:ea typeface="Calibri"/>
              <a:cs typeface="Calibri"/>
            </a:rPr>
            <a:pPr algn="ctr"/>
            <a:t>16 jours</a:t>
          </a:fld>
          <a:endParaRPr lang="en-CA" sz="4000" b="1">
            <a:latin typeface="Aptos" panose="020B0004020202020204" pitchFamily="34" charset="0"/>
          </a:endParaRPr>
        </a:p>
      </xdr:txBody>
    </xdr:sp>
    <xdr:clientData/>
  </xdr:twoCellAnchor>
  <xdr:twoCellAnchor>
    <xdr:from>
      <xdr:col>26</xdr:col>
      <xdr:colOff>0</xdr:colOff>
      <xdr:row>1</xdr:row>
      <xdr:rowOff>2721</xdr:rowOff>
    </xdr:from>
    <xdr:to>
      <xdr:col>29</xdr:col>
      <xdr:colOff>1</xdr:colOff>
      <xdr:row>3</xdr:row>
      <xdr:rowOff>0</xdr:rowOff>
    </xdr:to>
    <xdr:sp macro="" textlink="_data_!$M$31">
      <xdr:nvSpPr>
        <xdr:cNvPr id="4" name="ZoneTexte 3">
          <a:extLst>
            <a:ext uri="{FF2B5EF4-FFF2-40B4-BE49-F238E27FC236}">
              <a16:creationId xmlns:a16="http://schemas.microsoft.com/office/drawing/2014/main" id="{00000000-0008-0000-1600-000004000000}"/>
            </a:ext>
          </a:extLst>
        </xdr:cNvPr>
        <xdr:cNvSpPr txBox="1"/>
      </xdr:nvSpPr>
      <xdr:spPr>
        <a:xfrm>
          <a:off x="19088100" y="288471"/>
          <a:ext cx="2143126" cy="5687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521246-7CFA-43D6-AF83-847057097E85}" type="TxLink">
            <a:rPr lang="en-US" sz="1800" b="1" i="0" u="none" strike="noStrike">
              <a:solidFill>
                <a:srgbClr val="000000"/>
              </a:solidFill>
              <a:latin typeface="Aptos" panose="020B0004020202020204" pitchFamily="34" charset="0"/>
              <a:ea typeface="Calibri"/>
              <a:cs typeface="Calibri"/>
            </a:rPr>
            <a:pPr algn="ctr"/>
            <a:t>38 jours</a:t>
          </a:fld>
          <a:endParaRPr lang="en-CA" sz="4000" b="1">
            <a:latin typeface="Aptos" panose="020B0004020202020204" pitchFamily="34" charset="0"/>
          </a:endParaRPr>
        </a:p>
      </xdr:txBody>
    </xdr:sp>
    <xdr:clientData/>
  </xdr:twoCellAnchor>
  <xdr:twoCellAnchor>
    <xdr:from>
      <xdr:col>22</xdr:col>
      <xdr:colOff>0</xdr:colOff>
      <xdr:row>1</xdr:row>
      <xdr:rowOff>3283</xdr:rowOff>
    </xdr:from>
    <xdr:to>
      <xdr:col>26</xdr:col>
      <xdr:colOff>0</xdr:colOff>
      <xdr:row>3</xdr:row>
      <xdr:rowOff>3283</xdr:rowOff>
    </xdr:to>
    <xdr:sp macro="" textlink="">
      <xdr:nvSpPr>
        <xdr:cNvPr id="5" name="ZoneTexte 4">
          <a:extLst>
            <a:ext uri="{FF2B5EF4-FFF2-40B4-BE49-F238E27FC236}">
              <a16:creationId xmlns:a16="http://schemas.microsoft.com/office/drawing/2014/main" id="{00000000-0008-0000-1600-000005000000}"/>
            </a:ext>
          </a:extLst>
        </xdr:cNvPr>
        <xdr:cNvSpPr txBox="1"/>
      </xdr:nvSpPr>
      <xdr:spPr>
        <a:xfrm>
          <a:off x="12934950" y="336658"/>
          <a:ext cx="22860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a:latin typeface="Aptos" panose="020B0004020202020204" pitchFamily="34" charset="0"/>
            </a:rPr>
            <a:t>Livraison finale</a:t>
          </a:r>
        </a:p>
      </xdr:txBody>
    </xdr:sp>
    <xdr:clientData/>
  </xdr:twoCellAnchor>
  <xdr:twoCellAnchor>
    <xdr:from>
      <xdr:col>16</xdr:col>
      <xdr:colOff>571499</xdr:colOff>
      <xdr:row>1</xdr:row>
      <xdr:rowOff>0</xdr:rowOff>
    </xdr:from>
    <xdr:to>
      <xdr:col>19</xdr:col>
      <xdr:colOff>47624</xdr:colOff>
      <xdr:row>3</xdr:row>
      <xdr:rowOff>0</xdr:rowOff>
    </xdr:to>
    <xdr:sp macro="" textlink="">
      <xdr:nvSpPr>
        <xdr:cNvPr id="22" name="ZoneTexte 5">
          <a:extLst>
            <a:ext uri="{FF2B5EF4-FFF2-40B4-BE49-F238E27FC236}">
              <a16:creationId xmlns:a16="http://schemas.microsoft.com/office/drawing/2014/main" id="{00000000-0008-0000-1600-000016000000}"/>
            </a:ext>
          </a:extLst>
        </xdr:cNvPr>
        <xdr:cNvSpPr txBox="1"/>
      </xdr:nvSpPr>
      <xdr:spPr>
        <a:xfrm>
          <a:off x="10077449" y="333375"/>
          <a:ext cx="1190625"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a:latin typeface="Aptos" panose="020B0004020202020204" pitchFamily="34" charset="0"/>
            </a:rPr>
            <a:t>Suivi</a:t>
          </a:r>
        </a:p>
      </xdr:txBody>
    </xdr:sp>
    <xdr:clientData/>
  </xdr:twoCellAnchor>
  <xdr:twoCellAnchor>
    <xdr:from>
      <xdr:col>10</xdr:col>
      <xdr:colOff>1</xdr:colOff>
      <xdr:row>1</xdr:row>
      <xdr:rowOff>0</xdr:rowOff>
    </xdr:from>
    <xdr:to>
      <xdr:col>14</xdr:col>
      <xdr:colOff>1</xdr:colOff>
      <xdr:row>3</xdr:row>
      <xdr:rowOff>0</xdr:rowOff>
    </xdr:to>
    <xdr:sp macro="" textlink="">
      <xdr:nvSpPr>
        <xdr:cNvPr id="17" name="ZoneTexte 6">
          <a:extLst>
            <a:ext uri="{FF2B5EF4-FFF2-40B4-BE49-F238E27FC236}">
              <a16:creationId xmlns:a16="http://schemas.microsoft.com/office/drawing/2014/main" id="{00000000-0008-0000-1600-000011000000}"/>
            </a:ext>
          </a:extLst>
        </xdr:cNvPr>
        <xdr:cNvSpPr txBox="1"/>
      </xdr:nvSpPr>
      <xdr:spPr>
        <a:xfrm>
          <a:off x="6076951" y="333375"/>
          <a:ext cx="22860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800">
              <a:latin typeface="Aptos" panose="020B0004020202020204" pitchFamily="34" charset="0"/>
            </a:rPr>
            <a:t>Production</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6</xdr:col>
      <xdr:colOff>0</xdr:colOff>
      <xdr:row>22</xdr:row>
      <xdr:rowOff>0</xdr:rowOff>
    </xdr:from>
    <xdr:to>
      <xdr:col>10</xdr:col>
      <xdr:colOff>0</xdr:colOff>
      <xdr:row>32</xdr:row>
      <xdr:rowOff>0</xdr:rowOff>
    </xdr:to>
    <xdr:sp macro="" textlink="">
      <xdr:nvSpPr>
        <xdr:cNvPr id="2" name="ZoneTexte 1">
          <a:extLst>
            <a:ext uri="{FF2B5EF4-FFF2-40B4-BE49-F238E27FC236}">
              <a16:creationId xmlns:a16="http://schemas.microsoft.com/office/drawing/2014/main" id="{00000000-0008-0000-1700-000002000000}"/>
            </a:ext>
          </a:extLst>
        </xdr:cNvPr>
        <xdr:cNvSpPr txBox="1"/>
      </xdr:nvSpPr>
      <xdr:spPr>
        <a:xfrm>
          <a:off x="11925300" y="4333875"/>
          <a:ext cx="30480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1400" b="1"/>
            <a:t>Update</a:t>
          </a:r>
          <a:r>
            <a:rPr lang="en-CA" sz="1400" b="1" baseline="0"/>
            <a:t> Tasks</a:t>
          </a:r>
        </a:p>
        <a:p>
          <a:pPr algn="l"/>
          <a:endParaRPr lang="en-CA" sz="1400" b="1"/>
        </a:p>
        <a:p>
          <a:pPr marL="342900" indent="-342900">
            <a:buFont typeface="+mj-lt"/>
            <a:buAutoNum type="arabicParenR"/>
          </a:pPr>
          <a:r>
            <a:rPr lang="en-CA" sz="1400"/>
            <a:t>Delete Order, Start Date, End</a:t>
          </a:r>
          <a:r>
            <a:rPr lang="en-CA" sz="1400" baseline="0"/>
            <a:t> Date</a:t>
          </a:r>
        </a:p>
        <a:p>
          <a:pPr marL="342900" marR="0" lvl="0" indent="-342900" defTabSz="914400" eaLnBrk="1" fontAlgn="auto" latinLnBrk="0" hangingPunct="1">
            <a:lnSpc>
              <a:spcPct val="100000"/>
            </a:lnSpc>
            <a:spcBef>
              <a:spcPts val="0"/>
            </a:spcBef>
            <a:spcAft>
              <a:spcPts val="0"/>
            </a:spcAft>
            <a:buClrTx/>
            <a:buSzTx/>
            <a:buFont typeface="+mj-lt"/>
            <a:buAutoNum type="arabicParenR"/>
            <a:tabLst/>
            <a:defRPr/>
          </a:pPr>
          <a:r>
            <a:rPr lang="en-CA" sz="1400">
              <a:solidFill>
                <a:schemeClr val="dk1"/>
              </a:solidFill>
              <a:effectLst/>
              <a:latin typeface="+mn-lt"/>
              <a:ea typeface="+mn-ea"/>
              <a:cs typeface="+mn-cs"/>
            </a:rPr>
            <a:t>Refresh</a:t>
          </a:r>
          <a:r>
            <a:rPr lang="en-CA" sz="1400" baseline="0">
              <a:solidFill>
                <a:schemeClr val="dk1"/>
              </a:solidFill>
              <a:effectLst/>
              <a:latin typeface="+mn-lt"/>
              <a:ea typeface="+mn-ea"/>
              <a:cs typeface="+mn-cs"/>
            </a:rPr>
            <a:t> all (Ctrl + Alt + F5)</a:t>
          </a:r>
          <a:endParaRPr lang="en-CA" sz="1400">
            <a:effectLst/>
          </a:endParaRPr>
        </a:p>
        <a:p>
          <a:pPr marL="342900" indent="-342900">
            <a:buFont typeface="+mj-lt"/>
            <a:buAutoNum type="arabicParenR"/>
          </a:pPr>
          <a:r>
            <a:rPr lang="en-CA" sz="1400" baseline="0"/>
            <a:t>Compute Order</a:t>
          </a:r>
        </a:p>
        <a:p>
          <a:pPr marL="342900" indent="-342900">
            <a:buFont typeface="+mj-lt"/>
            <a:buAutoNum type="arabicParenR"/>
          </a:pPr>
          <a:r>
            <a:rPr lang="en-CA" sz="1400" baseline="0"/>
            <a:t>Copy-paste results</a:t>
          </a:r>
        </a:p>
        <a:p>
          <a:pPr marL="342900" indent="-342900">
            <a:buFont typeface="+mj-lt"/>
            <a:buAutoNum type="arabicParenR"/>
          </a:pPr>
          <a:r>
            <a:rPr lang="en-CA" sz="1400" baseline="0"/>
            <a:t>Sort Tasks</a:t>
          </a:r>
        </a:p>
        <a:p>
          <a:pPr marL="342900" indent="-342900">
            <a:buFont typeface="+mj-lt"/>
            <a:buAutoNum type="arabicParenR"/>
          </a:pPr>
          <a:r>
            <a:rPr lang="en-CA" sz="1400" baseline="0"/>
            <a:t>Compute Start Date and End Date</a:t>
          </a:r>
        </a:p>
      </xdr:txBody>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ffichage 1" id="{13015F62-47EF-463E-A57E-F95A841005A2}">
    <nsvFilter filterId="{56443310-C2B0-4FCA-B74E-728EDD04962C}" ref="A3:Q51" tableId="8"/>
  </namedSheetView>
</namedSheetView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eg"/><Relationship Id="rId47" Type="http://schemas.openxmlformats.org/officeDocument/2006/relationships/image" Target="../media/image47.pn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pn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pn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png"/><Relationship Id="rId43" Type="http://schemas.openxmlformats.org/officeDocument/2006/relationships/image" Target="../media/image43.jpeg"/><Relationship Id="rId48" Type="http://schemas.openxmlformats.org/officeDocument/2006/relationships/image" Target="../media/image48.pn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96">
  <rv s="0">
    <v>0</v>
    <v>4</v>
  </rv>
  <rv s="0">
    <v>1</v>
    <v>4</v>
  </rv>
  <rv s="0">
    <v>2</v>
    <v>4</v>
  </rv>
  <rv s="0">
    <v>3</v>
    <v>4</v>
  </rv>
  <rv s="0">
    <v>4</v>
    <v>4</v>
  </rv>
  <rv s="0">
    <v>5</v>
    <v>4</v>
  </rv>
  <rv s="0">
    <v>6</v>
    <v>4</v>
  </rv>
  <rv s="0">
    <v>7</v>
    <v>4</v>
  </rv>
  <rv s="0">
    <v>8</v>
    <v>4</v>
  </rv>
  <rv s="0">
    <v>9</v>
    <v>4</v>
  </rv>
  <rv s="0">
    <v>10</v>
    <v>4</v>
  </rv>
  <rv s="0">
    <v>11</v>
    <v>4</v>
  </rv>
  <rv s="0">
    <v>12</v>
    <v>4</v>
  </rv>
  <rv s="0">
    <v>13</v>
    <v>4</v>
  </rv>
  <rv s="0">
    <v>14</v>
    <v>4</v>
  </rv>
  <rv s="0">
    <v>15</v>
    <v>4</v>
  </rv>
  <rv s="0">
    <v>16</v>
    <v>4</v>
  </rv>
  <rv s="0">
    <v>17</v>
    <v>4</v>
  </rv>
  <rv s="0">
    <v>18</v>
    <v>4</v>
  </rv>
  <rv s="0">
    <v>19</v>
    <v>4</v>
  </rv>
  <rv s="0">
    <v>20</v>
    <v>4</v>
  </rv>
  <rv s="0">
    <v>21</v>
    <v>4</v>
  </rv>
  <rv s="0">
    <v>22</v>
    <v>4</v>
  </rv>
  <rv s="0">
    <v>23</v>
    <v>4</v>
  </rv>
  <rv s="0">
    <v>24</v>
    <v>4</v>
  </rv>
  <rv s="0">
    <v>25</v>
    <v>4</v>
  </rv>
  <rv s="0">
    <v>26</v>
    <v>4</v>
  </rv>
  <rv s="0">
    <v>27</v>
    <v>4</v>
  </rv>
  <rv s="0">
    <v>28</v>
    <v>4</v>
  </rv>
  <rv s="0">
    <v>29</v>
    <v>4</v>
  </rv>
  <rv s="0">
    <v>30</v>
    <v>4</v>
  </rv>
  <rv s="0">
    <v>31</v>
    <v>4</v>
  </rv>
  <rv s="0">
    <v>32</v>
    <v>4</v>
  </rv>
  <rv s="0">
    <v>33</v>
    <v>4</v>
  </rv>
  <rv s="0">
    <v>34</v>
    <v>4</v>
  </rv>
  <rv s="0">
    <v>35</v>
    <v>4</v>
  </rv>
  <rv s="0">
    <v>36</v>
    <v>4</v>
  </rv>
  <rv s="0">
    <v>37</v>
    <v>4</v>
  </rv>
  <rv s="0">
    <v>38</v>
    <v>4</v>
  </rv>
  <rv s="0">
    <v>39</v>
    <v>4</v>
  </rv>
  <rv s="0">
    <v>40</v>
    <v>4</v>
  </rv>
  <rv s="0">
    <v>41</v>
    <v>4</v>
  </rv>
  <rv s="0">
    <v>42</v>
    <v>4</v>
  </rv>
  <rv s="0">
    <v>43</v>
    <v>4</v>
  </rv>
  <rv s="0">
    <v>44</v>
    <v>4</v>
  </rv>
  <rv s="0">
    <v>45</v>
    <v>4</v>
  </rv>
  <rv s="0">
    <v>46</v>
    <v>4</v>
  </rv>
  <rv s="0">
    <v>47</v>
    <v>4</v>
  </rv>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 xr10:uid="{2999BC0B-A696-4155-B72D-AE7593777A10}" sourceName="Artist">
  <extLst>
    <x:ext xmlns:x15="http://schemas.microsoft.com/office/spreadsheetml/2010/11/main" uri="{2F2917AC-EB37-4324-AD4E-5DD8C200BD13}">
      <x15:tableSlicerCache tableId="1"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1" xr10:uid="{3BB9C596-64E1-4D9F-B34E-C136AEE7F745}" sourceName="Artist">
  <extLst>
    <x:ext xmlns:x15="http://schemas.microsoft.com/office/spreadsheetml/2010/11/main" uri="{2F2917AC-EB37-4324-AD4E-5DD8C200BD13}">
      <x15:tableSlicerCache tableId="3" column="8"/>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 xr10:uid="{5FB85D1D-1697-4889-8CB0-E6B3DCAFEE3C}" sourceName="Status">
  <extLst>
    <x:ext xmlns:x15="http://schemas.microsoft.com/office/spreadsheetml/2010/11/main" uri="{2F2917AC-EB37-4324-AD4E-5DD8C200BD13}">
      <x15:tableSlicerCache tableId="3" column="1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2" xr10:uid="{F50482A6-85A5-4FDD-9927-51BA013C1924}" sourceName="Artist">
  <extLst>
    <x:ext xmlns:x15="http://schemas.microsoft.com/office/spreadsheetml/2010/11/main" uri="{2F2917AC-EB37-4324-AD4E-5DD8C200BD13}">
      <x15:tableSlicerCache tableId="7" column="17"/>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1" xr10:uid="{A256AE4E-F853-4C7F-B799-E5228D5E1150}" sourceName="Status">
  <extLst>
    <x:ext xmlns:x15="http://schemas.microsoft.com/office/spreadsheetml/2010/11/main" uri="{2F2917AC-EB37-4324-AD4E-5DD8C200BD13}">
      <x15:tableSlicerCache tableId="7" column="16"/>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3" xr10:uid="{12C21E1B-BB71-4656-8BB9-66C36EE2B23D}" sourceName="Artist">
  <extLst>
    <x:ext xmlns:x15="http://schemas.microsoft.com/office/spreadsheetml/2010/11/main" uri="{2F2917AC-EB37-4324-AD4E-5DD8C200BD13}">
      <x15:tableSlicerCache tableId="4" column="12"/>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2" xr10:uid="{F02162EB-1DAB-4665-BDEC-62D97BB75771}" sourceName="Status">
  <extLst>
    <x:ext xmlns:x15="http://schemas.microsoft.com/office/spreadsheetml/2010/11/main" uri="{2F2917AC-EB37-4324-AD4E-5DD8C200BD13}">
      <x15:tableSlicerCache tableId="4"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4" xr10:uid="{6B70E39B-95F3-4F44-9A20-40BA5976201B}" sourceName="Artist">
  <extLst>
    <x:ext xmlns:x15="http://schemas.microsoft.com/office/spreadsheetml/2010/11/main" uri="{2F2917AC-EB37-4324-AD4E-5DD8C200BD13}">
      <x15:tableSlicerCache tableId="6" column="12"/>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3" xr10:uid="{40986D1C-2E1B-44EF-BBFA-C959DAC1D8E8}" sourceName="Status">
  <extLst>
    <x:ext xmlns:x15="http://schemas.microsoft.com/office/spreadsheetml/2010/11/main" uri="{2F2917AC-EB37-4324-AD4E-5DD8C200BD13}">
      <x15:tableSlicerCache tableId="6" column="10"/>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5" xr10:uid="{D1A76065-D57B-42E6-B677-F925DC06F21E}" sourceName="Artist">
  <extLst>
    <x:ext xmlns:x15="http://schemas.microsoft.com/office/spreadsheetml/2010/11/main" uri="{2F2917AC-EB37-4324-AD4E-5DD8C200BD13}">
      <x15:tableSlicerCache tableId="5" column="12"/>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4" xr10:uid="{97FA448E-E4BF-4197-88DE-59BDFD5CE186}" sourceName="Status">
  <extLst>
    <x:ext xmlns:x15="http://schemas.microsoft.com/office/spreadsheetml/2010/11/main" uri="{2F2917AC-EB37-4324-AD4E-5DD8C200BD13}">
      <x15:tableSlicerCache tableId="5" column="10"/>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6" xr10:uid="{0CEF3C83-E8D7-4D5A-B6C2-B0A0C36AB6FF}" sourceName="Artist">
  <extLst>
    <x:ext xmlns:x15="http://schemas.microsoft.com/office/spreadsheetml/2010/11/main" uri="{2F2917AC-EB37-4324-AD4E-5DD8C200BD13}">
      <x15:tableSlicerCache tableId="8" column="1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5" xr10:uid="{9B0FE518-D060-4503-9128-BFEDCE5F666C}" sourceName="Status">
  <extLst>
    <x:ext xmlns:x15="http://schemas.microsoft.com/office/spreadsheetml/2010/11/main" uri="{2F2917AC-EB37-4324-AD4E-5DD8C200BD13}">
      <x15:tableSlicerCache tableId="8" column="10"/>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 xr10:uid="{3C4110FD-398A-48B8-ABF5-FECAC6614B5B}" sourceName="Type">
  <extLst>
    <x:ext xmlns:x15="http://schemas.microsoft.com/office/spreadsheetml/2010/11/main" uri="{2F2917AC-EB37-4324-AD4E-5DD8C200BD13}">
      <x15:tableSlicerCache tableId="11" column="4"/>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7" xr10:uid="{78092B52-2FD8-4462-8FC7-CED96557C86B}" sourceName="Artist">
  <extLst>
    <x:ext xmlns:x15="http://schemas.microsoft.com/office/spreadsheetml/2010/11/main" uri="{2F2917AC-EB37-4324-AD4E-5DD8C200BD13}">
      <x15:tableSlicerCache tableId="11" column="1"/>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6" xr10:uid="{D7F758FB-3491-4AD9-94E7-6BB2CB3B3E3E}" sourceName="Status">
  <extLst>
    <x:ext xmlns:x15="http://schemas.microsoft.com/office/spreadsheetml/2010/11/main" uri="{2F2917AC-EB37-4324-AD4E-5DD8C200BD13}">
      <x15:tableSlicerCache tableId="11" column="5"/>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2" xr10:uid="{7AA51DE3-0BA9-48C5-8F60-C2465DD7A213}" sourceName="Type">
  <extLst>
    <x:ext xmlns:x15="http://schemas.microsoft.com/office/spreadsheetml/2010/11/main" uri="{2F2917AC-EB37-4324-AD4E-5DD8C200BD13}">
      <x15:tableSlicerCache tableId="14" column="4"/>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9" xr10:uid="{10194322-0BF5-48E3-BA10-0D2353AD52AF}" sourceName="Artist">
  <extLst>
    <x:ext xmlns:x15="http://schemas.microsoft.com/office/spreadsheetml/2010/11/main" uri="{2F2917AC-EB37-4324-AD4E-5DD8C200BD13}">
      <x15:tableSlicerCache tableId="14" column="1"/>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8" xr10:uid="{27E7875E-3798-494C-9737-7DE82A51325C}" sourceName="Status">
  <extLst>
    <x:ext xmlns:x15="http://schemas.microsoft.com/office/spreadsheetml/2010/11/main" uri="{2F2917AC-EB37-4324-AD4E-5DD8C200BD13}">
      <x15:tableSlicerCache tableId="14" column="5"/>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3" xr10:uid="{67CD6A64-0045-45B1-88C6-4B1EE81CBF28}" sourceName="Type">
  <extLst>
    <x:ext xmlns:x15="http://schemas.microsoft.com/office/spreadsheetml/2010/11/main" uri="{2F2917AC-EB37-4324-AD4E-5DD8C200BD13}">
      <x15:tableSlicerCache tableId="13" column="5"/>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10" xr10:uid="{956A6C94-5A0D-472B-AB82-5D71822D1B59}" sourceName="Artist">
  <extLst>
    <x:ext xmlns:x15="http://schemas.microsoft.com/office/spreadsheetml/2010/11/main" uri="{2F2917AC-EB37-4324-AD4E-5DD8C200BD13}">
      <x15:tableSlicerCache tableId="13" column="3"/>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9" xr10:uid="{2A3BEC9D-832F-4228-9CFD-6FAB84D32504}" sourceName="Status">
  <extLst>
    <x:ext xmlns:x15="http://schemas.microsoft.com/office/spreadsheetml/2010/11/main" uri="{2F2917AC-EB37-4324-AD4E-5DD8C200BD13}">
      <x15:tableSlicerCache tableId="13" column="8"/>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7" xr10:uid="{8840CDAF-AC49-4EE7-9D0B-4DEE2C93C6D7}" sourceName="Status">
  <extLst>
    <x:ext xmlns:x15="http://schemas.microsoft.com/office/spreadsheetml/2010/11/main" uri="{2F2917AC-EB37-4324-AD4E-5DD8C200BD13}">
      <x15:tableSlicerCache tableId="12" column="5"/>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rtist8" xr10:uid="{332563AB-98F0-4590-BCA3-61859519BB4B}" sourceName="Artist">
  <extLst>
    <x:ext xmlns:x15="http://schemas.microsoft.com/office/spreadsheetml/2010/11/main" uri="{2F2917AC-EB37-4324-AD4E-5DD8C200BD13}">
      <x15:tableSlicerCache tableId="12" column="1"/>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1" xr10:uid="{7632A46C-2501-4BAE-AED4-B32AFFB3E597}" sourceName="Type">
  <extLst>
    <x:ext xmlns:x15="http://schemas.microsoft.com/office/spreadsheetml/2010/11/main" uri="{2F2917AC-EB37-4324-AD4E-5DD8C200BD13}">
      <x15:tableSlicerCache tableId="12" column="4"/>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4" xr10:uid="{54B95048-5881-4647-AE97-777096E7BEC3}" sourceName="Type">
  <extLst>
    <x:ext xmlns:x15="http://schemas.microsoft.com/office/spreadsheetml/2010/11/main" uri="{2F2917AC-EB37-4324-AD4E-5DD8C200BD13}">
      <x15:tableSlicerCache tableId="15" column="4"/>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10" xr10:uid="{52D0B67A-375C-4ED7-9921-E05E0EF13FBC}" sourceName="Status">
  <extLst>
    <x:ext xmlns:x15="http://schemas.microsoft.com/office/spreadsheetml/2010/11/main" uri="{2F2917AC-EB37-4324-AD4E-5DD8C200BD13}">
      <x15:tableSlicerCache tableId="15" column="5"/>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tatus11" xr10:uid="{EB6F4099-F9ED-4DB4-8BF5-23C55229C018}" sourceName="Status">
  <extLst>
    <x:ext xmlns:x15="http://schemas.microsoft.com/office/spreadsheetml/2010/11/main" uri="{2F2917AC-EB37-4324-AD4E-5DD8C200BD13}">
      <x15:tableSlicerCache tableId="9" column="15"/>
    </x:ext>
  </extLst>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5" xr10:uid="{6589F996-A5DC-4C26-A318-0A1A34E65813}" sourceName="Type">
  <extLst>
    <x:ext xmlns:x15="http://schemas.microsoft.com/office/spreadsheetml/2010/11/main" uri="{2F2917AC-EB37-4324-AD4E-5DD8C200BD13}">
      <x15:tableSlicerCache tableId="10" column="2"/>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6" xr10:uid="{E133CF54-9D2F-4148-8487-A7843782328D}" sourceName="Type">
  <extLst>
    <x:ext xmlns:x15="http://schemas.microsoft.com/office/spreadsheetml/2010/11/main" uri="{2F2917AC-EB37-4324-AD4E-5DD8C200BD13}">
      <x15:tableSlicerCache tableId="16" column="2"/>
    </x:ext>
  </extLst>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Applicable" xr10:uid="{0B5CC1E2-50FE-41D6-A3D8-A44B384E46E3}" sourceName="Applicable">
  <extLst>
    <x:ext xmlns:x15="http://schemas.microsoft.com/office/spreadsheetml/2010/11/main" uri="{2F2917AC-EB37-4324-AD4E-5DD8C200BD13}">
      <x15:tableSlicerCache tableId="21" column="9"/>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Ready" xr10:uid="{C0363213-8A8E-41D6-A22F-A46B343E5D29}" sourceName="Ready">
  <extLst>
    <x:ext xmlns:x15="http://schemas.microsoft.com/office/spreadsheetml/2010/11/main" uri="{2F2917AC-EB37-4324-AD4E-5DD8C200BD13}">
      <x15:tableSlicerCache tableId="21" column="10"/>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Priority" xr10:uid="{89D56CCD-BB99-40B2-B256-B616C0F236B4}" sourceName="Priority">
  <extLst>
    <x:ext xmlns:x15="http://schemas.microsoft.com/office/spreadsheetml/2010/11/main" uri="{2F2917AC-EB37-4324-AD4E-5DD8C200BD13}">
      <x15:tableSlicerCache tableId="7" column="18"/>
    </x:ext>
  </extLst>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Cam_fixed" xr10:uid="{76BFBE40-366B-44D7-88B0-C120EBB66EBC}" sourceName="Cam fixed">
  <extLst>
    <x:ext xmlns:x15="http://schemas.microsoft.com/office/spreadsheetml/2010/11/main" uri="{2F2917AC-EB37-4324-AD4E-5DD8C200BD13}">
      <x15:tableSlicerCache tableId="5" column="18"/>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Modif" xr10:uid="{67D929C5-D5A2-4B2D-BF03-B6F70F815E82}" sourceName="Modif">
  <extLst>
    <x:ext xmlns:x15="http://schemas.microsoft.com/office/spreadsheetml/2010/11/main" uri="{2F2917AC-EB37-4324-AD4E-5DD8C200BD13}">
      <x15:tableSlicerCache tableId="27"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xr10:uid="{0AC0ED54-8498-4E03-937B-8D345D8BCDDA}" cache="Segment_Artist" caption="Artist" columnCount="5" style="Style de segment 1 2 4 2 2" lockedPosition="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E36072A-6423-43C1-91FB-028551E01B84}" cache="Segment_Type" caption="Type" columnCount="4" style="Style de segment 1 2" lockedPosition="1" rowHeight="241300"/>
  <slicer name="Artist 7" xr10:uid="{1EC3A219-803E-46A2-B2CE-6FBC01FEA66A}" cache="Segment_Artist7" caption="Artist" columnCount="3" style="Style de segment 1 2" lockedPosition="1" rowHeight="241300"/>
  <slicer name="Status 6" xr10:uid="{9CED84E0-18CD-4896-B77C-AE6F43844F1C}" cache="Segment_Status6" caption="Status" columnCount="4" style="Style de segment 1 2" lockedPosition="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7" xr10:uid="{41E042DA-7F18-4419-92B7-203F8BE50048}" cache="Segment_Status7" caption="Status" columnCount="4" style="Style de segment 1 2 3" lockedPosition="1" rowHeight="241300"/>
  <slicer name="Artist 8" xr10:uid="{1F2B7213-A6C1-446A-A509-835C2551EF1A}" cache="Segment_Artist8" caption="Artist" columnCount="3" style="Style de segment 1 2 3" lockedPosition="1" rowHeight="241300"/>
  <slicer name="Type 1" xr10:uid="{CE4EF39B-90CE-409C-A870-9FE14B73591E}" cache="Segment_Type1" caption="Type" columnCount="4" style="Style de segment 1 2 3" lockedPosition="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3" xr10:uid="{D9E428B0-651F-4C2D-9CCE-87A3F7B32592}" cache="Segment_Type3" caption="Type" columnCount="4" style="Style de segment 1 2 4 2" lockedPosition="1" rowHeight="241300"/>
  <slicer name="Artist 10" xr10:uid="{36147E94-F4F5-4C7E-BB7D-B169E439B275}" cache="Segment_Artist10" caption="Artist" columnCount="3" style="Style de segment 1 2 4 2" lockedPosition="1" rowHeight="241300"/>
  <slicer name="Status 9" xr10:uid="{7D78B0C2-5342-4CAA-9ADF-365D41EAAFB8}" cache="Segment_Status9" caption="Status" columnCount="4" style="Style de segment 1 2 4 2" lockedPosition="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8AC324FA-F580-4E61-80D9-65FDA1C49F8C}" cache="Segment_Type2" caption="Type" columnCount="4" style="Style de segment 1 2 4" lockedPosition="1" rowHeight="241300"/>
  <slicer name="Artist 9" xr10:uid="{F8CB5451-6E1F-4789-834E-DE2540ECA470}" cache="Segment_Artist9" caption="Artist" columnCount="3" style="Style de segment 1 2 4" lockedPosition="1" rowHeight="241300"/>
  <slicer name="Status 8" xr10:uid="{5227561D-1556-407F-8FAC-3EF90A54F536}" cache="Segment_Status8" caption="Status" columnCount="4" style="Style de segment 1 2 4" lockedPosition="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4" xr10:uid="{A34B5538-598B-4542-8966-5A64F84EE99A}" cache="Segment_Type4" caption="Type" columnCount="4" style="Style de segment 1 2 3 2" lockedPosition="1" rowHeight="241300"/>
  <slicer name="Status 10" xr10:uid="{87E6865E-A8EC-455A-9C84-B6B4B55996B6}" cache="Segment_Status10" caption="Status" columnCount="2" style="Style de segment 1 2 3 2" lockedPosition="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6" xr10:uid="{D06F9180-B86A-4588-AB67-375F58F5CA29}" cache="Segment_Type6" caption="Type" columnCount="4" style="Style de segment 1 2 3 2 3" lockedPosition="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1" xr10:uid="{554BD360-2922-47A4-A6DF-20E3D7C3A7E1}" cache="Segment_Artist1" caption="Artist" columnCount="3" style="Style de segment 1 2 2 3" lockedPosition="1" rowHeight="241300"/>
  <slicer name="Status" xr10:uid="{B9E13D51-738C-4728-9529-808E16BBC747}" cache="Segment_Status" caption="Status" columnCount="4" style="Style de segment 1 2 2 3" lockedPosition="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2" xr10:uid="{49793720-9A50-4008-BAA4-E66909312962}" cache="Segment_Artist2" caption="Artist" columnCount="3" style="Style de segment 1 2 2 2" lockedPosition="1" rowHeight="241300"/>
  <slicer name="Status 1" xr10:uid="{654F574D-ADC7-4E17-8125-D8AA971B794D}" cache="Segment_Status1" caption="Status" columnCount="4" style="Style de segment 1 2 2 2" lockedPosition="1" rowHeight="241300"/>
  <slicer name="Priority" xr10:uid="{DAAD521D-00FA-49F7-9785-7B3E290E6C99}" cache="Segment_Priority" caption="Priority" columnCount="2" style="Style de segment 1 2 2 2" lockedPosition="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3" xr10:uid="{FDA7DDF7-72F9-452D-91FE-CD5BE6650E95}" cache="Segment_Artist3" caption="Artist" columnCount="3" style="Style de segment 1 2 2 2 2" lockedPosition="1" rowHeight="241300"/>
  <slicer name="Status 2" xr10:uid="{28DE2DAE-EAFA-45F3-9119-1F93F0213B3D}" cache="Segment_Status2" caption="Status" columnCount="4" style="Style de segment 1 2 2 2 2" lockedPosition="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4" xr10:uid="{1C1AA0D7-903E-493D-8CF7-F539B1A08D38}" cache="Segment_Artist4" caption="Artist" columnCount="3" style="Style de segment 1 2 2 2 3" lockedPosition="1" rowHeight="241300"/>
  <slicer name="Status 3" xr10:uid="{2F028850-E13A-4B30-98D1-53D1EAFA9F6D}" cache="Segment_Status3" caption="Status" columnCount="4" style="Style de segment 1 2 2 2 3" lockedPosition="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licable" xr10:uid="{39F40316-19DD-45AB-9489-3757DAE68875}" cache="Segment_Applicable" caption="Applicable" columnCount="2" style="Style de segment 1 2 2 2 3" lockedPosition="1" rowHeight="241300"/>
  <slicer name="Ready" xr10:uid="{1F18BD0E-3313-40CF-93E0-DA50A1E36CB9}" cache="Segment_Ready" caption="Ready" columnCount="2" style="Style de segment 1 2 2 2 3" lockedPosition="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5" xr10:uid="{25B9F738-E8B5-4480-B01A-8E50D950A46C}" cache="Segment_Artist5" caption="Artist" columnCount="3" style="Style de segment 1 2 2 2 4" lockedPosition="1" rowHeight="241300"/>
  <slicer name="Status 4" xr10:uid="{0AAA071E-68E3-4B5D-83FE-FD818585914E}" cache="Segment_Status4" caption="Status" columnCount="4" style="Style de segment 1 2 2 2 4" lockedPosition="1" rowHeight="241300"/>
  <slicer name="Cam fixed" xr10:uid="{18F6014A-9058-42D1-8DD6-07CB54B7CC64}" cache="Segment_Cam_fixed" caption="Cam fixed" style="Style de segment 1 2 2 2 4" lockedPosition="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tist 6" xr10:uid="{CBB281E2-C2E9-4C5C-9F83-03F120968AE5}" cache="Segment_Artist6" caption="Artist" columnCount="3" style="Style de segment 1 2 2" lockedPosition="1" rowHeight="241300"/>
  <slicer name="Status 5" xr10:uid="{DA87550E-08EA-4495-9B3F-4BCEBA2BB679}" cache="Segment_Status5" caption="Status" columnCount="4" style="Style de segment 1 2 2" lockedPosition="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1" xr10:uid="{EF9FACAB-02AE-4254-9D0B-E80A1485C7EF}" cache="Segment_Status11" caption="Status" columnCount="3" style="Style de segment 1 2 2 4" lockedPosition="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5" xr10:uid="{DB95EE2F-F26F-4F27-BA00-E3E6C109DBA7}" cache="Segment_Type5" caption="Type" columnCount="4" style="Style de segment 1 2 3 2 2" lockedPosition="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if" xr10:uid="{0ED34E3D-B6C6-47C9-BCA5-9B6569EAE58C}" cache="Segment_Modif" caption="Modif" columnCount="5"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990A89C-826C-4EFB-8048-941581904703}" name="infos" displayName="infos" ref="A5:F11" totalsRowCount="1" headerRowDxfId="725" dataDxfId="724" totalsRowDxfId="723">
  <autoFilter ref="A5:F10" xr:uid="{D990A89C-826C-4EFB-8048-941581904703}">
    <filterColumn colId="0" hiddenButton="1"/>
    <filterColumn colId="1" hiddenButton="1"/>
    <filterColumn colId="2" hiddenButton="1"/>
    <filterColumn colId="3" hiddenButton="1"/>
    <filterColumn colId="4" hiddenButton="1"/>
    <filterColumn colId="5" hiddenButton="1"/>
  </autoFilter>
  <tableColumns count="6">
    <tableColumn id="1" xr3:uid="{EA9C9162-27AD-46CE-A3B1-53C1E8030757}" name="Artist" totalsRowLabel="Total" dataDxfId="722" totalsRowDxfId="721"/>
    <tableColumn id="2" xr3:uid="{44093B63-FBEA-46F7-90D4-986C99ED2225}" name="Role" dataDxfId="720" totalsRowDxfId="719"/>
    <tableColumn id="4" xr3:uid="{7E9A88A2-ED68-44B5-A5F9-F6915AE2B4FB}" name="Weekly Commitment" totalsRowFunction="sum" dataDxfId="718" totalsRowDxfId="717"/>
    <tableColumn id="5" xr3:uid="{19A5DBCC-6562-41FE-8E3B-D1FE71D1D281}" name="Year Commitment" totalsRowFunction="sum" dataDxfId="716" totalsRowDxfId="715">
      <calculatedColumnFormula>infos[[#This Row],[Weekly Commitment]]*30</calculatedColumnFormula>
    </tableColumn>
    <tableColumn id="6" xr3:uid="{324F0BE2-772C-42A2-8B70-EFC01B2DF1CB}" name="Base Line" totalsRowFunction="sum" dataDxfId="714" totalsRowDxfId="713">
      <calculatedColumnFormula array="1">getBaseLine(infos[[#This Row],[Artist]])</calculatedColumnFormula>
    </tableColumn>
    <tableColumn id="3" xr3:uid="{173C471E-9867-4BE6-A1FE-C9C2A64E2DC9}" name="Hours To Do" dataDxfId="712" totalsRowDxfId="711">
      <calculatedColumnFormula array="1">getHoursToDo(infos[[#This Row],[Artist]])</calculatedColumnFormula>
    </tableColumn>
  </tableColumns>
  <tableStyleInfo name="TableStyleLight10"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B62FE48-CD54-4D24-913E-6021EFCC4896}" name="deliveryDates" displayName="deliveryDates" ref="B15:D41" headerRowDxfId="710" dataDxfId="709" totalsRowDxfId="708">
  <autoFilter ref="B15:D41" xr:uid="{0B62FE48-CD54-4D24-913E-6021EFCC4896}">
    <filterColumn colId="0" hiddenButton="1"/>
    <filterColumn colId="1" hiddenButton="1"/>
    <filterColumn colId="2" hiddenButton="1"/>
  </autoFilter>
  <tableColumns count="3">
    <tableColumn id="1" xr3:uid="{BB003446-70EC-4DE8-A3B0-E51B6EDE894E}" name="Type" totalsRowLabel="Total" dataDxfId="707"/>
    <tableColumn id="2" xr3:uid="{41210E2D-8122-424A-AE3B-FCD003FF2670}" name="Remise" dataDxfId="706"/>
    <tableColumn id="3" xr3:uid="{59F748F5-E086-40C7-BC17-BAE415F8B32E}" name="Date" totalsRowFunction="count" dataDxfId="705"/>
  </tableColumns>
  <tableStyleInfo name="TableStyleLight1" showFirstColumn="0"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B13909-1BB0-4BBF-AF58-A64BA61FDE55}" name="punch" displayName="punch" ref="A4:G582" headerRowDxfId="704" dataDxfId="703" totalsRowDxfId="702">
  <autoFilter ref="A4:G582" xr:uid="{20B13909-1BB0-4BBF-AF58-A64BA61FDE5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2" xr3:uid="{E5B9065E-D212-420A-AA79-C6F49ED92821}" name="Artist" dataDxfId="701"/>
    <tableColumn id="3" xr3:uid="{803EA77A-6B07-4CC9-89C1-26CCEE240A49}" name="Time In" dataDxfId="700"/>
    <tableColumn id="4" xr3:uid="{F668B049-3880-4DE0-9775-EEB56DB783BE}" name="Time Out" dataDxfId="699"/>
    <tableColumn id="5" xr3:uid="{F0EA44DB-BC3E-4489-BCD0-106A2C32C7F4}" name="Total Time" totalsRowFunction="sum" dataDxfId="698" totalsRowDxfId="697">
      <calculatedColumnFormula>IF(punch[[#This Row],[Time Out]]="", "-", punch[[#This Row],[Time Out]]-punch[[#This Row],[Time In]])</calculatedColumnFormula>
    </tableColumn>
    <tableColumn id="1" xr3:uid="{9264172B-2FF8-41D4-9D21-82880128E1A4}" name="WeekNum" dataDxfId="696">
      <calculatedColumnFormula>IF(punch[[#This Row],[Time In]]="", "-", WEEKNUM(punch[[#This Row],[Time In]],15))</calculatedColumnFormula>
    </tableColumn>
    <tableColumn id="6" xr3:uid="{92848D03-0027-4E20-854E-46C0EC7458A1}" name="Week Total" dataDxfId="695">
      <calculatedColumnFormula array="1">getWeekTotalHours(punch[[#This Row],[Artist]], punch[[#This Row],[WeekNum]])</calculatedColumnFormula>
    </tableColumn>
    <tableColumn id="8" xr3:uid="{5DC1C5AB-4EED-4BB1-92AA-524D51BF6BAE}" name="Description" dataDxfId="694" totalsRowDxfId="693"/>
  </tableColumns>
  <tableStyleInfo name="TableStyleMedium3" showFirstColumn="1" showLastColumn="0" showRowStripes="0" showColumnStripes="1"/>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ADB4B05-4605-4464-99A3-B5BBBB72949A}" name="design" displayName="design" ref="A3:O79" totalsRowCount="1" headerRowDxfId="692" dataDxfId="691" totalsRowDxfId="690">
  <autoFilter ref="A3:O78" xr:uid="{9ADB4B05-4605-4464-99A3-B5BBBB7294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3" xr3:uid="{BF2DA645-CFA7-4C2F-B015-C4A243EA2C3F}" name="Asset Name" totalsRowLabel="Total" dataDxfId="689" totalsRowDxfId="688">
      <calculatedColumnFormula>metaASSETS[[#This Row],[Asset Name]]</calculatedColumnFormula>
    </tableColumn>
    <tableColumn id="4" xr3:uid="{88017C70-2E39-474D-8983-92175BB1BCD9}" name="Type" dataDxfId="687" totalsRowDxfId="686">
      <calculatedColumnFormula>metaASSETS[[#This Row],[Type]]</calculatedColumnFormula>
    </tableColumn>
    <tableColumn id="2" xr3:uid="{A116D7A1-FDE9-4056-BFD7-5E35350D9976}" name="Thumbnail" dataDxfId="685" totalsRowDxfId="684"/>
    <tableColumn id="8" xr3:uid="{B1395BF8-7DFE-491D-929C-A9862BC07332}" name="add to planner" dataDxfId="683" totalsRowDxfId="682"/>
    <tableColumn id="12" xr3:uid="{D0E81A8C-B8D6-44E2-A979-2293EB3E19EB}" name="Review" dataDxfId="681" totalsRowDxfId="680"/>
    <tableColumn id="1" xr3:uid="{C60D0609-E725-46C1-8B94-D156C70E0FF0}" name="Artist" dataDxfId="679" totalsRowDxfId="678"/>
    <tableColumn id="9" xr3:uid="{D1FAF22D-F2C8-4FDA-AF9B-A5BE780294BD}" name="Priority" dataDxfId="677" totalsRowDxfId="676"/>
    <tableColumn id="5" xr3:uid="{D6197C4B-2E0E-48CD-A0A8-E8E806146344}" name="Status" dataDxfId="675" totalsRowDxfId="674">
      <calculatedColumnFormula>IF(NOT(ISBLANK(design[[#This Row],[Commentaires]])), "Needs Fix",
    IF(design[[#This Row],[Review]]&lt;&gt;"inactive", design[[#This Row],[Review]],
        IF(design[[#This Row],[Progress]]=100%, "Pending Review",
            IF(AND(0%&lt;design[[#This Row],[Progress]], design[[#This Row],[Progress]]&lt;100%),  "In Progress", "Ready")
        )
    )
)</calculatedColumnFormula>
    </tableColumn>
    <tableColumn id="6" xr3:uid="{741A2645-16B0-4F9B-A754-60260598EF1A}" name="Estimated" totalsRowFunction="sum" dataDxfId="673" totalsRowDxfId="672"/>
    <tableColumn id="7" xr3:uid="{DE3BD5F6-8FF7-45B0-93CC-453B2817D869}" name="rnd" totalsRowFunction="average" dataDxfId="671" totalsRowDxfId="670">
      <calculatedColumnFormula>RANDBETWEEN(70, 100)/100</calculatedColumnFormula>
    </tableColumn>
    <tableColumn id="10" xr3:uid="{484A5882-7E31-4287-A5C5-CEFB8FCF308A}" name="rough" totalsRowFunction="average" dataDxfId="669" totalsRowDxfId="668">
      <calculatedColumnFormula>RANDBETWEEN(30, 70)/100</calculatedColumnFormula>
    </tableColumn>
    <tableColumn id="11" xr3:uid="{4828FA8F-E48C-4CE1-9CF9-37B9A27550E1}" name="clean" totalsRowFunction="average" dataDxfId="667" totalsRowDxfId="666">
      <calculatedColumnFormula>RANDBETWEEN(0, 30)/100</calculatedColumnFormula>
    </tableColumn>
    <tableColumn id="13" xr3:uid="{14CCBD30-4C15-4E8B-8342-AC3715DD220B}" name="Progress" totalsRowFunction="custom" dataDxfId="665" totalsRowDxfId="664">
      <calculatedColumnFormula array="1">SUM(design[[#This Row],[rnd]:[clean]]*design_ponderation)</calculatedColumnFormula>
      <totalsRowFormula>(design[[#Totals],[Estimated]]-design[[#Totals],[Hours to do]])/design[[#Totals],[Estimated]]</totalsRowFormula>
    </tableColumn>
    <tableColumn id="14" xr3:uid="{B332222B-A61F-4F7A-A64A-6A49BC3BF099}" name="Hours to do" totalsRowFunction="sum" dataDxfId="663" totalsRowDxfId="662">
      <calculatedColumnFormula>(1-design[[#This Row],[Progress]])*design[[#This Row],[Estimated]]</calculatedColumnFormula>
    </tableColumn>
    <tableColumn id="15" xr3:uid="{3E2DD69E-1D00-4ED1-A80A-7FBC43460913}" name="Commentaires" dataDxfId="661" totalsRowDxfId="660"/>
  </tableColumns>
  <tableStyleInfo name="Style de tableau 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DB4576-C59C-4E00-8190-A563CA26EFE0}" name="modeling" displayName="modeling" ref="A3:O79" totalsRowCount="1" headerRowDxfId="659" dataDxfId="658" totalsRowDxfId="657">
  <autoFilter ref="A3:O78" xr:uid="{A9DB4576-C59C-4E00-8190-A563CA26EF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3" xr3:uid="{5A87EE85-EF5A-47B3-AB0E-2A046D9EE6BF}" name="Asset Name" totalsRowLabel="Total" dataDxfId="656" totalsRowDxfId="655">
      <calculatedColumnFormula>metaASSETS[[#This Row],[Asset Name]]</calculatedColumnFormula>
    </tableColumn>
    <tableColumn id="4" xr3:uid="{711D3F39-FA81-4476-BFC7-045FD5C4CD2A}" name="Type" dataDxfId="654" totalsRowDxfId="653">
      <calculatedColumnFormula>metaASSETS[[#This Row],[Type]]</calculatedColumnFormula>
    </tableColumn>
    <tableColumn id="2" xr3:uid="{C18DBD67-6E67-4A7C-9380-0115ADF9AD10}" name="Thumbnail" dataDxfId="652" totalsRowDxfId="651"/>
    <tableColumn id="16" xr3:uid="{D34E062E-9DA4-43FC-8762-D00628C0A761}" name="add to planner" dataDxfId="650" totalsRowDxfId="649"/>
    <tableColumn id="12" xr3:uid="{43DC619A-2A54-4FE4-806B-021A8F7CD853}" name="Review" dataDxfId="648" totalsRowDxfId="647"/>
    <tableColumn id="1" xr3:uid="{D7541FE7-7BF9-4100-9D89-FCC4E8A5CA78}" name="Artist" dataDxfId="646" totalsRowDxfId="645"/>
    <tableColumn id="9" xr3:uid="{B91D4888-7823-4BD4-83A2-6B1E892C426A}" name="Priority" dataDxfId="644" totalsRowDxfId="643"/>
    <tableColumn id="5" xr3:uid="{DCE9B490-E229-48B9-BC2D-F30DAEED465A}" name="Status" dataDxfId="642" totalsRowDxfId="641">
      <calculatedColumnFormula>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calculatedColumnFormula>
    </tableColumn>
    <tableColumn id="6" xr3:uid="{13C686B7-0B74-454A-BBBB-FA7107AA1DEC}" name="Estimated" totalsRowFunction="sum" dataDxfId="640" totalsRowDxfId="639"/>
    <tableColumn id="7" xr3:uid="{663DE3CA-F4E0-4209-95E5-FB7DEE310B40}" name="blocking" totalsRowFunction="average" dataDxfId="638" totalsRowDxfId="637">
      <calculatedColumnFormula>RANDBETWEEN(70, 100)/100</calculatedColumnFormula>
    </tableColumn>
    <tableColumn id="10" xr3:uid="{3620C2D7-605C-44C5-A501-E2FED31C156A}" name="polish" totalsRowFunction="average" dataDxfId="636" totalsRowDxfId="635">
      <calculatedColumnFormula>RANDBETWEEN(30, 70)/100</calculatedColumnFormula>
    </tableColumn>
    <tableColumn id="11" xr3:uid="{93D4C891-78C4-49F8-B2BF-0E6C58C46E78}" name="uv" totalsRowFunction="average" dataDxfId="634" totalsRowDxfId="633">
      <calculatedColumnFormula>RANDBETWEEN(0, 30)/100</calculatedColumnFormula>
    </tableColumn>
    <tableColumn id="13" xr3:uid="{7B1F7F61-9C67-4C89-BA57-AE656FEBECDD}" name="Progress" totalsRowFunction="custom" dataDxfId="632" totalsRowDxfId="631">
      <calculatedColumnFormula array="1">SUM(modeling[[#This Row],[blocking]:[uv]]*modeling_ponderation)</calculatedColumnFormula>
      <totalsRowFormula>(modeling[[#Totals],[Estimated]]-modeling[[#Totals],[Hours to do]])/modeling[[#Totals],[Estimated]]</totalsRowFormula>
    </tableColumn>
    <tableColumn id="14" xr3:uid="{CA804E26-1A96-4C03-BD11-6B834E1A0CD0}" name="Hours to do" totalsRowFunction="sum" dataDxfId="630" totalsRowDxfId="629">
      <calculatedColumnFormula>(1-modeling[[#This Row],[Progress]])*modeling[[#This Row],[Estimated]]</calculatedColumnFormula>
    </tableColumn>
    <tableColumn id="15" xr3:uid="{F7799D99-E8BB-4845-8D67-DD7BCF4E7149}" name="Commentaires" dataDxfId="628" totalsRowDxfId="627"/>
  </tableColumns>
  <tableStyleInfo name="Style de tableau 1 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4AD167-2BB5-4839-B7FD-7E95522D049C}" name="rigging" displayName="rigging" ref="A3:P79" totalsRowCount="1" headerRowDxfId="626" dataDxfId="625" totalsRowDxfId="624">
  <autoFilter ref="A3:P78" xr:uid="{544AD167-2BB5-4839-B7FD-7E95522D049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4" xr3:uid="{6FCE1313-B9A1-408B-A335-8EAACF0B4343}" name="Asset Name" totalsRowLabel="Total" dataDxfId="623" totalsRowDxfId="622">
      <calculatedColumnFormula>metaASSETS[[#This Row],[Asset Name]]</calculatedColumnFormula>
    </tableColumn>
    <tableColumn id="5" xr3:uid="{19641C5F-EBFF-46E0-BD47-01B3D61805BB}" name="Type" dataDxfId="621" totalsRowDxfId="620">
      <calculatedColumnFormula>metaASSETS[[#This Row],[Type]]</calculatedColumnFormula>
    </tableColumn>
    <tableColumn id="2" xr3:uid="{1547690B-2B9B-4989-B9F1-79DDC44C92FA}" name="Thumbnail" dataDxfId="619" totalsRowDxfId="618"/>
    <tableColumn id="17" xr3:uid="{2530EAD4-0CD0-4FA7-87C3-5D1D21C1AAA1}" name="add to planner" dataDxfId="617" totalsRowDxfId="616"/>
    <tableColumn id="15" xr3:uid="{3FF9868E-856C-440A-8F79-714B85B07965}" name="Review" dataDxfId="615" totalsRowDxfId="614"/>
    <tableColumn id="3" xr3:uid="{82319655-EA6F-42C8-90DD-42A756E33E33}" name="Artist" dataDxfId="613" totalsRowDxfId="612"/>
    <tableColumn id="12" xr3:uid="{25EE5F5B-8436-4BEC-A902-FF2077939188}" name="Priority" dataDxfId="611" totalsRowDxfId="610"/>
    <tableColumn id="8" xr3:uid="{06D47CA2-FAC1-45BD-9278-C7D9A73AC006}" name="Status" dataDxfId="609" totalsRowDxfId="608">
      <calculatedColumnFormula>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calculatedColumnFormula>
    </tableColumn>
    <tableColumn id="6" xr3:uid="{D4FD44A9-B424-4B11-901D-3E360E76BC0C}" name="Estimated" totalsRowFunction="sum" dataDxfId="607" totalsRowDxfId="606"/>
    <tableColumn id="7" xr3:uid="{4F891D42-5390-4DF7-9277-1C2DFCF328EE}" name="setup" totalsRowFunction="average" dataDxfId="605" totalsRowDxfId="604">
      <calculatedColumnFormula>RANDBETWEEN(70, 100)/100</calculatedColumnFormula>
    </tableColumn>
    <tableColumn id="10" xr3:uid="{79C7B66E-B4BF-4426-AB1D-DA2784BF05AE}" name="deform" totalsRowFunction="average" dataDxfId="603" totalsRowDxfId="602">
      <calculatedColumnFormula>RANDBETWEEN(30, 70)/100</calculatedColumnFormula>
    </tableColumn>
    <tableColumn id="11" xr3:uid="{AEC3F890-23E2-4699-8669-20428E290016}" name="skinning" totalsRowFunction="average" dataDxfId="601" totalsRowDxfId="600">
      <calculatedColumnFormula>RANDBETWEEN(10, 30)/100</calculatedColumnFormula>
    </tableColumn>
    <tableColumn id="13" xr3:uid="{5CBF6DA6-C8CE-45B4-A05A-B5C806E73028}" name="polish" totalsRowFunction="average" dataDxfId="599" totalsRowDxfId="598">
      <calculatedColumnFormula>RANDBETWEEN(0, 10)/100</calculatedColumnFormula>
    </tableColumn>
    <tableColumn id="1" xr3:uid="{BA94962A-894C-4DEB-AEFC-95DB0D83413B}" name="Progress" totalsRowFunction="custom" dataDxfId="597" totalsRowDxfId="596">
      <calculatedColumnFormula array="1">SUM(rigging[[#This Row],[setup]:[polish]]*rigging_ponderation)</calculatedColumnFormula>
      <totalsRowFormula>(rigging[[#Totals],[Estimated]]-rigging[[#Totals],[Hours to do]])/rigging[[#Totals],[Estimated]]</totalsRowFormula>
    </tableColumn>
    <tableColumn id="14" xr3:uid="{7D3094F1-2CA5-42F2-8A94-F1EFE03A5531}" name="Hours to do" totalsRowFunction="sum" dataDxfId="595" totalsRowDxfId="594">
      <calculatedColumnFormula>(1-rigging[[#This Row],[Progress]])*rigging[[#This Row],[Estimated]]</calculatedColumnFormula>
    </tableColumn>
    <tableColumn id="16" xr3:uid="{D6124CBC-5283-44E4-ACB0-96EFFB8D1B78}" name="Commentaires" dataDxfId="593" totalsRowDxfId="592"/>
  </tableColumns>
  <tableStyleInfo name="Style de tableau 1 2 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3ED4036-7F10-4AF3-960E-434BABADA046}" name="surfacing" displayName="surfacing" ref="A3:O79" totalsRowCount="1" headerRowDxfId="591" dataDxfId="590" totalsRowDxfId="589">
  <autoFilter ref="A3:O78" xr:uid="{53ED4036-7F10-4AF3-960E-434BABADA0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3" xr3:uid="{09CB5E44-1C18-4E9F-B6E3-8A6C92B8AADB}" name="Asset Name" totalsRowLabel="Total" dataDxfId="588" totalsRowDxfId="587">
      <calculatedColumnFormula>metaASSETS[[#This Row],[Asset Name]]</calculatedColumnFormula>
    </tableColumn>
    <tableColumn id="4" xr3:uid="{818EDB35-96C1-4F81-9BD7-907B83213EC4}" name="Type" dataDxfId="586" totalsRowDxfId="585">
      <calculatedColumnFormula>metaASSETS[[#This Row],[Type]]</calculatedColumnFormula>
    </tableColumn>
    <tableColumn id="2" xr3:uid="{80782669-2FAC-41C6-BD3F-79E22E2BA0CD}" name="Thumbnail" dataDxfId="584" totalsRowDxfId="583"/>
    <tableColumn id="16" xr3:uid="{A66DACB2-DB61-493C-950A-CBA53C050547}" name="add to planner" dataDxfId="582" totalsRowDxfId="581"/>
    <tableColumn id="12" xr3:uid="{60D7AD53-C378-4C9D-BAAA-6501B62AF327}" name="Review" dataDxfId="580" totalsRowDxfId="579"/>
    <tableColumn id="1" xr3:uid="{912E1300-2EA0-4A43-8B2B-EBA73B417CCE}" name="Artist" dataDxfId="578" totalsRowDxfId="577"/>
    <tableColumn id="9" xr3:uid="{D6F0F9C1-555B-4CDA-9FFD-54565BFBAF9B}" name="Priority" dataDxfId="576" totalsRowDxfId="575"/>
    <tableColumn id="5" xr3:uid="{08080E38-59EA-43DF-ADB8-877EE5D496B5}" name="Status" dataDxfId="574" totalsRowDxfId="573">
      <calculatedColumnFormula>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calculatedColumnFormula>
    </tableColumn>
    <tableColumn id="6" xr3:uid="{3AD94900-2C53-4626-A36F-E4B59ED481F5}" name="Estimated" totalsRowFunction="sum" dataDxfId="572" totalsRowDxfId="571"/>
    <tableColumn id="7" xr3:uid="{1E7F9894-2EB7-4B7A-9CE3-827D233CF4BA}" name="blocking" totalsRowFunction="average" dataDxfId="570" totalsRowDxfId="569">
      <calculatedColumnFormula>RANDBETWEEN(70, 100)/100</calculatedColumnFormula>
    </tableColumn>
    <tableColumn id="10" xr3:uid="{576F06FF-ECD1-4832-A5DF-7B49D0D7D55F}" name="applying" totalsRowFunction="average" dataDxfId="568" totalsRowDxfId="567">
      <calculatedColumnFormula>RANDBETWEEN(30, 70)/100</calculatedColumnFormula>
    </tableColumn>
    <tableColumn id="11" xr3:uid="{03912C00-9912-4957-BB9D-AA40249B697D}" name="polish" totalsRowFunction="average" dataDxfId="566" totalsRowDxfId="565">
      <calculatedColumnFormula>RANDBETWEEN(0, 30)/100</calculatedColumnFormula>
    </tableColumn>
    <tableColumn id="13" xr3:uid="{E2EB183F-8974-4266-AED9-D2C4757156FB}" name="Progress" totalsRowFunction="custom" dataDxfId="564" totalsRowDxfId="563">
      <calculatedColumnFormula array="1">SUM(surfacing[[#This Row],[blocking]:[polish]]*surfacing_ponderation)</calculatedColumnFormula>
      <totalsRowFormula>(surfacing[[#Totals],[Estimated]]-surfacing[[#Totals],[Hours to do]])/surfacing[[#Totals],[Estimated]]</totalsRowFormula>
    </tableColumn>
    <tableColumn id="14" xr3:uid="{86501BB7-61B6-40A3-A347-C17DB8DF34DD}" name="Hours to do" totalsRowFunction="sum" dataDxfId="562" totalsRowDxfId="561">
      <calculatedColumnFormula>(1-surfacing[[#This Row],[Progress]])*surfacing[[#This Row],[Estimated]]</calculatedColumnFormula>
    </tableColumn>
    <tableColumn id="15" xr3:uid="{26C6155E-C275-42D2-84F7-C8E5B6E6C086}" name="Commentaires" dataDxfId="560" totalsRowDxfId="559"/>
  </tableColumns>
  <tableStyleInfo name="Style de tableau 1 2 2 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FD4DCDAC-D07B-4926-A291-55A96F3FCCAE}" name="assets" displayName="assets" ref="A3:M79" totalsRowCount="1" headerRowDxfId="558" dataDxfId="557" totalsRowDxfId="556">
  <autoFilter ref="A3:M78" xr:uid="{FD4DCDAC-D07B-4926-A291-55A96F3FCC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47360068-EF9E-418D-800A-53DE9F3329F5}" name="Asset Name" totalsRowLabel="Total" dataDxfId="555" totalsRowDxfId="554">
      <calculatedColumnFormula>metaASSETS[[#This Row],[Asset Name]]</calculatedColumnFormula>
    </tableColumn>
    <tableColumn id="4" xr3:uid="{7D7361D5-3212-4D0E-B791-99362BAB2162}" name="Type" dataDxfId="553" totalsRowDxfId="552">
      <calculatedColumnFormula>metaASSETS[[#This Row],[Type]]</calculatedColumnFormula>
    </tableColumn>
    <tableColumn id="2" xr3:uid="{28DE5028-A3F6-4CE2-94F2-067C36F28632}" name="Thumbnail" dataDxfId="551" totalsRowDxfId="550"/>
    <tableColumn id="9" xr3:uid="{8A5EC233-184A-464D-B45E-E6E01F207140}" name="Priority" dataDxfId="549" totalsRowDxfId="548">
      <calculatedColumnFormula>SUM(LEN(design[[#This Row],[Priority]]),LEN(modeling[[#This Row],[Priority]]),LEN(surfacing[[#This Row],[Priority]]),LEN(rigging[[#This Row],[Priority]]))</calculatedColumnFormula>
    </tableColumn>
    <tableColumn id="5" xr3:uid="{915BDFC1-7E8B-4EF1-AAB6-4E66FFE2970F}" name="Status" dataDxfId="547" totalsRowDxfId="546">
      <calculatedColumnFormula>IF(surfacing[[#This Row],[Progress]]&gt;0%, "Surfacing",
IF(rigging[[#This Row],[Progress]]&gt;0%, "Rigging",
IF(modeling[[#This Row],[Progress]]&gt;0%, "Modeling",
IF(design[[#This Row],[Progress]]&gt;=0%, "Design"))))</calculatedColumnFormula>
    </tableColumn>
    <tableColumn id="6" xr3:uid="{C32ACE0D-4A7E-4DCC-AC15-75DCAC4FAAEB}" name="Estimated" totalsRowFunction="sum" dataDxfId="545" totalsRowDxfId="544">
      <calculatedColumnFormula>SUM(design[[#This Row],[Estimated]], modeling[[#This Row],[Estimated]], rigging[[#This Row],[Estimated]], surfacing[[#This Row],[Estimated]])</calculatedColumnFormula>
    </tableColumn>
    <tableColumn id="7" xr3:uid="{8D6932FD-29DB-4BBC-9A19-6CB43BD838D2}" name="design" totalsRowFunction="custom" dataDxfId="543" totalsRowDxfId="542">
      <totalsRowFormula array="1">designProgress</totalsRowFormula>
    </tableColumn>
    <tableColumn id="10" xr3:uid="{843DF871-77FA-4D83-99EB-3A49641AC8BB}" name="modeling" totalsRowFunction="custom" dataDxfId="541" totalsRowDxfId="540">
      <totalsRowFormula>modelingProgress</totalsRowFormula>
    </tableColumn>
    <tableColumn id="11" xr3:uid="{C173AE03-4D85-434B-A3D9-5CC0751FD98C}" name="rigging" totalsRowFunction="custom" dataDxfId="539" totalsRowDxfId="538">
      <calculatedColumnFormula>rigging[[#This Row],[Progress]]</calculatedColumnFormula>
      <totalsRowFormula>riggingProgress</totalsRowFormula>
    </tableColumn>
    <tableColumn id="13" xr3:uid="{10F9FBAF-51E2-4808-87F8-3FA0EABB0BFC}" name="surfacing" totalsRowFunction="custom" dataDxfId="537" totalsRowDxfId="536">
      <calculatedColumnFormula>surfacing[[#This Row],[Progress]]</calculatedColumnFormula>
      <totalsRowFormula>surfacingProgress</totalsRowFormula>
    </tableColumn>
    <tableColumn id="1" xr3:uid="{7308A016-E39D-4C8D-84D7-5B2D2AB86702}" name="Progress" totalsRowFunction="custom" dataDxfId="535" totalsRowDxfId="534">
      <calculatedColumnFormula array="1">SUM(assets[[#This Row],[design]:[surfacing]]*ASSETS_ponderation)</calculatedColumnFormula>
      <totalsRowFormula>(assets[[#Totals],[Estimated]]-assets[[#Totals],[Hours to do]])/assets[[#Totals],[Estimated]]</totalsRowFormula>
    </tableColumn>
    <tableColumn id="14" xr3:uid="{A8F08F36-AD8A-45D3-8DE9-73F972320BDF}" name="Hours to do" totalsRowFunction="sum" dataDxfId="533" totalsRowDxfId="532">
      <calculatedColumnFormula>(1-assets[[#This Row],[Progress]])*assets[[#This Row],[Estimated]]</calculatedColumnFormula>
    </tableColumn>
    <tableColumn id="12" xr3:uid="{FAD31C53-E4B5-4618-BD55-2937B6CC011F}" name="Commentaires" dataDxfId="531" totalsRowDxfId="530"/>
  </tableColumns>
  <tableStyleInfo name="Style de tableau 1 2 2 2 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19F0093-8D0A-4912-AD3C-4CB4688F4F9A}" name="Tableau16" displayName="Tableau16" ref="A3:K102" totalsRowShown="0" headerRowDxfId="529" dataDxfId="528">
  <autoFilter ref="A3:K102" xr:uid="{719F0093-8D0A-4912-AD3C-4CB4688F4F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C0A055B-FFA4-427F-B507-0DEADE853049}" name="Asset Name" dataDxfId="527">
      <calculatedColumnFormula>metaASSETS[[#This Row],[Asset Name]]</calculatedColumnFormula>
    </tableColumn>
    <tableColumn id="2" xr3:uid="{91FEC525-1DA1-4DCE-87AE-F978C1D36642}" name="Type" dataDxfId="526"/>
    <tableColumn id="3" xr3:uid="{29417FC2-A9B9-4BDB-A7AD-DD265DEE95E9}" name="UV" dataDxfId="525"/>
    <tableColumn id="4" xr3:uid="{95C96CC5-B3D8-4EAF-A4FE-C6F736E814BB}" name="Transfert Substance Painter" dataDxfId="524"/>
    <tableColumn id="5" xr3:uid="{394DDBE1-8510-4368-82BB-7D44150A387A}" name="Début Blocking" dataDxfId="523"/>
    <tableColumn id="6" xr3:uid="{EB2EDF6B-78FE-4796-A447-786058049DCD}" name="Export Blocking Substance" dataDxfId="522"/>
    <tableColumn id="7" xr3:uid="{D8CE7651-9DB2-449C-A74A-9D869960369B}" name="Blocking appliqué" dataDxfId="521"/>
    <tableColumn id="8" xr3:uid="{3A44F3CE-3B68-4067-B3C6-6049AD7568B8}" name="Export Final" dataDxfId="520"/>
    <tableColumn id="9" xr3:uid="{9E5C6514-4E1D-4D9C-BB97-08A7082B4142}" name="Paramètres Edges" dataDxfId="519"/>
    <tableColumn id="10" xr3:uid="{F1E23412-A8D3-4413-AA43-61F65D2B746E}" name="Final appliqué" dataDxfId="518"/>
    <tableColumn id="11" xr3:uid="{4A138DA6-4231-43E8-92B1-5D199A431C4F}" name="Status" dataDxfId="517"/>
  </tableColumns>
  <tableStyleInfo name="Style de tableau 1 2 2 2 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BC66A3-5D5F-452E-9AC4-EF0CE13C9B5B}" name="layout" displayName="layout" ref="A3:S52" totalsRowCount="1" headerRowDxfId="516" dataDxfId="515" totalsRowDxfId="514">
  <autoFilter ref="A3:S51" xr:uid="{6FBC66A3-5D5F-452E-9AC4-EF0CE13C9B5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1" xr3:uid="{1AB0E69E-686B-4F68-876E-EFCF8A964E8C}" name="Shot" totalsRowLabel="Total" dataDxfId="513" totalsRowDxfId="512">
      <calculatedColumnFormula>metaSHOTS[[#This Row],[Shot]]</calculatedColumnFormula>
    </tableColumn>
    <tableColumn id="2" xr3:uid="{B0F170A5-E319-43AF-83FE-A7B1536DC149}" name="Thumbnail" dataDxfId="511" totalsRowDxfId="510">
      <calculatedColumnFormula>metaSHOTS[[#This Row],[Thumbnail]]</calculatedColumnFormula>
    </tableColumn>
    <tableColumn id="18" xr3:uid="{288D3285-F4AA-44EC-A32A-9904C8E7B837}" name="add to planner" dataDxfId="509" totalsRowDxfId="508"/>
    <tableColumn id="15" xr3:uid="{BF8006AF-DFDC-4783-83B4-911C3B45230C}" name="Review" dataDxfId="507" totalsRowDxfId="506"/>
    <tableColumn id="3" xr3:uid="{F08BF589-6F70-4D02-BFD4-D84A3C486DC3}" name="Start" dataDxfId="505" totalsRowDxfId="504">
      <calculatedColumnFormula>metaSHOTS[[#This Row],[Start]]</calculatedColumnFormula>
    </tableColumn>
    <tableColumn id="4" xr3:uid="{497E526C-CC75-491E-A148-D8BA469D8503}" name="End" dataDxfId="503" totalsRowDxfId="502">
      <calculatedColumnFormula>metaSHOTS[[#This Row],[End]]</calculatedColumnFormula>
    </tableColumn>
    <tableColumn id="5" xr3:uid="{DBEA682A-FEC0-40AA-B817-3D8D66C3F4D7}" name="Duration" dataDxfId="501" totalsRowDxfId="500">
      <calculatedColumnFormula>metaSHOTS[[#This Row],[Duration]]</calculatedColumnFormula>
    </tableColumn>
    <tableColumn id="16" xr3:uid="{BA7E411C-FBAD-451A-B5DF-DA93E96A96E9}" name="Priority" dataDxfId="499" totalsRowDxfId="498"/>
    <tableColumn id="8" xr3:uid="{A8E611A6-69CE-4C4F-B4EA-4A46CE1DC437}" name="Artist" dataDxfId="497" totalsRowDxfId="496"/>
    <tableColumn id="12" xr3:uid="{100C542A-921F-4E86-B69F-4422A669C645}" name="Status" dataDxfId="495" totalsRowDxfId="494">
      <calculatedColumnFormula array="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calculatedColumnFormula>
    </tableColumn>
    <tableColumn id="6" xr3:uid="{6E6DD310-C783-496F-BCA4-243369376CAB}" name="Estimated" totalsRowFunction="sum" dataDxfId="493" totalsRowDxfId="492"/>
    <tableColumn id="7" xr3:uid="{46CA66DF-5D8F-4AF6-A914-58B3C81F5814}" name="previz" totalsRowFunction="average" dataDxfId="491" totalsRowDxfId="490">
      <calculatedColumnFormula>RANDBETWEEN(70, 100)/100</calculatedColumnFormula>
    </tableColumn>
    <tableColumn id="10" xr3:uid="{4B53388A-0994-41A1-9667-CE4FB9EA81D0}" name="rough" totalsRowFunction="average" dataDxfId="489" totalsRowDxfId="488">
      <calculatedColumnFormula>RANDBETWEEN(30, 70)/100</calculatedColumnFormula>
    </tableColumn>
    <tableColumn id="11" xr3:uid="{B963F7E8-F4A8-4AE9-A24E-6F62A2B30BE6}" name="final" totalsRowFunction="average" dataDxfId="487" totalsRowDxfId="486">
      <calculatedColumnFormula>RANDBETWEEN(0, 30)/100</calculatedColumnFormula>
    </tableColumn>
    <tableColumn id="13" xr3:uid="{108F13F4-A03D-4443-AC3F-E276B177B289}" name="Progress" totalsRowFunction="custom" dataDxfId="485" totalsRowDxfId="484">
      <calculatedColumnFormula array="1">SUM(layout[[#This Row],[previz]:[final]]*layout_ponderation)</calculatedColumnFormula>
      <totalsRowFormula>(layout[[#Totals],[Estimated]]-layout[[#Totals],[Hours to do]])/layout[[#Totals],[Estimated]]</totalsRowFormula>
    </tableColumn>
    <tableColumn id="14" xr3:uid="{2DA2B536-62B9-4419-AD32-3356CA0C2CAA}" name="Hours to do" totalsRowFunction="sum" dataDxfId="483" totalsRowDxfId="482">
      <calculatedColumnFormula>(1-layout[[#This Row],[Progress]])*layout[[#This Row],[Estimated]]</calculatedColumnFormula>
    </tableColumn>
    <tableColumn id="9" xr3:uid="{72F56C2D-4801-46C4-BA6D-93BB9C1B2F87}" name="Commentaires" dataDxfId="481" totalsRowDxfId="480"/>
    <tableColumn id="17" xr3:uid="{9C5AE8CF-296E-4A4E-8344-A514EB41EEF4}" name="Cam Published" dataDxfId="479" totalsRowDxfId="478"/>
    <tableColumn id="19" xr3:uid="{FB201C3A-88E9-4A72-90F3-D1F555555DFE}" name="Days since Published" dataDxfId="477" totalsRowDxfId="476">
      <calculatedColumnFormula>IF(NOT(ISNUMBER(layout[[#This Row],[Cam Published]])), "", _xlfn.DAYS(TODAY(), layout[[#This Row],[Cam Published]]))</calculatedColumnFormula>
    </tableColumn>
  </tableColumns>
  <tableStyleInfo name="Style de tableau 1 2 2 2 2 2" showFirstColumn="1"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6FD2900-4531-4DDF-9EAB-AF06C4F687AE}" name="anim" displayName="anim" ref="A3:V52" totalsRowCount="1" headerRowDxfId="475" dataDxfId="474" totalsRowDxfId="473">
  <autoFilter ref="A3:V51" xr:uid="{F6FD2900-4531-4DDF-9EAB-AF06C4F687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autoFilter>
  <tableColumns count="22">
    <tableColumn id="1" xr3:uid="{48FF6EDA-FDCB-4A96-A02B-0EB4E89D0A26}" name="Shot" totalsRowLabel="Total" dataDxfId="472" totalsRowDxfId="471">
      <calculatedColumnFormula>metaSHOTS[[#This Row],[Shot]]</calculatedColumnFormula>
    </tableColumn>
    <tableColumn id="2" xr3:uid="{15FD26AF-2AD0-4CE8-A2BF-865A80322BCC}" name="Thumbnail" dataDxfId="470" totalsRowDxfId="469">
      <calculatedColumnFormula>metaSHOTS[[#This Row],[Thumbnail]]</calculatedColumnFormula>
    </tableColumn>
    <tableColumn id="20" xr3:uid="{97254F3A-0BBC-4821-8930-5FE080EA19C4}" name="add to planner" dataDxfId="468" totalsRowDxfId="467"/>
    <tableColumn id="15" xr3:uid="{1AF328A5-9C73-4B6A-8963-720DC13D3A9F}" name="Review" dataDxfId="466" totalsRowDxfId="465"/>
    <tableColumn id="3" xr3:uid="{2896BDD2-412B-4BCF-820A-48960C95B1D6}" name="Start" dataDxfId="464" totalsRowDxfId="463">
      <calculatedColumnFormula>metaSHOTS[[#This Row],[Start]]</calculatedColumnFormula>
    </tableColumn>
    <tableColumn id="4" xr3:uid="{E21DFC06-C3CC-4CC9-873E-C5DC281045B6}" name="End" dataDxfId="462" totalsRowDxfId="461">
      <calculatedColumnFormula>metaSHOTS[[#This Row],[End]]</calculatedColumnFormula>
    </tableColumn>
    <tableColumn id="5" xr3:uid="{D3AF0B16-FCCE-4006-BA0B-9116CD280001}" name="Duration" dataDxfId="460" totalsRowDxfId="459">
      <calculatedColumnFormula>metaSHOTS[[#This Row],[Duration]]</calculatedColumnFormula>
    </tableColumn>
    <tableColumn id="18" xr3:uid="{C9CB8DBC-E6C7-4FA4-B1C0-B2BA23006E6B}" name="Priority" dataDxfId="458" totalsRowDxfId="457"/>
    <tableColumn id="17" xr3:uid="{9241FF19-6942-40D2-93D6-044A57FD45C9}" name="Artist" dataDxfId="456" totalsRowDxfId="455"/>
    <tableColumn id="16" xr3:uid="{29E3C180-0569-423E-AB51-A8E3D3CEE6E6}" name="Status" dataDxfId="454" totalsRowDxfId="453">
      <calculatedColumnFormula>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calculatedColumnFormula>
    </tableColumn>
    <tableColumn id="6" xr3:uid="{22A9C1C8-0DBB-40F2-A32B-A975BA0E5B7C}" name="Estimated" totalsRowFunction="sum" dataDxfId="452" totalsRowDxfId="451"/>
    <tableColumn id="7" xr3:uid="{770B2D6C-D844-46B2-8414-6E17643FB438}" name="PVR" totalsRowFunction="average" dataDxfId="450" totalsRowDxfId="449"/>
    <tableColumn id="8" xr3:uid="{56DA932C-9CF0-442C-9BE0-EF9F43962399}" name="blocking 1" totalsRowFunction="average" dataDxfId="448" totalsRowDxfId="447"/>
    <tableColumn id="9" xr3:uid="{7C19398D-D190-49A5-A222-4A670A9E32A4}" name="blocking 2" totalsRowFunction="average" dataDxfId="446" totalsRowDxfId="445"/>
    <tableColumn id="10" xr3:uid="{BF80BCF1-5363-4360-A332-AC1A6E11C856}" name="blocking 3" totalsRowFunction="average" dataDxfId="444" totalsRowDxfId="443"/>
    <tableColumn id="11" xr3:uid="{AE5DF4ED-0527-4652-A084-D3C6616D30FE}" name="spline" totalsRowFunction="average" dataDxfId="442" totalsRowDxfId="441"/>
    <tableColumn id="12" xr3:uid="{30890CDA-FA6D-4B3D-8E9E-9E8F25BFCB78}" name="polish" totalsRowFunction="average" dataDxfId="440" totalsRowDxfId="439"/>
    <tableColumn id="13" xr3:uid="{9855DBB7-FF2A-49D1-BF5B-C173D69FC522}" name="Progress" totalsRowFunction="custom" dataDxfId="438" totalsRowDxfId="437">
      <calculatedColumnFormula array="1">SUM(anim[[#This Row],[PVR]:[polish]]*anim_ponderation)</calculatedColumnFormula>
      <totalsRowFormula>(anim[[#Totals],[Estimated]]-anim[[#Totals],[Hours to do]])/anim[[#Totals],[Estimated]]</totalsRowFormula>
    </tableColumn>
    <tableColumn id="14" xr3:uid="{9248B4C9-EEFA-49F2-80C3-A75129008AAF}" name="Hours to do" totalsRowFunction="sum" dataDxfId="436" totalsRowDxfId="435">
      <calculatedColumnFormula>(1-anim[[#This Row],[Progress]])*anim[[#This Row],[Estimated]]</calculatedColumnFormula>
    </tableColumn>
    <tableColumn id="19" xr3:uid="{53F06E3A-B3B6-4073-A073-B7285DEAAC4A}" name="Commentaires" dataDxfId="434" totalsRowDxfId="433"/>
    <tableColumn id="21" xr3:uid="{DF5A9C2C-EA76-487C-AEC1-2CEB3DF25B03}" name="Published" dataDxfId="432" totalsRowDxfId="431"/>
    <tableColumn id="22" xr3:uid="{394CFE04-2889-4B5A-A00B-C049B0485CEB}" name="Days since Published" dataDxfId="430" totalsRowDxfId="429">
      <calculatedColumnFormula>IF(NOT(ISNUMBER(anim[[#This Row],[Published]])), "", _xlfn.DAYS(TODAY(), anim[[#This Row],[Published]]))</calculatedColumnFormula>
    </tableColumn>
  </tableColumns>
  <tableStyleInfo name="Style de tableau 1 2 2 2 2 2 2" showFirstColumn="1"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8C134D-DB0C-4FD9-939B-24EB23A00576}" name="lighting" displayName="lighting" ref="A3:Q52" totalsRowCount="1" headerRowDxfId="428" dataDxfId="427" totalsRowDxfId="426">
  <autoFilter ref="A3:Q51" xr:uid="{948C134D-DB0C-4FD9-939B-24EB23A005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0609940D-7247-4A8A-859F-666219AE969B}" name="Shot" totalsRowLabel="Total" dataDxfId="425" totalsRowDxfId="424">
      <calculatedColumnFormula>metaSHOTS[[#This Row],[Shot]]</calculatedColumnFormula>
    </tableColumn>
    <tableColumn id="2" xr3:uid="{F8F1438E-C7B0-48CE-9AE7-8399AB1F02E4}" name="Thumbnail" dataDxfId="423" totalsRowDxfId="422">
      <calculatedColumnFormula>metaSHOTS[[#This Row],[Thumbnail]]</calculatedColumnFormula>
    </tableColumn>
    <tableColumn id="17" xr3:uid="{FDBAEF11-F24A-4F91-B394-93922EE79AD3}" name="add to planner" dataDxfId="421" totalsRowDxfId="420"/>
    <tableColumn id="11" xr3:uid="{FFB94AD1-3396-4A99-ACBC-5350FF23BD24}" name="Review" dataDxfId="419" totalsRowDxfId="418"/>
    <tableColumn id="3" xr3:uid="{2E544758-6AA6-45D6-BE24-271251D00533}" name="Start" dataDxfId="417" totalsRowDxfId="416">
      <calculatedColumnFormula>metaSHOTS[[#This Row],[Start]]</calculatedColumnFormula>
    </tableColumn>
    <tableColumn id="4" xr3:uid="{D669206B-CCAA-45E4-AE59-0FCC0D150805}" name="End" dataDxfId="415" totalsRowDxfId="414">
      <calculatedColumnFormula>metaSHOTS[[#This Row],[End]]</calculatedColumnFormula>
    </tableColumn>
    <tableColumn id="5" xr3:uid="{0C4240C3-EF1C-4337-AD43-7E71856BCEA5}" name="Duration" dataDxfId="413" totalsRowDxfId="412">
      <calculatedColumnFormula>metaSHOTS[[#This Row],[Duration]]</calculatedColumnFormula>
    </tableColumn>
    <tableColumn id="16" xr3:uid="{7FA39F97-C33B-4C15-9F46-C38CE36BD63B}" name="Priority" dataDxfId="411" totalsRowDxfId="410"/>
    <tableColumn id="12" xr3:uid="{C79F6703-136E-438F-81F2-53227EC8658E}" name="Artist" dataDxfId="409" totalsRowDxfId="408"/>
    <tableColumn id="10" xr3:uid="{994E77C4-FCD9-49C1-9212-3C4D8C32C080}" name="Status" dataDxfId="407" totalsRowDxfId="406">
      <calculatedColumnFormula>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calculatedColumnFormula>
    </tableColumn>
    <tableColumn id="6" xr3:uid="{2303AB34-0552-4A8A-B446-7AD772563BC5}" name="Estimated" totalsRowFunction="sum" dataDxfId="405" totalsRowDxfId="404"/>
    <tableColumn id="7" xr3:uid="{998CF23C-78DE-4605-B0F7-786417E35F6D}" name="essentials" totalsRowFunction="average" dataDxfId="403" totalsRowDxfId="402">
      <calculatedColumnFormula>RANDBETWEEN(70, 100)/100</calculatedColumnFormula>
    </tableColumn>
    <tableColumn id="8" xr3:uid="{560EEB58-A82D-4190-B41D-ED04604D5132}" name="crowd" totalsRowFunction="average" dataDxfId="401" totalsRowDxfId="400">
      <calculatedColumnFormula>RANDBETWEEN(30, 70)/100</calculatedColumnFormula>
    </tableColumn>
    <tableColumn id="9" xr3:uid="{7348DB81-9E0D-4C1B-93FA-1AF4B6AC37A2}" name="anim" totalsRowFunction="average" dataDxfId="399" totalsRowDxfId="398">
      <calculatedColumnFormula>RANDBETWEEN(0, 30)/100</calculatedColumnFormula>
    </tableColumn>
    <tableColumn id="13" xr3:uid="{D51CB3D1-1A7F-4C12-9794-E48BCBCF5306}" name="Progress" totalsRowFunction="custom" dataDxfId="397" totalsRowDxfId="396">
      <calculatedColumnFormula array="1">SUM(lighting[[#This Row],[essentials]:[anim]]*lighting_ponderation)</calculatedColumnFormula>
      <totalsRowFormula>(lighting[[#Totals],[Estimated]]-lighting[[#Totals],[Hours to do]])/lighting[[#Totals],[Estimated]]</totalsRowFormula>
    </tableColumn>
    <tableColumn id="14" xr3:uid="{6695CB44-6FD9-42F4-BC27-0C0869E2731B}" name="Hours to do" totalsRowFunction="sum" dataDxfId="395" totalsRowDxfId="394">
      <calculatedColumnFormula>(1-lighting[[#This Row],[Progress]])*lighting[[#This Row],[Estimated]]</calculatedColumnFormula>
    </tableColumn>
    <tableColumn id="15" xr3:uid="{52B14B24-3F55-4E93-9A76-B27A03975B8E}" name="Commentaires" dataDxfId="393" totalsRowDxfId="392"/>
  </tableColumns>
  <tableStyleInfo name="Style de tableau 1 2 2 2 2 2 2 2" showFirstColumn="1"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1D0596B-A8E4-483A-89B4-C3DC0102113C}" name="vfx" displayName="vfx" ref="A3:Q52" totalsRowCount="1" headerRowDxfId="391" dataDxfId="390" totalsRowDxfId="389">
  <autoFilter ref="A3:Q51" xr:uid="{E1D0596B-A8E4-483A-89B4-C3DC010211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s>
        <filter val="Mym"/>
      </filters>
    </filterColumn>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D9EC8324-AE10-49B8-8A40-E1642C4F98AD}" name="Shot" totalsRowLabel="Total" dataDxfId="388" totalsRowDxfId="387">
      <calculatedColumnFormula>metaSHOTS[[#This Row],[Shot]]</calculatedColumnFormula>
    </tableColumn>
    <tableColumn id="2" xr3:uid="{9049DBEC-4635-4223-BA9E-54DCC16F140F}" name="Thumbnail" dataDxfId="386" totalsRowDxfId="385">
      <calculatedColumnFormula>metaSHOTS[[#This Row],[Thumbnail]]</calculatedColumnFormula>
    </tableColumn>
    <tableColumn id="17" xr3:uid="{44318500-8945-4A6D-9AD6-69992C56AC0C}" name="add to planner" dataDxfId="384" totalsRowDxfId="383"/>
    <tableColumn id="11" xr3:uid="{465543AE-7A6F-48D7-A457-EBFC69AF1315}" name="Review" dataDxfId="382" totalsRowDxfId="381"/>
    <tableColumn id="3" xr3:uid="{87E5B2B3-4D87-4DEE-8AF5-9E6CDB07C8E4}" name="Start" dataDxfId="380" totalsRowDxfId="379">
      <calculatedColumnFormula>metaSHOTS[[#This Row],[Start]]</calculatedColumnFormula>
    </tableColumn>
    <tableColumn id="4" xr3:uid="{81065C2E-EDE9-4B29-9034-97B0AC861AF5}" name="End" dataDxfId="378" totalsRowDxfId="377">
      <calculatedColumnFormula>metaSHOTS[[#This Row],[End]]</calculatedColumnFormula>
    </tableColumn>
    <tableColumn id="5" xr3:uid="{5990BBCA-9589-48AF-95DB-01680FE4B3EE}" name="Duration" dataDxfId="376" totalsRowDxfId="375">
      <calculatedColumnFormula>metaSHOTS[[#This Row],[Duration]]</calculatedColumnFormula>
    </tableColumn>
    <tableColumn id="16" xr3:uid="{4520134A-673B-4BE4-9CB4-98A45D24A1F7}" name="Priority" dataDxfId="374" totalsRowDxfId="373"/>
    <tableColumn id="12" xr3:uid="{C80EA015-DF0A-4989-807D-E32B44211BE1}" name="Artist" dataDxfId="372" totalsRowDxfId="371"/>
    <tableColumn id="10" xr3:uid="{04C8A53C-A381-4535-9C3F-42CB6C740EF2}" name="Status" dataDxfId="370" totalsRowDxfId="369">
      <calculatedColumnFormula>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calculatedColumnFormula>
    </tableColumn>
    <tableColumn id="6" xr3:uid="{D0726B97-AD26-4A98-9762-FF582ABAE152}" name="Estimated" totalsRowFunction="sum" dataDxfId="368" totalsRowDxfId="367"/>
    <tableColumn id="7" xr3:uid="{9F667945-8069-4262-B3B0-A55A5741C2F0}" name="rnd" totalsRowFunction="average" dataDxfId="366" totalsRowDxfId="365">
      <calculatedColumnFormula>RANDBETWEEN(70, 100)/100</calculatedColumnFormula>
    </tableColumn>
    <tableColumn id="8" xr3:uid="{C48FF01B-B874-4DED-8A57-5C6A5997A705}" name="blocking" totalsRowFunction="average" dataDxfId="364" totalsRowDxfId="363">
      <calculatedColumnFormula>RANDBETWEEN(30, 70)/100</calculatedColumnFormula>
    </tableColumn>
    <tableColumn id="9" xr3:uid="{D42ED53B-53B9-4E19-907E-5AC6BC58633B}" name="polish" totalsRowFunction="average" dataDxfId="362" totalsRowDxfId="361">
      <calculatedColumnFormula>RANDBETWEEN(0, 30)/100</calculatedColumnFormula>
    </tableColumn>
    <tableColumn id="13" xr3:uid="{348B601E-237F-4B53-9152-41069017DA6D}" name="Progress" totalsRowFunction="average" dataDxfId="360" totalsRowDxfId="359">
      <calculatedColumnFormula array="1">SUM(vfx[[#This Row],[rnd]:[polish]]*vfx_ponderation)</calculatedColumnFormula>
    </tableColumn>
    <tableColumn id="14" xr3:uid="{830B0C9F-5CE7-4417-A4F0-D74DC2BA2F10}" name="Hours to do" totalsRowFunction="sum" dataDxfId="358" totalsRowDxfId="357">
      <calculatedColumnFormula>IF(vfx[[#This Row],[Progress]]="Done", "Done", (1-vfx[[#This Row],[Progress]])*vfx[[#This Row],[Estimated]])</calculatedColumnFormula>
    </tableColumn>
    <tableColumn id="15" xr3:uid="{656B133E-D87C-4FFC-AEC0-A636280B32BF}" name="Commentaires" dataDxfId="356" totalsRowDxfId="355"/>
  </tableColumns>
  <tableStyleInfo name="Style de tableau 1 2 2 2 2 2 2 2 2 2" showFirstColumn="1"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AF71510-B236-4E63-AE35-D6AF8B44D0AE}" name="Tableau21" displayName="Tableau21" ref="A3:L50" totalsRowShown="0" headerRowDxfId="354" dataDxfId="353">
  <autoFilter ref="A3:L50" xr:uid="{4AF71510-B236-4E63-AE35-D6AF8B44D0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BD10FA9-623E-47B9-AB48-2E0D6BE1DD6E}" name="Shot" dataDxfId="352">
      <calculatedColumnFormula>metaSHOTS[[#This Row],[Shot]]</calculatedColumnFormula>
    </tableColumn>
    <tableColumn id="2" xr3:uid="{FD6B2E09-EB30-42AD-A669-16B1C2A07B8A}" name="Thumbnail" dataDxfId="351">
      <calculatedColumnFormula>metaSHOTS[[#This Row],[Thumbnail]]</calculatedColumnFormula>
    </tableColumn>
    <tableColumn id="3" xr3:uid="{D87B68AC-9C7C-45E0-B2FC-0BB5C3D745F2}" name="Cut In" dataDxfId="350">
      <calculatedColumnFormula>metaSHOTS[[#This Row],[Start]]</calculatedColumnFormula>
    </tableColumn>
    <tableColumn id="4" xr3:uid="{07479800-4725-4F00-9E40-95243F8FCAE0}" name="Cut Out" dataDxfId="349">
      <calculatedColumnFormula>metaSHOTS[[#This Row],[End]]</calculatedColumnFormula>
    </tableColumn>
    <tableColumn id="5" xr3:uid="{293FCFB3-3D13-46E5-AF8F-00B361F97573}" name="Cut Duration" dataDxfId="348">
      <calculatedColumnFormula>metaSHOTS[[#This Row],[Duration]]</calculatedColumnFormula>
    </tableColumn>
    <tableColumn id="9" xr3:uid="{8BA5CA91-7818-4B68-A2EF-D9D606E49A4F}" name="Applicable" dataDxfId="347"/>
    <tableColumn id="6" xr3:uid="{BB66A513-10BE-4391-B856-2E15356EB377}" name="Timing Locked" dataDxfId="346"/>
    <tableColumn id="7" xr3:uid="{38F9B97E-8C70-4216-A02E-8CEFE7EBEC17}" name="Export Cam" dataDxfId="345"/>
    <tableColumn id="8" xr3:uid="{20EF481C-4BD3-474F-8092-584266854FF6}" name="Export Env" dataDxfId="344"/>
    <tableColumn id="11" xr3:uid="{FE83F618-C4EE-4277-B38E-8F5228DB9C1C}" name="Export Anim" dataDxfId="343"/>
    <tableColumn id="10" xr3:uid="{84540616-D01D-4DD9-8F17-7CC36C114B90}" name="Ready" dataDxfId="342">
      <calculatedColumnFormula>AND(Tableau21[[#This Row],[Timing Locked]]="ok", Tableau21[[#This Row],[Export Cam]]="ok", Tableau21[[#This Row],[Export Env]]="ok")</calculatedColumnFormula>
    </tableColumn>
    <tableColumn id="12" xr3:uid="{E95E205B-1741-48BA-8860-45B53040DADF}" name="Focal animée" dataDxfId="341"/>
  </tableColumns>
  <tableStyleInfo name="Style de tableau 1 2 2 2 2 2 2 2 2 2 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C3BBD0-565B-449B-A950-F8C8F9814739}" name="render" displayName="render" ref="A3:R52" totalsRowCount="1" headerRowDxfId="340" dataDxfId="339" totalsRowDxfId="338">
  <autoFilter ref="A3:R51" xr:uid="{52C3BBD0-565B-449B-A950-F8C8F98147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autoFilter>
  <tableColumns count="18">
    <tableColumn id="1" xr3:uid="{F6C9439A-F25C-478F-AE02-294E01AA5AEF}" name="Shot" totalsRowLabel="Total" dataDxfId="337" totalsRowDxfId="336">
      <calculatedColumnFormula>metaSHOTS[[#This Row],[Shot]]</calculatedColumnFormula>
    </tableColumn>
    <tableColumn id="2" xr3:uid="{D48FD844-50E8-4A55-8E87-A558D17FA0F2}" name="Thumbnail" dataDxfId="335" totalsRowDxfId="334">
      <calculatedColumnFormula>metaSHOTS[[#This Row],[Thumbnail]]</calculatedColumnFormula>
    </tableColumn>
    <tableColumn id="17" xr3:uid="{1CA740CD-C80D-4A96-AC7C-62DE915A9311}" name="add to planner" dataDxfId="333" totalsRowDxfId="332"/>
    <tableColumn id="11" xr3:uid="{1B74A7C0-FF82-45F3-A7D8-779154C9B7F3}" name="Review" dataDxfId="331" totalsRowDxfId="330"/>
    <tableColumn id="3" xr3:uid="{44FF10A6-A0ED-40D2-A970-D0AC5A5FFFCB}" name="Start" dataDxfId="329" totalsRowDxfId="328">
      <calculatedColumnFormula>metaSHOTS[[#This Row],[Start]]</calculatedColumnFormula>
    </tableColumn>
    <tableColumn id="4" xr3:uid="{AB785B01-6046-408E-8D5F-FD9263541392}" name="End" dataDxfId="327" totalsRowDxfId="326">
      <calculatedColumnFormula>metaSHOTS[[#This Row],[End]]</calculatedColumnFormula>
    </tableColumn>
    <tableColumn id="5" xr3:uid="{0D308C02-BF07-41BA-A146-54854F79E126}" name="Duration" dataDxfId="325" totalsRowDxfId="324">
      <calculatedColumnFormula>metaSHOTS[[#This Row],[Duration]]</calculatedColumnFormula>
    </tableColumn>
    <tableColumn id="15" xr3:uid="{13F2A79F-6306-4677-82F4-0AFA902ED311}" name="Priority" dataDxfId="323" totalsRowDxfId="322"/>
    <tableColumn id="12" xr3:uid="{2008F8C4-CAE9-46D1-9C13-2C8B47389443}" name="Artist" dataDxfId="321" totalsRowDxfId="320"/>
    <tableColumn id="10" xr3:uid="{2E1E1507-9942-4279-BE4E-61C8CF0B5DED}" name="Status" dataDxfId="319" totalsRowDxfId="318">
      <calculatedColumnFormula>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calculatedColumnFormula>
    </tableColumn>
    <tableColumn id="6" xr3:uid="{55B9A9B6-1C42-496E-A69E-C8B58BC69CDE}" name="Estimated" totalsRowFunction="sum" dataDxfId="317" totalsRowDxfId="316"/>
    <tableColumn id="7" xr3:uid="{16DEBBA7-764D-4CB8-97FE-7556198008FC}" name="3D" totalsRowFunction="average" dataDxfId="315" totalsRowDxfId="314">
      <calculatedColumnFormula>RANDBETWEEN(70, 100)/100</calculatedColumnFormula>
    </tableColumn>
    <tableColumn id="8" xr3:uid="{B36B2082-5341-4030-A940-454BB1219322}" name="Crowd" totalsRowFunction="average" dataDxfId="313" totalsRowDxfId="312">
      <calculatedColumnFormula>RANDBETWEEN(30, 70)/100</calculatedColumnFormula>
    </tableColumn>
    <tableColumn id="9" xr3:uid="{9AB9D5D2-7E55-4F6A-BCF3-96B9E8425DD9}" name="2D" totalsRowFunction="average" dataDxfId="311" totalsRowDxfId="310">
      <calculatedColumnFormula>RANDBETWEEN(0, 30)/100</calculatedColumnFormula>
    </tableColumn>
    <tableColumn id="13" xr3:uid="{95686320-EBDA-444C-AABA-6E3906AE7956}" name="Progress" totalsRowFunction="average" dataDxfId="309" totalsRowDxfId="308">
      <calculatedColumnFormula array="1">SUM(render[[#This Row],[3D]:[2D]]*render_ponderation)</calculatedColumnFormula>
    </tableColumn>
    <tableColumn id="14" xr3:uid="{26E65CDE-D99B-4F3D-B942-00A03941D8B4}" name="Hours to do" totalsRowFunction="sum" dataDxfId="307" totalsRowDxfId="306">
      <calculatedColumnFormula>(1-render[[#This Row],[Progress]])*render[[#This Row],[Estimated]]</calculatedColumnFormula>
    </tableColumn>
    <tableColumn id="16" xr3:uid="{9E2C4C53-9497-47DE-9CEC-A4B9D3CF0A8C}" name="Commentaires" dataDxfId="305" totalsRowDxfId="304"/>
    <tableColumn id="18" xr3:uid="{FF27A46A-3C56-4EEA-B0B6-2C8DC1B8F312}" name="Cam fixed" dataDxfId="303" totalsRowDxfId="302"/>
  </tableColumns>
  <tableStyleInfo name="Style de tableau 1 2 2 2 2 2 2 2 2"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6443310-C2B0-4FCA-B74E-728EDD04962C}" name="comp" displayName="comp" ref="A3:Q52" totalsRowCount="1" headerRowDxfId="301" dataDxfId="300" totalsRowDxfId="299">
  <autoFilter ref="A3:Q51" xr:uid="{56443310-C2B0-4FCA-B74E-728EDD04962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5B197F75-C2AE-46B5-960C-E2D5DF1343D5}" name="Shot" totalsRowLabel="Total" dataDxfId="298" totalsRowDxfId="297">
      <calculatedColumnFormula>metaSHOTS[[#This Row],[Shot]]</calculatedColumnFormula>
    </tableColumn>
    <tableColumn id="2" xr3:uid="{31DC613C-B942-4091-BC71-381EE9265F07}" name="Thumbnail" dataDxfId="296" totalsRowDxfId="295">
      <calculatedColumnFormula>metaSHOTS[[#This Row],[Thumbnail]]</calculatedColumnFormula>
    </tableColumn>
    <tableColumn id="17" xr3:uid="{46CF5CFB-74A9-4825-861D-DB9C461BBC7F}" name="add to planner" dataDxfId="294" totalsRowDxfId="293"/>
    <tableColumn id="11" xr3:uid="{77FA871E-11E5-4C07-AD21-E60BFB50C896}" name="Review" dataDxfId="292" totalsRowDxfId="291"/>
    <tableColumn id="3" xr3:uid="{36F8E1FF-9CE6-450F-9144-EA1BFFFCB8E4}" name="Start" dataDxfId="290" totalsRowDxfId="289">
      <calculatedColumnFormula>metaSHOTS[[#This Row],[Start]]</calculatedColumnFormula>
    </tableColumn>
    <tableColumn id="4" xr3:uid="{219C9046-A96C-4DC4-8E33-1D7F5597DADF}" name="End" dataDxfId="288" totalsRowDxfId="287">
      <calculatedColumnFormula>metaSHOTS[[#This Row],[End]]</calculatedColumnFormula>
    </tableColumn>
    <tableColumn id="5" xr3:uid="{3EFA9A27-B714-402F-88D2-496FAB1BF3E3}" name="Duration" dataDxfId="286" totalsRowDxfId="285">
      <calculatedColumnFormula>metaSHOTS[[#This Row],[Duration]]</calculatedColumnFormula>
    </tableColumn>
    <tableColumn id="16" xr3:uid="{06AEEFF3-8A92-477B-BDD5-0D45A9D09212}" name="Priority" dataDxfId="284" totalsRowDxfId="283"/>
    <tableColumn id="12" xr3:uid="{29C9AF53-483E-4B6C-A06B-7395E92F3B77}" name="Artist" dataDxfId="282" totalsRowDxfId="281"/>
    <tableColumn id="10" xr3:uid="{F597FE4B-6ECD-4929-B503-9824AB48C305}" name="Status" dataDxfId="280" totalsRowDxfId="279">
      <calculatedColumnFormula>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calculatedColumnFormula>
    </tableColumn>
    <tableColumn id="6" xr3:uid="{D541C80F-6ACF-4FA7-8983-A416C478857A}" name="Estimated" totalsRowFunction="sum" dataDxfId="278" totalsRowDxfId="277"/>
    <tableColumn id="7" xr3:uid="{398D9C66-7A0D-4A53-A986-CA2BFA4AA7F1}" name="assemble" totalsRowFunction="average" dataDxfId="276" totalsRowDxfId="275">
      <calculatedColumnFormula>RANDBETWEEN(70, 100)/100</calculatedColumnFormula>
    </tableColumn>
    <tableColumn id="8" xr3:uid="{1C3D4538-3515-4E58-8ECA-0BA00D24D60B}" name="2dvfx" totalsRowFunction="average" dataDxfId="274" totalsRowDxfId="273">
      <calculatedColumnFormula>RANDBETWEEN(30, 70)/100</calculatedColumnFormula>
    </tableColumn>
    <tableColumn id="9" xr3:uid="{6CAEAE0C-92DD-4DCB-B8EC-FFC7F090D628}" name="colo" totalsRowFunction="average" dataDxfId="272" totalsRowDxfId="271">
      <calculatedColumnFormula>RANDBETWEEN(0, 30)/100</calculatedColumnFormula>
    </tableColumn>
    <tableColumn id="13" xr3:uid="{F59AF2B6-91BB-4AA0-BD69-4A55B93AC484}" name="Progress" totalsRowFunction="custom" dataDxfId="270" totalsRowDxfId="269">
      <calculatedColumnFormula array="1">SUM(comp[[#This Row],[assemble]:[colo]]*comp_ponderation)</calculatedColumnFormula>
      <totalsRowFormula>(comp[[#Totals],[Estimated]]-comp[[#Totals],[Hours to do]])/comp[[#Totals],[Estimated]]</totalsRowFormula>
    </tableColumn>
    <tableColumn id="14" xr3:uid="{0A2A47ED-F7DB-4A9D-9BC4-F4A0CF0890F2}" name="Hours to do" totalsRowFunction="sum" dataDxfId="268" totalsRowDxfId="267">
      <calculatedColumnFormula>(1-comp[[#This Row],[Progress]])*comp[[#This Row],[Estimated]]</calculatedColumnFormula>
    </tableColumn>
    <tableColumn id="15" xr3:uid="{E048D79B-9555-4B06-B0C7-3099EC99B409}" name="Commentaires" dataDxfId="266" totalsRowDxfId="265"/>
  </tableColumns>
  <tableStyleInfo name="Style de tableau 1 2 3" showFirstColumn="1"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A89058F-D56F-4975-ACE9-65E6744410C9}" name="shots" displayName="shots" ref="A3:Q52" totalsRowCount="1" headerRowDxfId="264" dataDxfId="263" totalsRowDxfId="262">
  <autoFilter ref="A3:Q51" xr:uid="{7A89058F-D56F-4975-ACE9-65E6744410C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F8C2F9B0-A4CD-4B4D-9751-4EFB73B9ED30}" name="Shot" totalsRowLabel="Total" dataDxfId="261" totalsRowDxfId="260">
      <calculatedColumnFormula>metaSHOTS[[#This Row],[Shot]]</calculatedColumnFormula>
    </tableColumn>
    <tableColumn id="2" xr3:uid="{842A5217-6447-4D0E-8402-FBCE7C8A9BFB}" name="Thumbnail" dataDxfId="259" totalsRowDxfId="258">
      <calculatedColumnFormula>metaSHOTS[[#This Row],[Thumbnail]]</calculatedColumnFormula>
    </tableColumn>
    <tableColumn id="3" xr3:uid="{64206015-2189-4CB6-A282-7D1FA81F28A5}" name="Start" dataDxfId="257" totalsRowDxfId="256">
      <calculatedColumnFormula>metaSHOTS[[#This Row],[Start]]</calculatedColumnFormula>
    </tableColumn>
    <tableColumn id="4" xr3:uid="{E2B8AFB5-BBC4-4DC8-BE7A-98A532A3879B}" name="End" dataDxfId="255" totalsRowDxfId="254">
      <calculatedColumnFormula>metaSHOTS[[#This Row],[End]]</calculatedColumnFormula>
    </tableColumn>
    <tableColumn id="5" xr3:uid="{6065789E-29B0-45BD-AB21-616A6D91B1E7}" name="Duration" dataDxfId="253" totalsRowDxfId="252">
      <calculatedColumnFormula>metaSHOTS[[#This Row],[Duration]]</calculatedColumnFormula>
    </tableColumn>
    <tableColumn id="17" xr3:uid="{1EC8A8AF-AE65-457F-91ED-B853A5EF7C35}" name="Priority" dataDxfId="251" totalsRowDxfId="250">
      <calculatedColumnFormula>SUM(LEN(layout[[#This Row],[Priority]]),LEN(anim[[#This Row],[Priority]]),LEN(lighting[[#This Row],[Priority]]),LEN(vfx[[#This Row],[Priority]]), LEN(render[[#This Row],[Priority]]),LEN(comp[[#This Row],[Priority]]))</calculatedColumnFormula>
    </tableColumn>
    <tableColumn id="15" xr3:uid="{049A7AC3-BF9F-4355-8143-A5E3E20B0FCD}" name="Status" dataDxfId="249" totalsRowDxfId="248">
      <calculatedColumnFormula>IF(
        comp[[#This Row],[Progress]]&gt;0%, "Comp",
        IF(
            render[[#This Row],[Progress]]&gt;0%, "Render",
            IF(
                vfx[[#This Row],[Progress]]&gt;0%, "VFX",
                IF(
                    lighting[[#This Row],[Progress]]&gt;0%, "Lighting",
                    IF(
                        anim[[#This Row],[Progress]]&gt;0%, "Anim",
                        IF(
                            layout[[#This Row],[Progress]]&gt;=0%, "Layout"
                        )
                    )
                )
            )
        )
    )</calculatedColumnFormula>
    </tableColumn>
    <tableColumn id="10" xr3:uid="{B9BADF85-4553-4093-9C68-7C69E0388826}" name="Estimated" totalsRowFunction="sum" dataDxfId="247" totalsRowDxfId="246">
      <calculatedColumnFormula>SUM(layout[[#This Row],[Estimated]], anim[[#This Row],[Estimated]], lighting[[#This Row],[Estimated]], render[[#This Row],[Estimated]], vfx[[#This Row],[Estimated]], comp[[#This Row],[Estimated]])</calculatedColumnFormula>
    </tableColumn>
    <tableColumn id="16" xr3:uid="{08923A90-6E20-4DED-BE98-637290915039}" name="layout" totalsRowFunction="custom" dataDxfId="245" totalsRowDxfId="244">
      <calculatedColumnFormula>layout[[#This Row],[Progress]]</calculatedColumnFormula>
      <totalsRowFormula>layoutProgress</totalsRowFormula>
    </tableColumn>
    <tableColumn id="6" xr3:uid="{4881F2BF-CFF6-4974-BC53-2B99C02092C0}" name="anim" totalsRowFunction="custom" dataDxfId="243" totalsRowDxfId="242">
      <calculatedColumnFormula>anim[[#This Row],[Progress]]</calculatedColumnFormula>
      <totalsRowFormula>animProgress</totalsRowFormula>
    </tableColumn>
    <tableColumn id="14" xr3:uid="{FECB9C9F-28F0-4D15-B09D-1CBC26B27AEC}" name="lighting" totalsRowFunction="custom" dataDxfId="241" totalsRowDxfId="240">
      <calculatedColumnFormula>lighting[[#This Row],[Progress]]</calculatedColumnFormula>
      <totalsRowFormula>lightingProgress</totalsRowFormula>
    </tableColumn>
    <tableColumn id="12" xr3:uid="{07DF001A-6C09-49C3-8D86-E486F6951CAC}" name="vfx" totalsRowFunction="custom" dataDxfId="239" totalsRowDxfId="238">
      <calculatedColumnFormula>vfx[[#This Row],[Progress]]</calculatedColumnFormula>
      <totalsRowFormula>vfxProgress</totalsRowFormula>
    </tableColumn>
    <tableColumn id="13" xr3:uid="{9A44894D-9EBD-42CA-AD3D-D93EA129AB77}" name="render" totalsRowFunction="custom" dataDxfId="237" totalsRowDxfId="236">
      <calculatedColumnFormula>render[[#This Row],[Progress]]</calculatedColumnFormula>
      <totalsRowFormula>renderProgress</totalsRowFormula>
    </tableColumn>
    <tableColumn id="11" xr3:uid="{ECF6B42B-2675-424C-A5DA-5C089E8D22F3}" name="comp" totalsRowFunction="custom" dataDxfId="235" totalsRowDxfId="234">
      <calculatedColumnFormula>comp[[#This Row],[Progress]]</calculatedColumnFormula>
      <totalsRowFormula>compProgress</totalsRowFormula>
    </tableColumn>
    <tableColumn id="7" xr3:uid="{F8BAE6FD-0B0D-4CBF-9FA1-FAC4F6F4C6FD}" name="Progress" totalsRowFunction="custom" dataDxfId="233" totalsRowDxfId="232">
      <calculatedColumnFormula array="1">SUM(shots[[#This Row],[layout]:[comp]]*SHOTS_ponderation)</calculatedColumnFormula>
      <totalsRowFormula>(shots[[#Totals],[Estimated]]-shots[[#Totals],[Hours to do]])/shots[[#Totals],[Estimated]]</totalsRowFormula>
    </tableColumn>
    <tableColumn id="8" xr3:uid="{FE4E2D9C-E4BA-4DC2-A025-710382EF0646}" name="Hours to do" totalsRowFunction="sum" dataDxfId="231" totalsRowDxfId="230">
      <calculatedColumnFormula>(1-shots[[#This Row],[Progress]])*shots[[#This Row],[Estimated]]</calculatedColumnFormula>
    </tableColumn>
    <tableColumn id="9" xr3:uid="{BB153A80-ABFD-404C-943B-77A9A052A0EB}" name="Commentaires" dataDxfId="229" totalsRowDxfId="228"/>
  </tableColumns>
  <tableStyleInfo name="Style de tableau 1 2 3 2" showFirstColumn="1"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B460D5-654F-4A63-BF6C-06245EAB1F87}" name="metaASSETS" displayName="metaASSETS" ref="A3:E78" totalsRowShown="0" headerRowDxfId="227" dataDxfId="226">
  <autoFilter ref="A3:E78" xr:uid="{74B460D5-654F-4A63-BF6C-06245EAB1F87}">
    <filterColumn colId="0" hiddenButton="1"/>
    <filterColumn colId="1" hiddenButton="1"/>
    <filterColumn colId="2" hiddenButton="1"/>
    <filterColumn colId="3" hiddenButton="1"/>
    <filterColumn colId="4" hiddenButton="1"/>
  </autoFilter>
  <sortState xmlns:xlrd2="http://schemas.microsoft.com/office/spreadsheetml/2017/richdata2" ref="A4:E77">
    <sortCondition ref="B4:B77"/>
    <sortCondition ref="A4:A77"/>
  </sortState>
  <tableColumns count="5">
    <tableColumn id="1" xr3:uid="{75F76F35-56CE-45DB-B0EB-B3EABCB103EF}" name="Asset Name" dataDxfId="225"/>
    <tableColumn id="2" xr3:uid="{4CC9770B-BE6C-465C-AAD9-F8C3340E27A9}" name="Type" dataDxfId="224"/>
    <tableColumn id="3" xr3:uid="{4688FAD6-5DBF-40EB-A8D9-D4047B7AD502}" name="Thumbnail" dataDxfId="223"/>
    <tableColumn id="6" xr3:uid="{440A4C9E-3945-449B-A11B-88B1DE2AF94F}" name="Description" dataDxfId="222"/>
    <tableColumn id="4" xr3:uid="{9E95A07F-EB78-467E-8C72-F89FFE4B291C}" name="Shots" dataDxfId="221">
      <calculatedColumnFormula array="1">getShots(metaASSETS[[#This Row],[Asset Name]])</calculatedColumnFormula>
    </tableColumn>
  </tableColumns>
  <tableStyleInfo name="TableStyleLight13"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BF3F3F9-F250-4AB9-9415-25475F6AE457}" name="metaSHOTS" displayName="metaSHOTS" ref="A3:G51" headerRowDxfId="220" dataDxfId="219" totalsRowDxfId="218">
  <autoFilter ref="A3:G51" xr:uid="{4BF3F3F9-F250-4AB9-9415-25475F6AE457}">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3D285F0-D8E6-4A01-A5DC-6566478AF635}" name="Shot" totalsRowLabel="Total" dataDxfId="217" totalsRowDxfId="216">
      <calculatedColumnFormula>shotlist[[#This Row],[Shot Name]]</calculatedColumnFormula>
    </tableColumn>
    <tableColumn id="2" xr3:uid="{945B0C11-39A9-468B-A63F-B8EDE50416B7}" name="Thumbnail" dataDxfId="215" totalsRowDxfId="214"/>
    <tableColumn id="3" xr3:uid="{91236783-F1E7-498E-ACF2-1FE2256B7642}" name="Start" dataDxfId="213" totalsRowDxfId="212"/>
    <tableColumn id="4" xr3:uid="{316E339C-0C7E-4BB6-B9AF-B016DC3E3B63}" name="End" dataDxfId="211" totalsRowDxfId="210"/>
    <tableColumn id="5" xr3:uid="{E6F369F4-5783-4DC0-8E4A-7D850B6042BB}" name="Duration" totalsRowFunction="sum" dataDxfId="209" totalsRowDxfId="208">
      <calculatedColumnFormula>metaSHOTS[[#This Row],[End]]-metaSHOTS[[#This Row],[Start]]+1</calculatedColumnFormula>
    </tableColumn>
    <tableColumn id="6" xr3:uid="{B1C76BA4-A175-4CFD-BC57-584C4B085044}" name="Assets (Tier 1)" dataDxfId="207" totalsRowDxfId="206">
      <calculatedColumnFormula array="1">getAssets(metaSHOTS[[#This Row],[Shot]], 1)</calculatedColumnFormula>
    </tableColumn>
    <tableColumn id="7" xr3:uid="{A4EE9352-8C5D-40A7-B607-D1B25493D3B3}" name="Assets (Tier 2)" dataDxfId="205" totalsRowDxfId="204">
      <calculatedColumnFormula array="1">getAssets(metaSHOTS[[#This Row],[Shot]], 2)</calculatedColumnFormula>
    </tableColumn>
  </tableColumns>
  <tableStyleInfo name="TableStyleMedium7" showFirstColumn="1"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C4BC645-CE72-463D-9F9A-5274601BE912}" name="edit_modif_table" displayName="edit_modif_table" ref="I3:R52" totalsRowCount="1" headerRowDxfId="203" dataDxfId="202">
  <autoFilter ref="I3:R51" xr:uid="{4C4BC645-CE72-463D-9F9A-5274601BE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83F8C0CC-2180-40DC-A768-1971A0B8441C}" name="Modif" totalsRowLabel="Total" dataDxfId="201" totalsRowDxfId="200"/>
    <tableColumn id="2" xr3:uid="{D1CE940A-3068-4D9B-8377-1FE1EB72739B}" name="In" dataDxfId="199" totalsRowDxfId="198"/>
    <tableColumn id="3" xr3:uid="{BA0D25EF-27CB-480E-BFDA-E98D0B7137C1}" name="Out" dataDxfId="197" totalsRowDxfId="196"/>
    <tableColumn id="4" xr3:uid="{6A7A31AD-E8A1-42B1-9CD9-6F19A3F408DB}" name="Total" totalsRowFunction="sum" dataDxfId="195" totalsRowDxfId="194">
      <calculatedColumnFormula>IF(NOT(ISBLANK(I4)), J4+K4, "")</calculatedColumnFormula>
    </tableColumn>
    <tableColumn id="5" xr3:uid="{80422300-FCFF-4DD7-85C8-1B7C5A53738C}" name="ideas" dataDxfId="193" totalsRowDxfId="192"/>
    <tableColumn id="6" xr3:uid="{3C1EAC50-7AD3-4DC5-B2EB-E0606ADF5987}" name="Shot" dataDxfId="191" totalsRowDxfId="190">
      <calculatedColumnFormula>metaSHOTS[[#This Row],[Shot]]</calculatedColumnFormula>
    </tableColumn>
    <tableColumn id="7" xr3:uid="{8A368FA2-EE09-4C67-B960-DBAD7076EBFC}" name="Thumbnail" dataDxfId="189" totalsRowDxfId="188">
      <calculatedColumnFormula>metaSHOTS[[#This Row],[Thumbnail]]</calculatedColumnFormula>
    </tableColumn>
    <tableColumn id="8" xr3:uid="{EAB3004E-EF49-48F5-912C-5513DDE43F87}" name="bg" dataDxfId="187" totalsRowDxfId="186"/>
    <tableColumn id="9" xr3:uid="{631A2B42-BFF2-4F08-9B03-82F02E1461A5}" name="chrs" dataDxfId="185" totalsRowDxfId="184"/>
    <tableColumn id="10" xr3:uid="{16C0DDD7-159A-4C73-89EC-0F9FD2AE5166}" name="Timerange updated" dataDxfId="183" totalsRowDxfId="182"/>
  </tableColumns>
  <tableStyleInfo name="TableStyleLight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43322B33-009D-424C-A37F-97A9C9BD8E88}" name="assetPipelineData" displayName="assetPipelineData" ref="G9:J13" totalsRowShown="0" headerRowDxfId="181" dataDxfId="180">
  <autoFilter ref="G9:J13" xr:uid="{43322B33-009D-424C-A37F-97A9C9BD8E88}">
    <filterColumn colId="0" hiddenButton="1"/>
    <filterColumn colId="1" hiddenButton="1"/>
    <filterColumn colId="2" hiddenButton="1"/>
    <filterColumn colId="3" hiddenButton="1"/>
  </autoFilter>
  <tableColumns count="4">
    <tableColumn id="1" xr3:uid="{F16C2075-B54C-4419-8FBF-729666FEC665}" name="Predecessor" dataDxfId="179"/>
    <tableColumn id="2" xr3:uid="{35758C00-4C41-43E6-A2FE-41EB3C9AC366}" name="Actual" dataDxfId="178"/>
    <tableColumn id="3" xr3:uid="{B4486138-7BF0-4139-AE52-9EBA16FD9792}" name="Successor" dataDxfId="177"/>
    <tableColumn id="4" xr3:uid="{8B884179-5BFD-4C19-B707-D0C39A2875AE}" name="Value" dataDxfId="176"/>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68F1355-CD2A-433D-B950-A0215966E2C2}" name="shotPipelineData" displayName="shotPipelineData" ref="G15:J21" totalsRowShown="0" headerRowDxfId="175" dataDxfId="174">
  <autoFilter ref="G15:J21" xr:uid="{268F1355-CD2A-433D-B950-A0215966E2C2}">
    <filterColumn colId="0" hiddenButton="1"/>
    <filterColumn colId="1" hiddenButton="1"/>
    <filterColumn colId="2" hiddenButton="1"/>
    <filterColumn colId="3" hiddenButton="1"/>
  </autoFilter>
  <tableColumns count="4">
    <tableColumn id="1" xr3:uid="{24EFFF02-500F-42AC-9127-F7DEBC3F5893}" name="Predecessor" dataDxfId="173"/>
    <tableColumn id="2" xr3:uid="{F76D0C9D-E883-427A-B5DB-A8EFB2174E10}" name="Actual" dataDxfId="172"/>
    <tableColumn id="3" xr3:uid="{971F7F32-2014-44D5-BCAA-261B00368B87}" name="Successor" dataDxfId="171"/>
    <tableColumn id="4" xr3:uid="{4029559B-3CC7-443E-BAD7-3DDEC8F9AA32}" name="Value" dataDxfId="170"/>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46FAEC6-5E20-488B-8DC0-153C47C790C9}" name="weekdays" displayName="weekdays" ref="P2:Q9" totalsRowShown="0" headerRowDxfId="169" dataDxfId="168">
  <autoFilter ref="P2:Q9" xr:uid="{546FAEC6-5E20-488B-8DC0-153C47C790C9}">
    <filterColumn colId="0" hiddenButton="1"/>
    <filterColumn colId="1" hiddenButton="1"/>
  </autoFilter>
  <tableColumns count="2">
    <tableColumn id="1" xr3:uid="{33F498B4-27FC-4642-BF58-E6495D4C1EDE}" name="Jour" dataDxfId="167"/>
    <tableColumn id="2" xr3:uid="{881DBFB3-EFF7-4DD4-8E4A-768258C010A5}" name="Code" dataDxfId="166"/>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2E384FC0-7349-4A2E-A9B2-764FFEA6C0D4}" name="unavailabilityTable" displayName="unavailabilityTable" ref="G2:N7" headerRowDxfId="165" dataDxfId="164" totalsRowDxfId="163">
  <autoFilter ref="G2:N7" xr:uid="{2E384FC0-7349-4A2E-A9B2-764FFEA6C0D4}">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CF8127D-E6A8-4D46-A366-669337A3DC8A}" name="Artist" totalsRowLabel="Total" dataDxfId="162" totalsRowDxfId="161"/>
    <tableColumn id="3" xr3:uid="{B37FAEF8-51B0-4882-B8D4-C7F0D5775070}" name="Lundi" dataDxfId="160" totalsRowDxfId="159"/>
    <tableColumn id="4" xr3:uid="{B9702D89-FDE4-4165-A0B6-5AEA745E16E3}" name="Mardi" dataDxfId="158" totalsRowDxfId="157"/>
    <tableColumn id="5" xr3:uid="{A3D78D1F-2492-47B9-A205-FE6C6478F220}" name="Mercredi" dataDxfId="156" totalsRowDxfId="155"/>
    <tableColumn id="6" xr3:uid="{2DD3ED44-212C-4D57-954F-316651880E83}" name="Jeudi" dataDxfId="154" totalsRowDxfId="153"/>
    <tableColumn id="7" xr3:uid="{C8BECC1C-8924-4A6D-9426-29BAA00BD1F6}" name="Vendredi" dataDxfId="152" totalsRowDxfId="151"/>
    <tableColumn id="8" xr3:uid="{BA1E9EEF-1DB2-483B-80D4-AD3738F80771}" name="Samedi" totalsRowFunction="count" dataDxfId="150" totalsRowDxfId="149"/>
    <tableColumn id="2" xr3:uid="{CC0A1929-3B2A-4609-834C-207B65BC8E7E}" name="Dimanche" dataDxfId="148" totalsRowDxfId="147"/>
  </tableColumns>
  <tableStyleInfo name="TableStyleLight9" showFirstColumn="1" showLastColumn="0" showRowStripes="0" showColumnStripes="1"/>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0DFFFFC-EBAB-4BA9-AEAC-ED623A7B444F}" name="shotlist" displayName="shotlist" ref="C3:E51" totalsRowShown="0" headerRowDxfId="146">
  <autoFilter ref="C3:E51" xr:uid="{A0DFFFFC-EBAB-4BA9-AEAC-ED623A7B444F}">
    <filterColumn colId="0" hiddenButton="1"/>
    <filterColumn colId="1" hiddenButton="1"/>
    <filterColumn colId="2" hiddenButton="1"/>
  </autoFilter>
  <tableColumns count="3">
    <tableColumn id="1" xr3:uid="{E65F560F-7F51-4743-9A28-6C08C1DF9FF1}" name="Sequence" dataDxfId="145"/>
    <tableColumn id="2" xr3:uid="{F77B3B0B-C51E-4005-BCC4-2B0835105031}" name="Shot" dataDxfId="144"/>
    <tableColumn id="3" xr3:uid="{84EE8633-D889-4CA4-9E51-87A710C0E9F0}" name="Shot Name" dataDxfId="143">
      <calculatedColumnFormula>CONCATENATE(RIGHT($C4,3),"_",RIGHT($D4,3))</calculatedColumnFormula>
    </tableColumn>
  </tableColumns>
  <tableStyleInfo name="TableStyleMedium21"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61401B-6506-4505-9756-14F3D2147445}" name="plannerTable" displayName="plannerTable" ref="L48:O53" totalsRowShown="0" headerRowDxfId="142" dataDxfId="141">
  <autoFilter ref="L48:O53" xr:uid="{AC61401B-6506-4505-9756-14F3D2147445}">
    <filterColumn colId="0" hiddenButton="1"/>
    <filterColumn colId="1" hiddenButton="1"/>
    <filterColumn colId="2" hiddenButton="1"/>
    <filterColumn colId="3" hiddenButton="1"/>
  </autoFilter>
  <tableColumns count="4">
    <tableColumn id="1" xr3:uid="{538872BA-650F-4007-B323-750D76045F99}" name="Artist" dataDxfId="140"/>
    <tableColumn id="2" xr3:uid="{15477DBD-3BF6-46B7-B60A-D8976AA1F580}" name="Planned" dataDxfId="139"/>
    <tableColumn id="3" xr3:uid="{84D86EC0-A39B-4893-8DAF-EA573D145A74}" name="Hours to do" dataDxfId="138">
      <calculatedColumnFormula array="1">getHoursToDo(plannerTable[[#This Row],[Artist]])</calculatedColumnFormula>
    </tableColumn>
    <tableColumn id="4" xr3:uid="{082D464D-ACD9-442E-AF46-26B4D677774B}" name="Difference" dataDxfId="137">
      <calculatedColumnFormula>ROUND(plannerTable[[#This Row],[Planned]]-plannerTable[[#This Row],[Hours to do]], 0) &amp; " hrs"</calculatedColumnFormula>
    </tableColumn>
  </tableColumns>
  <tableStyleInfo name="Style de tableau 1 2 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50664FD-2018-47E7-96F0-E7793F5B9B07}" name="Tableau26" displayName="Tableau26" ref="X27:Y32" totalsRowShown="0" headerRowDxfId="136" dataDxfId="135">
  <autoFilter ref="X27:Y32" xr:uid="{150664FD-2018-47E7-96F0-E7793F5B9B07}">
    <filterColumn colId="0" hiddenButton="1"/>
    <filterColumn colId="1" hiddenButton="1"/>
  </autoFilter>
  <tableColumns count="2">
    <tableColumn id="1" xr3:uid="{277F922C-3A2E-4397-B462-E7EDD058D6A2}" name="Artist" dataDxfId="134"/>
    <tableColumn id="3" xr3:uid="{0E0352D2-955A-469C-AE4C-7C19677E335E}" name="Totals hours" dataDxfId="133">
      <calculatedColumnFormula array="1">TEXT(SUM(_xlfn._xlws.FILTER(punch[Total Time], punch[Artist]=Tableau26[[#This Row],[Artist]])), "[h]:mm;@")</calculatedColumnFormula>
    </tableColumn>
  </tableColumns>
  <tableStyleInfo name="TableStyleLight8"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noFill/>
        </a:ln>
      </a:spPr>
      <a:bodyPr vertOverflow="clip" horzOverflow="clip" wrap="square" rtlCol="0" anchor="ctr"/>
      <a:lstStyle>
        <a:defPPr algn="ctr">
          <a:defRPr sz="8000">
            <a:solidFill>
              <a:schemeClr val="accent6">
                <a:lumMod val="75000"/>
              </a:schemeClr>
            </a:solidFill>
            <a:latin typeface="Aptos" panose="020B0004020202020204" pitchFamily="34" charset="0"/>
          </a:defRPr>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296"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35FD50E-1B99-4B79-B36A-BA9CC6E5A632}">
  <we:reference id="wa200003696" version="1.3.0.0" store="en-US" storeType="OMEX"/>
  <we:alternateReferences>
    <we:reference id="wa200003696" version="1.3.0.0" store="" storeType="OMEX"/>
  </we:alternateReferences>
  <we:properties>
    <we:property name="projectV0_1-56c6e055-265e-4713-816e-a646dbb708de" value="{&quot;kind&quot;:&quot;AFEJSONBlobNode&quot;,&quot;id&quot;:&quot;{6B55B188-418D-4F4C-8CD9-1E73C3003945}&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6.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microsoft.com/office/2007/relationships/slicer" Target="../slicers/slicer5.xml"/></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table" Target="../tables/table8.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table" Target="../tables/table9.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0.xml"/><Relationship Id="rId1" Type="http://schemas.openxmlformats.org/officeDocument/2006/relationships/printerSettings" Target="../printerSettings/printerSettings7.bin"/><Relationship Id="rId4" Type="http://schemas.microsoft.com/office/2007/relationships/slicer" Target="../slicers/slicer8.xml"/></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table" Target="../tables/table11.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table" Target="../tables/table12.xml"/><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table" Target="../tables/table13.xml"/><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table" Target="../tables/table14.xml"/><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table" Target="../tables/table15.xml"/><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table" Target="../tables/table16.xml"/><Relationship Id="rId1" Type="http://schemas.openxmlformats.org/officeDocument/2006/relationships/drawing" Target="../drawings/drawing16.xml"/><Relationship Id="rId4" Type="http://schemas.microsoft.com/office/2019/04/relationships/namedSheetView" Target="../namedSheetViews/namedSheetView1.xml"/></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table" Target="../tables/table17.xml"/><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8.xml"/><Relationship Id="rId1" Type="http://schemas.openxmlformats.org/officeDocument/2006/relationships/printerSettings" Target="../printerSettings/printerSettings8.bin"/><Relationship Id="rId4" Type="http://schemas.microsoft.com/office/2007/relationships/slicer" Target="../slicers/slicer16.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drawing" Target="../drawings/drawing19.xml"/><Relationship Id="rId4" Type="http://schemas.microsoft.com/office/2007/relationships/slicer" Target="../slicers/slicer17.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0.xml"/><Relationship Id="rId1" Type="http://schemas.openxmlformats.org/officeDocument/2006/relationships/printerSettings" Target="../printerSettings/printerSettings10.bin"/><Relationship Id="rId4" Type="http://schemas.openxmlformats.org/officeDocument/2006/relationships/ctrlProp" Target="../ctrlProps/ctrlProp1.xml"/></Relationships>
</file>

<file path=xl/worksheets/_rels/sheet24.xml.rels><?xml version="1.0" encoding="UTF-8" standalone="yes"?>
<Relationships xmlns="http://schemas.openxmlformats.org/package/2006/relationships"><Relationship Id="rId8" Type="http://schemas.openxmlformats.org/officeDocument/2006/relationships/table" Target="../tables/table26.xml"/><Relationship Id="rId3" Type="http://schemas.openxmlformats.org/officeDocument/2006/relationships/table" Target="../tables/table21.xml"/><Relationship Id="rId7" Type="http://schemas.openxmlformats.org/officeDocument/2006/relationships/table" Target="../tables/table25.xml"/><Relationship Id="rId2" Type="http://schemas.openxmlformats.org/officeDocument/2006/relationships/drawing" Target="../drawings/drawing21.xml"/><Relationship Id="rId1" Type="http://schemas.openxmlformats.org/officeDocument/2006/relationships/printerSettings" Target="../printerSettings/printerSettings11.bin"/><Relationship Id="rId6" Type="http://schemas.openxmlformats.org/officeDocument/2006/relationships/table" Target="../tables/table24.xml"/><Relationship Id="rId5" Type="http://schemas.openxmlformats.org/officeDocument/2006/relationships/table" Target="../tables/table23.xml"/><Relationship Id="rId4" Type="http://schemas.openxmlformats.org/officeDocument/2006/relationships/table" Target="../tables/table22.xml"/><Relationship Id="rId9"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C056C-AC1F-419F-B262-11D0BD5ED84B}">
  <sheetPr codeName="Feuil1">
    <tabColor theme="7" tint="0.59999389629810485"/>
  </sheetPr>
  <dimension ref="A1:H41"/>
  <sheetViews>
    <sheetView showGridLines="0" showRowColHeaders="0" zoomScaleNormal="100" workbookViewId="0">
      <selection activeCell="G20" sqref="G20"/>
    </sheetView>
  </sheetViews>
  <sheetFormatPr baseColWidth="10" defaultColWidth="24.28515625" defaultRowHeight="15" x14ac:dyDescent="0.25"/>
  <cols>
    <col min="1" max="4" width="24.28515625" style="8"/>
    <col min="5" max="5" width="24.28515625" style="8" customWidth="1"/>
    <col min="6" max="6" width="18.85546875" style="8" customWidth="1"/>
    <col min="7" max="7" width="24.28515625" style="8"/>
    <col min="8" max="8" width="31.85546875" style="8" customWidth="1"/>
    <col min="9" max="16384" width="24.28515625" style="8"/>
  </cols>
  <sheetData>
    <row r="1" spans="1:6" x14ac:dyDescent="0.25">
      <c r="A1" s="8" t="s">
        <v>0</v>
      </c>
      <c r="B1" s="8" t="s">
        <v>1</v>
      </c>
    </row>
    <row r="2" spans="1:6" x14ac:dyDescent="0.25">
      <c r="A2" s="15" t="s">
        <v>2</v>
      </c>
      <c r="B2" s="15" t="s">
        <v>3</v>
      </c>
    </row>
    <row r="3" spans="1:6" x14ac:dyDescent="0.25">
      <c r="A3" s="8" t="s">
        <v>4</v>
      </c>
      <c r="B3" s="8" t="str">
        <f ca="1">_xlfn.LET(
_xlpm.dayValue, _xlfn.DAYS(dateLivraisonFinale, TODAY()),
_xlpm.weekValue, ROUND(_xlpm.dayValue/7, 0),
_xlpm.dayValue&amp;" jours | "&amp;_xlpm.weekValue&amp;" semaines"
)</f>
        <v>38 jours | 5 semaines</v>
      </c>
    </row>
    <row r="4" spans="1:6" x14ac:dyDescent="0.25">
      <c r="C4" s="8" t="s">
        <v>5</v>
      </c>
    </row>
    <row r="5" spans="1:6" x14ac:dyDescent="0.25">
      <c r="A5" s="2" t="s">
        <v>6</v>
      </c>
      <c r="B5" s="2" t="s">
        <v>7</v>
      </c>
      <c r="C5" s="2" t="s">
        <v>8</v>
      </c>
      <c r="D5" s="2" t="s">
        <v>9</v>
      </c>
      <c r="E5" s="2" t="s">
        <v>10</v>
      </c>
      <c r="F5" s="2" t="s">
        <v>11</v>
      </c>
    </row>
    <row r="6" spans="1:6" x14ac:dyDescent="0.25">
      <c r="A6" s="8" t="s">
        <v>12</v>
      </c>
      <c r="B6" s="8" t="s">
        <v>13</v>
      </c>
      <c r="C6" s="73">
        <v>20</v>
      </c>
      <c r="D6" s="73">
        <f>infos[[#This Row],[Weekly Commitment]]*30</f>
        <v>600</v>
      </c>
      <c r="E6" s="73" cm="1">
        <f t="array" ref="E6">getBaseLine(infos[[#This Row],[Artist]])</f>
        <v>313</v>
      </c>
      <c r="F6" s="260" cm="1">
        <f t="array" ref="F6">getHoursToDo(infos[[#This Row],[Artist]])</f>
        <v>5.3000000000000016</v>
      </c>
    </row>
    <row r="7" spans="1:6" x14ac:dyDescent="0.25">
      <c r="A7" s="8" t="s">
        <v>14</v>
      </c>
      <c r="B7" s="8" t="s">
        <v>15</v>
      </c>
      <c r="C7" s="73">
        <v>20</v>
      </c>
      <c r="D7" s="73">
        <f>infos[[#This Row],[Weekly Commitment]]*30</f>
        <v>600</v>
      </c>
      <c r="E7" s="73" cm="1">
        <f t="array" ref="E7">getBaseLine(infos[[#This Row],[Artist]])</f>
        <v>326</v>
      </c>
      <c r="F7" s="260" cm="1">
        <f t="array" ref="F7">getHoursToDo(infos[[#This Row],[Artist]])</f>
        <v>3.0000000000000027</v>
      </c>
    </row>
    <row r="8" spans="1:6" ht="15.75" customHeight="1" x14ac:dyDescent="0.25">
      <c r="A8" s="8" t="s">
        <v>16</v>
      </c>
      <c r="B8" s="8" t="s">
        <v>17</v>
      </c>
      <c r="C8" s="73">
        <v>25</v>
      </c>
      <c r="D8" s="73">
        <f>infos[[#This Row],[Weekly Commitment]]*30</f>
        <v>750</v>
      </c>
      <c r="E8" s="73" cm="1">
        <f t="array" ref="E8">getBaseLine(infos[[#This Row],[Artist]])</f>
        <v>642.5</v>
      </c>
      <c r="F8" s="260" cm="1">
        <f t="array" ref="F8">getHoursToDo(infos[[#This Row],[Artist]])</f>
        <v>177.77</v>
      </c>
    </row>
    <row r="9" spans="1:6" x14ac:dyDescent="0.25">
      <c r="A9" s="8" t="s">
        <v>18</v>
      </c>
      <c r="B9" s="8" t="s">
        <v>19</v>
      </c>
      <c r="C9" s="73">
        <v>25</v>
      </c>
      <c r="D9" s="73">
        <f>infos[[#This Row],[Weekly Commitment]]*30</f>
        <v>750</v>
      </c>
      <c r="E9" s="73" cm="1">
        <f t="array" ref="E9">getBaseLine(infos[[#This Row],[Artist]])</f>
        <v>522.5</v>
      </c>
      <c r="F9" s="260" cm="1">
        <f t="array" ref="F9">getHoursToDo(infos[[#This Row],[Artist]])</f>
        <v>103.46</v>
      </c>
    </row>
    <row r="10" spans="1:6" x14ac:dyDescent="0.25">
      <c r="A10" s="8" t="s">
        <v>20</v>
      </c>
      <c r="B10" s="8" t="s">
        <v>21</v>
      </c>
      <c r="C10" s="73">
        <v>15</v>
      </c>
      <c r="D10" s="73">
        <f>infos[[#This Row],[Weekly Commitment]]*30</f>
        <v>450</v>
      </c>
      <c r="E10" s="73" cm="1">
        <f t="array" ref="E10">getBaseLine(infos[[#This Row],[Artist]])</f>
        <v>356</v>
      </c>
      <c r="F10" s="260" cm="1">
        <f t="array" ref="F10">getHoursToDo(infos[[#This Row],[Artist]])</f>
        <v>177.89999999999998</v>
      </c>
    </row>
    <row r="11" spans="1:6" x14ac:dyDescent="0.25">
      <c r="A11" s="8" t="s">
        <v>22</v>
      </c>
      <c r="C11" s="73">
        <f>SUBTOTAL(109,infos[Weekly Commitment])</f>
        <v>105</v>
      </c>
      <c r="D11" s="73">
        <f>SUBTOTAL(109,infos[Year Commitment])</f>
        <v>3150</v>
      </c>
      <c r="E11" s="73">
        <f>SUBTOTAL(109,infos[Base Line])</f>
        <v>2160</v>
      </c>
      <c r="F11" s="2"/>
    </row>
    <row r="15" spans="1:6" x14ac:dyDescent="0.25">
      <c r="B15" s="9" t="s">
        <v>23</v>
      </c>
      <c r="C15" s="9" t="s">
        <v>24</v>
      </c>
      <c r="D15" s="10" t="s">
        <v>25</v>
      </c>
    </row>
    <row r="16" spans="1:6" ht="15" customHeight="1" x14ac:dyDescent="0.25">
      <c r="B16" s="8" t="s">
        <v>26</v>
      </c>
      <c r="C16" s="8" t="s">
        <v>27</v>
      </c>
      <c r="D16" s="4">
        <f>DATE(2023, 9, 27)</f>
        <v>45196</v>
      </c>
      <c r="F16" s="259"/>
    </row>
    <row r="17" spans="2:8" x14ac:dyDescent="0.25">
      <c r="B17" s="8" t="s">
        <v>26</v>
      </c>
      <c r="C17" s="8" t="s">
        <v>28</v>
      </c>
      <c r="D17" s="4">
        <f>DATE(2023, 10, 18)</f>
        <v>45217</v>
      </c>
    </row>
    <row r="18" spans="2:8" x14ac:dyDescent="0.25">
      <c r="B18" s="8" t="s">
        <v>26</v>
      </c>
      <c r="C18" s="8" t="s">
        <v>29</v>
      </c>
      <c r="D18" s="4">
        <f>DATE(2023, 11, 15)</f>
        <v>45245</v>
      </c>
    </row>
    <row r="19" spans="2:8" x14ac:dyDescent="0.25">
      <c r="B19" s="8" t="s">
        <v>26</v>
      </c>
      <c r="C19" s="8" t="s">
        <v>30</v>
      </c>
      <c r="D19" s="4">
        <f>DATE(2023, 12, 13)</f>
        <v>45273</v>
      </c>
    </row>
    <row r="20" spans="2:8" x14ac:dyDescent="0.25">
      <c r="B20" s="8" t="s">
        <v>31</v>
      </c>
      <c r="C20" s="8" t="s">
        <v>32</v>
      </c>
      <c r="D20" s="4">
        <f>DATE(2023,9,14)</f>
        <v>45183</v>
      </c>
    </row>
    <row r="21" spans="2:8" x14ac:dyDescent="0.25">
      <c r="B21" s="8" t="s">
        <v>31</v>
      </c>
      <c r="C21" s="8" t="s">
        <v>33</v>
      </c>
      <c r="D21" s="4">
        <f>DATE(2023,9,20)</f>
        <v>45189</v>
      </c>
    </row>
    <row r="22" spans="2:8" x14ac:dyDescent="0.25">
      <c r="B22" s="8" t="s">
        <v>31</v>
      </c>
      <c r="C22" s="8" t="s">
        <v>34</v>
      </c>
      <c r="D22" s="4">
        <f>DATE(2023,10,4)</f>
        <v>45203</v>
      </c>
    </row>
    <row r="23" spans="2:8" x14ac:dyDescent="0.25">
      <c r="B23" s="8" t="s">
        <v>31</v>
      </c>
      <c r="C23" s="8" t="s">
        <v>35</v>
      </c>
      <c r="D23" s="4">
        <f>DATE(2023,10,11)</f>
        <v>45210</v>
      </c>
      <c r="G23" s="74"/>
      <c r="H23" s="74"/>
    </row>
    <row r="24" spans="2:8" x14ac:dyDescent="0.25">
      <c r="B24" s="8" t="s">
        <v>31</v>
      </c>
      <c r="C24" s="8" t="s">
        <v>36</v>
      </c>
      <c r="D24" s="4">
        <f>DATE(2023,10,26)</f>
        <v>45225</v>
      </c>
      <c r="G24" s="74"/>
    </row>
    <row r="25" spans="2:8" x14ac:dyDescent="0.25">
      <c r="B25" s="8" t="s">
        <v>31</v>
      </c>
      <c r="C25" s="8" t="s">
        <v>37</v>
      </c>
      <c r="D25" s="4">
        <f>DATE(2023,11,8)</f>
        <v>45238</v>
      </c>
      <c r="G25" s="74"/>
    </row>
    <row r="26" spans="2:8" x14ac:dyDescent="0.25">
      <c r="B26" s="8" t="s">
        <v>31</v>
      </c>
      <c r="C26" s="8" t="s">
        <v>38</v>
      </c>
      <c r="D26" s="4">
        <f>DATE(2023,11,22)</f>
        <v>45252</v>
      </c>
      <c r="G26" s="74"/>
    </row>
    <row r="27" spans="2:8" x14ac:dyDescent="0.25">
      <c r="B27" s="8" t="s">
        <v>31</v>
      </c>
      <c r="C27" s="8" t="s">
        <v>39</v>
      </c>
      <c r="D27" s="4">
        <f>DATE(2023,12,13)</f>
        <v>45273</v>
      </c>
      <c r="G27" s="74"/>
    </row>
    <row r="28" spans="2:8" x14ac:dyDescent="0.25">
      <c r="B28" s="8" t="s">
        <v>31</v>
      </c>
      <c r="C28" s="8" t="s">
        <v>40</v>
      </c>
      <c r="D28" s="4">
        <f>DATE(2023,12,20)</f>
        <v>45280</v>
      </c>
      <c r="G28" s="74"/>
    </row>
    <row r="29" spans="2:8" x14ac:dyDescent="0.25">
      <c r="B29" s="8" t="s">
        <v>26</v>
      </c>
      <c r="C29" s="8" t="s">
        <v>41</v>
      </c>
      <c r="D29" s="4">
        <f>dateLivraisonFinale</f>
        <v>45408</v>
      </c>
      <c r="G29" s="74"/>
    </row>
    <row r="30" spans="2:8" x14ac:dyDescent="0.25">
      <c r="B30" s="8" t="s">
        <v>26</v>
      </c>
      <c r="C30" s="8" t="s">
        <v>42</v>
      </c>
      <c r="D30" s="4">
        <f>DATE(2024,2,1)</f>
        <v>45323</v>
      </c>
      <c r="G30" s="74"/>
    </row>
    <row r="31" spans="2:8" x14ac:dyDescent="0.25">
      <c r="B31" s="8" t="s">
        <v>26</v>
      </c>
      <c r="C31" s="8" t="s">
        <v>43</v>
      </c>
      <c r="D31" s="4">
        <f>DATE(2024,2,29)</f>
        <v>45351</v>
      </c>
      <c r="G31" s="74"/>
    </row>
    <row r="32" spans="2:8" x14ac:dyDescent="0.25">
      <c r="B32" s="8" t="s">
        <v>26</v>
      </c>
      <c r="C32" s="8" t="s">
        <v>44</v>
      </c>
      <c r="D32" s="4">
        <f>DATE(2024,3,21)</f>
        <v>45372</v>
      </c>
      <c r="G32" s="74"/>
    </row>
    <row r="33" spans="2:7" x14ac:dyDescent="0.25">
      <c r="B33" s="8" t="s">
        <v>26</v>
      </c>
      <c r="C33" s="8" t="s">
        <v>45</v>
      </c>
      <c r="D33" s="4">
        <f>DATE(2025,4,25)</f>
        <v>45772</v>
      </c>
      <c r="G33" s="74"/>
    </row>
    <row r="34" spans="2:7" x14ac:dyDescent="0.25">
      <c r="B34" s="8" t="s">
        <v>26</v>
      </c>
      <c r="C34" s="8" t="s">
        <v>46</v>
      </c>
      <c r="D34" s="4">
        <f>DATE(2024,4,30)</f>
        <v>45412</v>
      </c>
      <c r="G34" s="74"/>
    </row>
    <row r="35" spans="2:7" x14ac:dyDescent="0.25">
      <c r="B35" s="8" t="s">
        <v>31</v>
      </c>
      <c r="C35" s="8" t="s">
        <v>33</v>
      </c>
      <c r="D35" s="4">
        <f>DATE(2024,2,1)</f>
        <v>45323</v>
      </c>
      <c r="G35" s="74"/>
    </row>
    <row r="36" spans="2:7" x14ac:dyDescent="0.25">
      <c r="B36" s="8" t="s">
        <v>31</v>
      </c>
      <c r="C36" s="8" t="s">
        <v>47</v>
      </c>
      <c r="D36" s="4">
        <f>DATE(2024,2,23)</f>
        <v>45345</v>
      </c>
    </row>
    <row r="37" spans="2:7" x14ac:dyDescent="0.25">
      <c r="B37" s="8" t="s">
        <v>31</v>
      </c>
      <c r="C37" s="8" t="s">
        <v>48</v>
      </c>
      <c r="D37" s="4">
        <f>DATE(2024,3,1)</f>
        <v>45352</v>
      </c>
    </row>
    <row r="38" spans="2:7" x14ac:dyDescent="0.25">
      <c r="B38" s="8" t="s">
        <v>31</v>
      </c>
      <c r="C38" s="8" t="s">
        <v>37</v>
      </c>
      <c r="D38" s="4">
        <f>DATE(2024,3,14)</f>
        <v>45365</v>
      </c>
    </row>
    <row r="39" spans="2:7" x14ac:dyDescent="0.25">
      <c r="B39" s="8" t="s">
        <v>31</v>
      </c>
      <c r="C39" s="8" t="s">
        <v>38</v>
      </c>
      <c r="D39" s="4">
        <f>DATE(2024,4,4)</f>
        <v>45386</v>
      </c>
    </row>
    <row r="40" spans="2:7" x14ac:dyDescent="0.25">
      <c r="B40" s="8" t="s">
        <v>31</v>
      </c>
      <c r="C40" s="8" t="s">
        <v>39</v>
      </c>
      <c r="D40" s="4">
        <f>DATE(2024,4,25)</f>
        <v>45407</v>
      </c>
    </row>
    <row r="41" spans="2:7" x14ac:dyDescent="0.25">
      <c r="B41" s="8" t="s">
        <v>31</v>
      </c>
      <c r="C41" s="8" t="s">
        <v>49</v>
      </c>
      <c r="D41" s="4">
        <f>DATE(2024,4,30)</f>
        <v>45412</v>
      </c>
    </row>
  </sheetData>
  <sheetProtection algorithmName="SHA-512" hashValue="oY+2r3dpXLZ0zxjt9rBzC64g1wK1ngdtZarC9NdBfeavt7F3Zr6allFFR80C8eN7vk4jdQCUSOquNUcp8Vw2+Q==" saltValue="iuqhL4FVKEhk1z0X64JeSw==" spinCount="100000" sheet="1" selectLockedCells="1" autoFilter="0"/>
  <pageMargins left="0.7" right="0.7" top="0.75" bottom="0.75" header="0.3" footer="0.3"/>
  <pageSetup paperSize="9" orientation="portrait" horizontalDpi="360" verticalDpi="360"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C5B6-DFCF-4D8F-81D5-5A7658023774}">
  <sheetPr codeName="Feuil2">
    <tabColor rgb="FFC00000"/>
  </sheetPr>
  <dimension ref="A1:N582"/>
  <sheetViews>
    <sheetView showRowColHeaders="0" zoomScaleNormal="100" workbookViewId="0">
      <pane ySplit="4" topLeftCell="A559" activePane="bottomLeft" state="frozen"/>
      <selection activeCell="B1" sqref="B1"/>
      <selection pane="bottomLeft" activeCell="C590" sqref="C590"/>
    </sheetView>
  </sheetViews>
  <sheetFormatPr baseColWidth="10" defaultColWidth="25.7109375" defaultRowHeight="23.25" customHeight="1" outlineLevelCol="1" x14ac:dyDescent="0.25"/>
  <cols>
    <col min="1" max="1" width="25.7109375" style="182"/>
    <col min="2" max="3" width="25.7109375" style="182" customWidth="1"/>
    <col min="4" max="4" width="21.7109375" style="76" bestFit="1" customWidth="1"/>
    <col min="5" max="5" width="14.5703125" style="76" hidden="1" customWidth="1" outlineLevel="1"/>
    <col min="6" max="6" width="15.42578125" style="76" hidden="1" customWidth="1" outlineLevel="1"/>
    <col min="7" max="7" width="135.28515625" style="227" customWidth="1" collapsed="1"/>
    <col min="8" max="8" width="25.7109375" style="76"/>
    <col min="9" max="9" width="30.42578125" style="76" customWidth="1"/>
    <col min="10" max="10" width="20.140625" style="76" customWidth="1"/>
    <col min="11" max="11" width="25.7109375" style="76" customWidth="1"/>
    <col min="12" max="16384" width="25.7109375" style="76"/>
  </cols>
  <sheetData>
    <row r="1" spans="1:14" ht="23.25" customHeight="1" x14ac:dyDescent="0.25">
      <c r="A1" s="276" t="s">
        <v>50</v>
      </c>
      <c r="B1" s="276"/>
      <c r="C1" s="229" t="s">
        <v>51</v>
      </c>
      <c r="D1" s="230" t="s">
        <v>52</v>
      </c>
      <c r="E1" s="75"/>
      <c r="F1" s="75"/>
      <c r="G1" s="161"/>
      <c r="H1" s="9"/>
      <c r="J1" s="9"/>
      <c r="K1" s="9"/>
    </row>
    <row r="2" spans="1:14" ht="23.25" customHeight="1" x14ac:dyDescent="0.3">
      <c r="A2" s="276"/>
      <c r="B2" s="276"/>
      <c r="C2" s="229" t="s">
        <v>53</v>
      </c>
      <c r="D2" s="231" t="s">
        <v>54</v>
      </c>
      <c r="E2" s="167"/>
      <c r="F2" s="75"/>
      <c r="G2" s="161"/>
      <c r="I2" s="168" t="s">
        <v>6</v>
      </c>
      <c r="J2" s="184" t="s">
        <v>16</v>
      </c>
      <c r="N2" s="78"/>
    </row>
    <row r="3" spans="1:14" ht="23.25" customHeight="1" x14ac:dyDescent="0.3">
      <c r="A3" s="276"/>
      <c r="B3" s="276"/>
      <c r="C3" s="181"/>
      <c r="D3" s="161"/>
      <c r="E3" s="75"/>
      <c r="F3" s="75"/>
      <c r="G3" s="161"/>
      <c r="I3" s="168" t="s">
        <v>55</v>
      </c>
      <c r="J3" s="169" t="str">
        <f ca="1">_data_!$R$18</f>
        <v>21:17</v>
      </c>
      <c r="K3" s="9"/>
      <c r="N3" s="77"/>
    </row>
    <row r="4" spans="1:14" ht="23.25" customHeight="1" x14ac:dyDescent="0.25">
      <c r="A4" s="182" t="s">
        <v>6</v>
      </c>
      <c r="B4" s="182" t="s">
        <v>56</v>
      </c>
      <c r="C4" s="182" t="s">
        <v>57</v>
      </c>
      <c r="D4" s="76" t="s">
        <v>58</v>
      </c>
      <c r="E4" s="76" t="s">
        <v>59</v>
      </c>
      <c r="F4" s="79" t="s">
        <v>60</v>
      </c>
      <c r="G4" s="79" t="s">
        <v>61</v>
      </c>
      <c r="H4" s="9"/>
      <c r="I4" s="9"/>
      <c r="J4" s="9"/>
      <c r="K4" s="9"/>
    </row>
    <row r="5" spans="1:14" ht="23.25" customHeight="1" x14ac:dyDescent="0.25">
      <c r="A5" s="182" t="s">
        <v>16</v>
      </c>
      <c r="B5" s="183">
        <v>45221.4375</v>
      </c>
      <c r="C5" s="183">
        <v>45221.729166666664</v>
      </c>
      <c r="D5" s="113">
        <f>IF(punch[[#This Row],[Time Out]]="", "-", punch[[#This Row],[Time Out]]-punch[[#This Row],[Time In]])</f>
        <v>0.29166666666424135</v>
      </c>
      <c r="E5" s="178">
        <f>IF(punch[[#This Row],[Time In]]="", "-", WEEKNUM(punch[[#This Row],[Time In]],15))</f>
        <v>43</v>
      </c>
      <c r="F5" s="114" cm="1">
        <f t="array" ref="F5">getWeekTotalHours(punch[[#This Row],[Artist]], punch[[#This Row],[WeekNum]])</f>
        <v>2.1458333333284827</v>
      </c>
      <c r="G5" s="226"/>
      <c r="K5" s="79"/>
    </row>
    <row r="6" spans="1:14" ht="23.25" customHeight="1" x14ac:dyDescent="0.25">
      <c r="A6" s="182" t="s">
        <v>16</v>
      </c>
      <c r="B6" s="183">
        <v>45222.4375</v>
      </c>
      <c r="C6" s="183">
        <v>45222.791666666664</v>
      </c>
      <c r="D6" s="113">
        <f>IF(punch[[#This Row],[Time Out]]="", "-", punch[[#This Row],[Time Out]]-punch[[#This Row],[Time In]])</f>
        <v>0.35416666666424135</v>
      </c>
      <c r="E6" s="178">
        <f>IF(punch[[#This Row],[Time In]]="", "-", WEEKNUM(punch[[#This Row],[Time In]],15))</f>
        <v>43</v>
      </c>
      <c r="F6" s="114" cm="1">
        <f t="array" ref="F6">getWeekTotalHours(punch[[#This Row],[Artist]], punch[[#This Row],[WeekNum]])</f>
        <v>2.1458333333284827</v>
      </c>
      <c r="G6" s="226"/>
      <c r="I6" s="163"/>
    </row>
    <row r="7" spans="1:14" ht="23.25" customHeight="1" x14ac:dyDescent="0.25">
      <c r="A7" s="182" t="s">
        <v>12</v>
      </c>
      <c r="B7" s="183">
        <v>45220.666666666664</v>
      </c>
      <c r="C7" s="183">
        <v>45220.75</v>
      </c>
      <c r="D7" s="113">
        <f>IF(punch[[#This Row],[Time Out]]="", "-", punch[[#This Row],[Time Out]]-punch[[#This Row],[Time In]])</f>
        <v>8.3333333335758653E-2</v>
      </c>
      <c r="E7" s="178">
        <f>IF(punch[[#This Row],[Time In]]="", "-", WEEKNUM(punch[[#This Row],[Time In]],15))</f>
        <v>43</v>
      </c>
      <c r="F7" s="114" cm="1">
        <f t="array" ref="F7">getWeekTotalHours(punch[[#This Row],[Artist]], punch[[#This Row],[WeekNum]])</f>
        <v>0.476388888884685</v>
      </c>
      <c r="G7" s="226"/>
      <c r="I7" s="163"/>
    </row>
    <row r="8" spans="1:14" ht="23.25" customHeight="1" x14ac:dyDescent="0.25">
      <c r="A8" s="182" t="s">
        <v>16</v>
      </c>
      <c r="B8" s="183">
        <v>45223.48333333333</v>
      </c>
      <c r="C8" s="183">
        <v>45224.083333333336</v>
      </c>
      <c r="D8" s="113">
        <f>IF(punch[[#This Row],[Time Out]]="", "-", punch[[#This Row],[Time Out]]-punch[[#This Row],[Time In]])</f>
        <v>0.60000000000582077</v>
      </c>
      <c r="E8" s="178">
        <f>IF(punch[[#This Row],[Time In]]="", "-", WEEKNUM(punch[[#This Row],[Time In]],15))</f>
        <v>43</v>
      </c>
      <c r="F8" s="114" cm="1">
        <f t="array" ref="F8">getWeekTotalHours(punch[[#This Row],[Artist]], punch[[#This Row],[WeekNum]])</f>
        <v>2.1458333333284827</v>
      </c>
      <c r="G8" s="226"/>
      <c r="I8" s="170"/>
    </row>
    <row r="9" spans="1:14" ht="23.25" customHeight="1" x14ac:dyDescent="0.25">
      <c r="A9" s="182" t="s">
        <v>18</v>
      </c>
      <c r="B9" s="183">
        <v>45223.4</v>
      </c>
      <c r="C9" s="183">
        <v>45224.024305555555</v>
      </c>
      <c r="D9" s="113">
        <f>IF(punch[[#This Row],[Time Out]]="", "-", punch[[#This Row],[Time Out]]-punch[[#This Row],[Time In]])</f>
        <v>0.62430555555329192</v>
      </c>
      <c r="E9" s="178">
        <f>IF(punch[[#This Row],[Time In]]="", "-", WEEKNUM(punch[[#This Row],[Time In]],15))</f>
        <v>43</v>
      </c>
      <c r="F9" s="114" cm="1">
        <f t="array" ref="F9">getWeekTotalHours(punch[[#This Row],[Artist]], punch[[#This Row],[WeekNum]])</f>
        <v>1.7486111111065838</v>
      </c>
      <c r="G9" s="226"/>
    </row>
    <row r="10" spans="1:14" ht="23.25" customHeight="1" x14ac:dyDescent="0.25">
      <c r="A10" s="182" t="s">
        <v>20</v>
      </c>
      <c r="B10" s="183">
        <v>45215.5</v>
      </c>
      <c r="C10" s="183">
        <v>45215.708333333336</v>
      </c>
      <c r="D10" s="113">
        <f>IF(punch[[#This Row],[Time Out]]="", "-", punch[[#This Row],[Time Out]]-punch[[#This Row],[Time In]])</f>
        <v>0.20833333333575865</v>
      </c>
      <c r="E10" s="178">
        <f>IF(punch[[#This Row],[Time In]]="", "-", WEEKNUM(punch[[#This Row],[Time In]],15))</f>
        <v>42</v>
      </c>
      <c r="F10" s="114" cm="1">
        <f t="array" ref="F10">getWeekTotalHours(punch[[#This Row],[Artist]], punch[[#This Row],[WeekNum]])</f>
        <v>0.45833333333575865</v>
      </c>
      <c r="G10" s="226"/>
      <c r="K10" s="163"/>
    </row>
    <row r="11" spans="1:14" ht="23.25" customHeight="1" x14ac:dyDescent="0.25">
      <c r="A11" s="182" t="s">
        <v>20</v>
      </c>
      <c r="B11" s="183">
        <v>45216.5</v>
      </c>
      <c r="C11" s="183">
        <v>45216.666666666664</v>
      </c>
      <c r="D11" s="113">
        <f>IF(punch[[#This Row],[Time Out]]="", "-", punch[[#This Row],[Time Out]]-punch[[#This Row],[Time In]])</f>
        <v>0.16666666666424135</v>
      </c>
      <c r="E11" s="178">
        <f>IF(punch[[#This Row],[Time In]]="", "-", WEEKNUM(punch[[#This Row],[Time In]],15))</f>
        <v>42</v>
      </c>
      <c r="F11" s="114" cm="1">
        <f t="array" ref="F11">getWeekTotalHours(punch[[#This Row],[Artist]], punch[[#This Row],[WeekNum]])</f>
        <v>0.45833333333575865</v>
      </c>
      <c r="G11" s="226"/>
      <c r="K11" s="163"/>
    </row>
    <row r="12" spans="1:14" ht="23.25" customHeight="1" x14ac:dyDescent="0.25">
      <c r="A12" s="182" t="s">
        <v>20</v>
      </c>
      <c r="B12" s="183">
        <v>45217.5</v>
      </c>
      <c r="C12" s="183">
        <v>45217.583333333336</v>
      </c>
      <c r="D12" s="113">
        <f>IF(punch[[#This Row],[Time Out]]="", "-", punch[[#This Row],[Time Out]]-punch[[#This Row],[Time In]])</f>
        <v>8.3333333335758653E-2</v>
      </c>
      <c r="E12" s="178">
        <f>IF(punch[[#This Row],[Time In]]="", "-", WEEKNUM(punch[[#This Row],[Time In]],15))</f>
        <v>42</v>
      </c>
      <c r="F12" s="114" cm="1">
        <f t="array" ref="F12">getWeekTotalHours(punch[[#This Row],[Artist]], punch[[#This Row],[WeekNum]])</f>
        <v>0.45833333333575865</v>
      </c>
      <c r="G12" s="226"/>
      <c r="J12" s="163"/>
    </row>
    <row r="13" spans="1:14" ht="23.25" customHeight="1" x14ac:dyDescent="0.25">
      <c r="A13" s="182" t="s">
        <v>20</v>
      </c>
      <c r="B13" s="183">
        <v>45222.5</v>
      </c>
      <c r="C13" s="183">
        <v>45222.666666666664</v>
      </c>
      <c r="D13" s="113">
        <f>IF(punch[[#This Row],[Time Out]]="", "-", punch[[#This Row],[Time Out]]-punch[[#This Row],[Time In]])</f>
        <v>0.16666666666424135</v>
      </c>
      <c r="E13" s="178">
        <f>IF(punch[[#This Row],[Time In]]="", "-", WEEKNUM(punch[[#This Row],[Time In]],15))</f>
        <v>43</v>
      </c>
      <c r="F13" s="114" cm="1">
        <f t="array" ref="F13">getWeekTotalHours(punch[[#This Row],[Artist]], punch[[#This Row],[WeekNum]])</f>
        <v>0.66666666666424135</v>
      </c>
      <c r="G13" s="226"/>
    </row>
    <row r="14" spans="1:14" ht="23.25" customHeight="1" x14ac:dyDescent="0.25">
      <c r="A14" s="182" t="s">
        <v>14</v>
      </c>
      <c r="B14" s="183">
        <v>45223.493750000001</v>
      </c>
      <c r="C14" s="183">
        <v>45223.498611111114</v>
      </c>
      <c r="D14" s="113">
        <f>IF(punch[[#This Row],[Time Out]]="", "-", punch[[#This Row],[Time Out]]-punch[[#This Row],[Time In]])</f>
        <v>4.8611111124046147E-3</v>
      </c>
      <c r="E14" s="178">
        <f>IF(punch[[#This Row],[Time In]]="", "-", WEEKNUM(punch[[#This Row],[Time In]],15))</f>
        <v>43</v>
      </c>
      <c r="F14" s="114" cm="1">
        <f t="array" ref="F14">getWeekTotalHours(punch[[#This Row],[Artist]], punch[[#This Row],[WeekNum]])</f>
        <v>9.5138888893416151E-2</v>
      </c>
      <c r="G14" s="226"/>
      <c r="J14" s="164"/>
      <c r="K14" s="164"/>
    </row>
    <row r="15" spans="1:14" ht="23.25" customHeight="1" x14ac:dyDescent="0.25">
      <c r="A15" s="182" t="s">
        <v>12</v>
      </c>
      <c r="B15" s="183">
        <v>45224.385416666664</v>
      </c>
      <c r="C15" s="183">
        <v>45224.46875</v>
      </c>
      <c r="D15" s="113">
        <f>IF(punch[[#This Row],[Time Out]]="", "-", punch[[#This Row],[Time Out]]-punch[[#This Row],[Time In]])</f>
        <v>8.3333333335758653E-2</v>
      </c>
      <c r="E15" s="178">
        <f>IF(punch[[#This Row],[Time In]]="", "-", WEEKNUM(punch[[#This Row],[Time In]],15))</f>
        <v>43</v>
      </c>
      <c r="F15" s="114" cm="1">
        <f t="array" ref="F15">getWeekTotalHours(punch[[#This Row],[Artist]], punch[[#This Row],[WeekNum]])</f>
        <v>0.476388888884685</v>
      </c>
      <c r="G15" s="226"/>
      <c r="J15" s="164"/>
      <c r="K15" s="164"/>
    </row>
    <row r="16" spans="1:14" ht="23.25" customHeight="1" x14ac:dyDescent="0.25">
      <c r="A16" s="182" t="s">
        <v>12</v>
      </c>
      <c r="B16" s="183">
        <v>45223.541666666664</v>
      </c>
      <c r="C16" s="183">
        <v>45223.625</v>
      </c>
      <c r="D16" s="113">
        <f>IF(punch[[#This Row],[Time Out]]="", "-", punch[[#This Row],[Time Out]]-punch[[#This Row],[Time In]])</f>
        <v>8.3333333335758653E-2</v>
      </c>
      <c r="E16" s="178">
        <f>IF(punch[[#This Row],[Time In]]="", "-", WEEKNUM(punch[[#This Row],[Time In]],15))</f>
        <v>43</v>
      </c>
      <c r="F16" s="114" cm="1">
        <f t="array" ref="F16">getWeekTotalHours(punch[[#This Row],[Artist]], punch[[#This Row],[WeekNum]])</f>
        <v>0.476388888884685</v>
      </c>
      <c r="G16" s="226"/>
      <c r="J16" s="164"/>
      <c r="K16" s="164"/>
    </row>
    <row r="17" spans="1:11" ht="23.25" customHeight="1" x14ac:dyDescent="0.25">
      <c r="A17" s="182" t="s">
        <v>12</v>
      </c>
      <c r="B17" s="183">
        <v>45224.59375</v>
      </c>
      <c r="C17" s="183">
        <v>45224.702777777777</v>
      </c>
      <c r="D17" s="113">
        <f>IF(punch[[#This Row],[Time Out]]="", "-", punch[[#This Row],[Time Out]]-punch[[#This Row],[Time In]])</f>
        <v>0.10902777777664596</v>
      </c>
      <c r="E17" s="178">
        <f>IF(punch[[#This Row],[Time In]]="", "-", WEEKNUM(punch[[#This Row],[Time In]],15))</f>
        <v>43</v>
      </c>
      <c r="F17" s="114" cm="1">
        <f t="array" ref="F17">getWeekTotalHours(punch[[#This Row],[Artist]], punch[[#This Row],[WeekNum]])</f>
        <v>0.476388888884685</v>
      </c>
      <c r="G17" s="226"/>
      <c r="K17" s="164"/>
    </row>
    <row r="18" spans="1:11" ht="23.25" customHeight="1" x14ac:dyDescent="0.25">
      <c r="A18" s="182" t="s">
        <v>14</v>
      </c>
      <c r="B18" s="183">
        <v>45224.531944444447</v>
      </c>
      <c r="C18" s="183">
        <v>45224.61041666667</v>
      </c>
      <c r="D18" s="113">
        <f>IF(punch[[#This Row],[Time Out]]="", "-", punch[[#This Row],[Time Out]]-punch[[#This Row],[Time In]])</f>
        <v>7.8472222223354038E-2</v>
      </c>
      <c r="E18" s="178">
        <f>IF(punch[[#This Row],[Time In]]="", "-", WEEKNUM(punch[[#This Row],[Time In]],15))</f>
        <v>43</v>
      </c>
      <c r="F18" s="114" cm="1">
        <f t="array" ref="F18">getWeekTotalHours(punch[[#This Row],[Artist]], punch[[#This Row],[WeekNum]])</f>
        <v>9.5138888893416151E-2</v>
      </c>
      <c r="G18" s="226"/>
      <c r="J18" s="164"/>
      <c r="K18" s="164"/>
    </row>
    <row r="19" spans="1:11" ht="23.25" customHeight="1" x14ac:dyDescent="0.25">
      <c r="A19" s="182" t="s">
        <v>12</v>
      </c>
      <c r="B19" s="183">
        <v>45224.895833333336</v>
      </c>
      <c r="C19" s="183">
        <v>45224.929861111108</v>
      </c>
      <c r="D19" s="113">
        <f>IF(punch[[#This Row],[Time Out]]="", "-", punch[[#This Row],[Time Out]]-punch[[#This Row],[Time In]])</f>
        <v>3.4027777772280388E-2</v>
      </c>
      <c r="E19" s="178">
        <f>IF(punch[[#This Row],[Time In]]="", "-", WEEKNUM(punch[[#This Row],[Time In]],15))</f>
        <v>43</v>
      </c>
      <c r="F19" s="114" cm="1">
        <f t="array" ref="F19">getWeekTotalHours(punch[[#This Row],[Artist]], punch[[#This Row],[WeekNum]])</f>
        <v>0.476388888884685</v>
      </c>
      <c r="G19" s="226"/>
      <c r="K19" s="164"/>
    </row>
    <row r="20" spans="1:11" ht="23.25" customHeight="1" x14ac:dyDescent="0.25">
      <c r="A20" s="182" t="s">
        <v>16</v>
      </c>
      <c r="B20" s="183">
        <v>45224.458333333336</v>
      </c>
      <c r="C20" s="183">
        <v>45225.043055555558</v>
      </c>
      <c r="D20" s="113">
        <f>IF(punch[[#This Row],[Time Out]]="", "-", punch[[#This Row],[Time Out]]-punch[[#This Row],[Time In]])</f>
        <v>0.58472222222189885</v>
      </c>
      <c r="E20" s="178">
        <f>IF(punch[[#This Row],[Time In]]="", "-", WEEKNUM(punch[[#This Row],[Time In]],15))</f>
        <v>43</v>
      </c>
      <c r="F20" s="114" cm="1">
        <f t="array" ref="F20">getWeekTotalHours(punch[[#This Row],[Artist]], punch[[#This Row],[WeekNum]])</f>
        <v>2.1458333333284827</v>
      </c>
      <c r="G20" s="226"/>
      <c r="J20" s="164"/>
      <c r="K20" s="164"/>
    </row>
    <row r="21" spans="1:11" ht="23.25" customHeight="1" x14ac:dyDescent="0.25">
      <c r="A21" s="182" t="s">
        <v>14</v>
      </c>
      <c r="B21" s="183">
        <v>45225.416666666664</v>
      </c>
      <c r="C21" s="183">
        <v>45225.428472222222</v>
      </c>
      <c r="D21" s="113">
        <f>IF(punch[[#This Row],[Time Out]]="", "-", punch[[#This Row],[Time Out]]-punch[[#This Row],[Time In]])</f>
        <v>1.1805555557657499E-2</v>
      </c>
      <c r="E21" s="178">
        <f>IF(punch[[#This Row],[Time In]]="", "-", WEEKNUM(punch[[#This Row],[Time In]],15))</f>
        <v>43</v>
      </c>
      <c r="F21" s="114" cm="1">
        <f t="array" ref="F21">getWeekTotalHours(punch[[#This Row],[Artist]], punch[[#This Row],[WeekNum]])</f>
        <v>9.5138888893416151E-2</v>
      </c>
      <c r="G21" s="226"/>
      <c r="I21" s="8"/>
      <c r="J21" s="73"/>
      <c r="K21" s="164"/>
    </row>
    <row r="22" spans="1:11" ht="23.25" customHeight="1" x14ac:dyDescent="0.25">
      <c r="A22" s="182" t="s">
        <v>16</v>
      </c>
      <c r="B22" s="183">
        <v>45225.458333333336</v>
      </c>
      <c r="C22" s="183">
        <v>45225.5</v>
      </c>
      <c r="D22" s="113">
        <f>IF(punch[[#This Row],[Time Out]]="", "-", punch[[#This Row],[Time Out]]-punch[[#This Row],[Time In]])</f>
        <v>4.1666666664241347E-2</v>
      </c>
      <c r="E22" s="178">
        <f>IF(punch[[#This Row],[Time In]]="", "-", WEEKNUM(punch[[#This Row],[Time In]],15))</f>
        <v>43</v>
      </c>
      <c r="F22" s="114" cm="1">
        <f t="array" ref="F22">getWeekTotalHours(punch[[#This Row],[Artist]], punch[[#This Row],[WeekNum]])</f>
        <v>2.1458333333284827</v>
      </c>
      <c r="G22" s="226"/>
      <c r="I22" s="8"/>
      <c r="J22" s="73"/>
      <c r="K22" s="164"/>
    </row>
    <row r="23" spans="1:11" ht="23.25" customHeight="1" x14ac:dyDescent="0.25">
      <c r="A23" s="182" t="s">
        <v>16</v>
      </c>
      <c r="B23" s="183">
        <v>45225.833333333336</v>
      </c>
      <c r="C23" s="183">
        <v>45226.106944444444</v>
      </c>
      <c r="D23" s="113">
        <f>IF(punch[[#This Row],[Time Out]]="", "-", punch[[#This Row],[Time Out]]-punch[[#This Row],[Time In]])</f>
        <v>0.27361111110803904</v>
      </c>
      <c r="E23" s="178">
        <f>IF(punch[[#This Row],[Time In]]="", "-", WEEKNUM(punch[[#This Row],[Time In]],15))</f>
        <v>43</v>
      </c>
      <c r="F23" s="114" cm="1">
        <f t="array" ref="F23">getWeekTotalHours(punch[[#This Row],[Artist]], punch[[#This Row],[WeekNum]])</f>
        <v>2.1458333333284827</v>
      </c>
      <c r="G23" s="226"/>
      <c r="I23" s="8"/>
      <c r="J23" s="73"/>
      <c r="K23" s="164"/>
    </row>
    <row r="24" spans="1:11" ht="23.25" customHeight="1" x14ac:dyDescent="0.25">
      <c r="A24" s="182" t="s">
        <v>18</v>
      </c>
      <c r="B24" s="183">
        <v>45225.3125</v>
      </c>
      <c r="C24" s="183">
        <v>45225.4375</v>
      </c>
      <c r="D24" s="113">
        <f>IF(punch[[#This Row],[Time Out]]="", "-", punch[[#This Row],[Time Out]]-punch[[#This Row],[Time In]])</f>
        <v>0.125</v>
      </c>
      <c r="E24" s="178">
        <f>IF(punch[[#This Row],[Time In]]="", "-", WEEKNUM(punch[[#This Row],[Time In]],15))</f>
        <v>43</v>
      </c>
      <c r="F24" s="114" cm="1">
        <f t="array" ref="F24">getWeekTotalHours(punch[[#This Row],[Artist]], punch[[#This Row],[WeekNum]])</f>
        <v>1.7486111111065838</v>
      </c>
      <c r="G24" s="226"/>
      <c r="I24" s="8"/>
      <c r="J24" s="73"/>
      <c r="K24" s="164"/>
    </row>
    <row r="25" spans="1:11" ht="23.25" customHeight="1" x14ac:dyDescent="0.25">
      <c r="A25" s="182" t="s">
        <v>18</v>
      </c>
      <c r="B25" s="183">
        <v>45225.833333333336</v>
      </c>
      <c r="C25" s="183">
        <v>45225.930555555555</v>
      </c>
      <c r="D25" s="113">
        <f>IF(punch[[#This Row],[Time Out]]="", "-", punch[[#This Row],[Time Out]]-punch[[#This Row],[Time In]])</f>
        <v>9.7222222218988463E-2</v>
      </c>
      <c r="E25" s="178">
        <f>IF(punch[[#This Row],[Time In]]="", "-", WEEKNUM(punch[[#This Row],[Time In]],15))</f>
        <v>43</v>
      </c>
      <c r="F25" s="114" cm="1">
        <f t="array" ref="F25">getWeekTotalHours(punch[[#This Row],[Artist]], punch[[#This Row],[WeekNum]])</f>
        <v>1.7486111111065838</v>
      </c>
      <c r="G25" s="226"/>
      <c r="I25" s="8"/>
      <c r="J25" s="73"/>
    </row>
    <row r="26" spans="1:11" ht="23.25" customHeight="1" x14ac:dyDescent="0.25">
      <c r="A26" s="182" t="s">
        <v>18</v>
      </c>
      <c r="B26" s="183">
        <v>45224.347916666666</v>
      </c>
      <c r="C26" s="183">
        <v>45224.729166666664</v>
      </c>
      <c r="D26" s="113">
        <f>IF(punch[[#This Row],[Time Out]]="", "-", punch[[#This Row],[Time Out]]-punch[[#This Row],[Time In]])</f>
        <v>0.38124999999854481</v>
      </c>
      <c r="E26" s="178">
        <f>IF(punch[[#This Row],[Time In]]="", "-", WEEKNUM(punch[[#This Row],[Time In]],15))</f>
        <v>43</v>
      </c>
      <c r="F26" s="114" cm="1">
        <f t="array" ref="F26">getWeekTotalHours(punch[[#This Row],[Artist]], punch[[#This Row],[WeekNum]])</f>
        <v>1.7486111111065838</v>
      </c>
      <c r="G26" s="226"/>
    </row>
    <row r="27" spans="1:11" ht="23.25" customHeight="1" x14ac:dyDescent="0.25">
      <c r="A27" s="182" t="s">
        <v>18</v>
      </c>
      <c r="B27" s="183">
        <v>45224.875</v>
      </c>
      <c r="C27" s="183">
        <v>45224.958333333336</v>
      </c>
      <c r="D27" s="113">
        <f>IF(punch[[#This Row],[Time Out]]="", "-", punch[[#This Row],[Time Out]]-punch[[#This Row],[Time In]])</f>
        <v>8.3333333335758653E-2</v>
      </c>
      <c r="E27" s="178">
        <f>IF(punch[[#This Row],[Time In]]="", "-", WEEKNUM(punch[[#This Row],[Time In]],15))</f>
        <v>43</v>
      </c>
      <c r="F27" s="114" cm="1">
        <f t="array" ref="F27">getWeekTotalHours(punch[[#This Row],[Artist]], punch[[#This Row],[WeekNum]])</f>
        <v>1.7486111111065838</v>
      </c>
      <c r="G27" s="226"/>
    </row>
    <row r="28" spans="1:11" ht="23.25" customHeight="1" x14ac:dyDescent="0.25">
      <c r="A28" s="182" t="s">
        <v>18</v>
      </c>
      <c r="B28" s="183">
        <v>45225.333333333336</v>
      </c>
      <c r="C28" s="183">
        <v>45225.770833333336</v>
      </c>
      <c r="D28" s="113">
        <f>IF(punch[[#This Row],[Time Out]]="", "-", punch[[#This Row],[Time Out]]-punch[[#This Row],[Time In]])</f>
        <v>0.4375</v>
      </c>
      <c r="E28" s="178">
        <f>IF(punch[[#This Row],[Time In]]="", "-", WEEKNUM(punch[[#This Row],[Time In]],15))</f>
        <v>43</v>
      </c>
      <c r="F28" s="114" cm="1">
        <f t="array" ref="F28">getWeekTotalHours(punch[[#This Row],[Artist]], punch[[#This Row],[WeekNum]])</f>
        <v>1.7486111111065838</v>
      </c>
      <c r="G28" s="226"/>
    </row>
    <row r="29" spans="1:11" ht="23.25" customHeight="1" x14ac:dyDescent="0.25">
      <c r="A29" s="182" t="s">
        <v>18</v>
      </c>
      <c r="B29" s="183">
        <v>45226.660416666666</v>
      </c>
      <c r="C29" s="183">
        <v>45226.709027777775</v>
      </c>
      <c r="D29" s="113">
        <f>IF(punch[[#This Row],[Time Out]]="", "-", punch[[#This Row],[Time Out]]-punch[[#This Row],[Time In]])</f>
        <v>4.8611111109494232E-2</v>
      </c>
      <c r="E29" s="178">
        <f>IF(punch[[#This Row],[Time In]]="", "-", WEEKNUM(punch[[#This Row],[Time In]],15))</f>
        <v>44</v>
      </c>
      <c r="F29" s="114" cm="1">
        <f t="array" ref="F29">getWeekTotalHours(punch[[#This Row],[Artist]], punch[[#This Row],[WeekNum]])</f>
        <v>3.0354166666729725</v>
      </c>
      <c r="G29" s="226"/>
    </row>
    <row r="30" spans="1:11" ht="23.25" customHeight="1" x14ac:dyDescent="0.25">
      <c r="A30" s="182" t="s">
        <v>18</v>
      </c>
      <c r="B30" s="183">
        <v>45227.35</v>
      </c>
      <c r="C30" s="183">
        <v>45227.520833333336</v>
      </c>
      <c r="D30" s="113">
        <f>IF(punch[[#This Row],[Time Out]]="", "-", punch[[#This Row],[Time Out]]-punch[[#This Row],[Time In]])</f>
        <v>0.17083333333721384</v>
      </c>
      <c r="E30" s="178">
        <f>IF(punch[[#This Row],[Time In]]="", "-", WEEKNUM(punch[[#This Row],[Time In]],15))</f>
        <v>44</v>
      </c>
      <c r="F30" s="114" cm="1">
        <f t="array" ref="F30">getWeekTotalHours(punch[[#This Row],[Artist]], punch[[#This Row],[WeekNum]])</f>
        <v>3.0354166666729725</v>
      </c>
      <c r="G30" s="226"/>
    </row>
    <row r="31" spans="1:11" ht="23.25" customHeight="1" x14ac:dyDescent="0.25">
      <c r="A31" s="182" t="s">
        <v>14</v>
      </c>
      <c r="B31" s="183">
        <v>45227.397222222222</v>
      </c>
      <c r="C31" s="183">
        <v>45227.749305555553</v>
      </c>
      <c r="D31" s="113">
        <f>IF(punch[[#This Row],[Time Out]]="", "-", punch[[#This Row],[Time Out]]-punch[[#This Row],[Time In]])</f>
        <v>0.35208333333139308</v>
      </c>
      <c r="E31" s="178">
        <f>IF(punch[[#This Row],[Time In]]="", "-", WEEKNUM(punch[[#This Row],[Time In]],15))</f>
        <v>44</v>
      </c>
      <c r="F31" s="114" cm="1">
        <f t="array" ref="F31">getWeekTotalHours(punch[[#This Row],[Artist]], punch[[#This Row],[WeekNum]])</f>
        <v>1.7354166666627862</v>
      </c>
      <c r="G31" s="226"/>
    </row>
    <row r="32" spans="1:11" ht="23.25" customHeight="1" x14ac:dyDescent="0.25">
      <c r="A32" s="182" t="s">
        <v>18</v>
      </c>
      <c r="B32" s="183">
        <v>45227.576388888891</v>
      </c>
      <c r="C32" s="183">
        <v>45227.744444444441</v>
      </c>
      <c r="D32" s="113">
        <f>IF(punch[[#This Row],[Time Out]]="", "-", punch[[#This Row],[Time Out]]-punch[[#This Row],[Time In]])</f>
        <v>0.16805555555038154</v>
      </c>
      <c r="E32" s="178">
        <f>IF(punch[[#This Row],[Time In]]="", "-", WEEKNUM(punch[[#This Row],[Time In]],15))</f>
        <v>44</v>
      </c>
      <c r="F32" s="114" cm="1">
        <f t="array" ref="F32">getWeekTotalHours(punch[[#This Row],[Artist]], punch[[#This Row],[WeekNum]])</f>
        <v>3.0354166666729725</v>
      </c>
      <c r="G32" s="226"/>
    </row>
    <row r="33" spans="1:7" ht="23.25" customHeight="1" x14ac:dyDescent="0.25">
      <c r="A33" s="182" t="s">
        <v>16</v>
      </c>
      <c r="B33" s="183">
        <v>45227.520833333336</v>
      </c>
      <c r="C33" s="183">
        <v>45227.7</v>
      </c>
      <c r="D33" s="113">
        <f>IF(punch[[#This Row],[Time Out]]="", "-", punch[[#This Row],[Time Out]]-punch[[#This Row],[Time In]])</f>
        <v>0.17916666666133096</v>
      </c>
      <c r="E33" s="178">
        <f>IF(punch[[#This Row],[Time In]]="", "-", WEEKNUM(punch[[#This Row],[Time In]],15))</f>
        <v>44</v>
      </c>
      <c r="F33" s="114" cm="1">
        <f t="array" ref="F33">getWeekTotalHours(punch[[#This Row],[Artist]], punch[[#This Row],[WeekNum]])</f>
        <v>3.26597222223063</v>
      </c>
      <c r="G33" s="226"/>
    </row>
    <row r="34" spans="1:7" ht="23.25" customHeight="1" x14ac:dyDescent="0.25">
      <c r="A34" s="182" t="s">
        <v>16</v>
      </c>
      <c r="B34" s="183">
        <v>45226.479166666664</v>
      </c>
      <c r="C34" s="183">
        <v>45226.71875</v>
      </c>
      <c r="D34" s="113">
        <f>IF(punch[[#This Row],[Time Out]]="", "-", punch[[#This Row],[Time Out]]-punch[[#This Row],[Time In]])</f>
        <v>0.23958333333575865</v>
      </c>
      <c r="E34" s="178">
        <f>IF(punch[[#This Row],[Time In]]="", "-", WEEKNUM(punch[[#This Row],[Time In]],15))</f>
        <v>44</v>
      </c>
      <c r="F34" s="114" cm="1">
        <f t="array" ref="F34">getWeekTotalHours(punch[[#This Row],[Artist]], punch[[#This Row],[WeekNum]])</f>
        <v>3.26597222223063</v>
      </c>
      <c r="G34" s="226"/>
    </row>
    <row r="35" spans="1:7" ht="23.25" customHeight="1" x14ac:dyDescent="0.25">
      <c r="A35" s="182" t="s">
        <v>18</v>
      </c>
      <c r="B35" s="183">
        <v>45227.776388888888</v>
      </c>
      <c r="C35" s="183">
        <v>45227.895833333336</v>
      </c>
      <c r="D35" s="113">
        <f>IF(punch[[#This Row],[Time Out]]="", "-", punch[[#This Row],[Time Out]]-punch[[#This Row],[Time In]])</f>
        <v>0.11944444444816327</v>
      </c>
      <c r="E35" s="178">
        <f>IF(punch[[#This Row],[Time In]]="", "-", WEEKNUM(punch[[#This Row],[Time In]],15))</f>
        <v>44</v>
      </c>
      <c r="F35" s="114" cm="1">
        <f t="array" ref="F35">getWeekTotalHours(punch[[#This Row],[Artist]], punch[[#This Row],[WeekNum]])</f>
        <v>3.0354166666729725</v>
      </c>
      <c r="G35" s="226"/>
    </row>
    <row r="36" spans="1:7" ht="23.25" customHeight="1" x14ac:dyDescent="0.25">
      <c r="A36" s="182" t="s">
        <v>14</v>
      </c>
      <c r="B36" s="183">
        <v>45228.338888888888</v>
      </c>
      <c r="C36" s="183">
        <v>45228.806944444441</v>
      </c>
      <c r="D36" s="113">
        <f>IF(punch[[#This Row],[Time Out]]="", "-", punch[[#This Row],[Time Out]]-punch[[#This Row],[Time In]])</f>
        <v>0.46805555555329192</v>
      </c>
      <c r="E36" s="178">
        <f>IF(punch[[#This Row],[Time In]]="", "-", WEEKNUM(punch[[#This Row],[Time In]],15))</f>
        <v>44</v>
      </c>
      <c r="F36" s="114" cm="1">
        <f t="array" ref="F36">getWeekTotalHours(punch[[#This Row],[Artist]], punch[[#This Row],[WeekNum]])</f>
        <v>1.7354166666627862</v>
      </c>
      <c r="G36" s="226"/>
    </row>
    <row r="37" spans="1:7" ht="23.25" customHeight="1" x14ac:dyDescent="0.25">
      <c r="A37" s="182" t="s">
        <v>18</v>
      </c>
      <c r="B37" s="183">
        <v>45228.355555555558</v>
      </c>
      <c r="C37" s="183">
        <v>45228.481249999997</v>
      </c>
      <c r="D37" s="113">
        <f>IF(punch[[#This Row],[Time Out]]="", "-", punch[[#This Row],[Time Out]]-punch[[#This Row],[Time In]])</f>
        <v>0.12569444443943212</v>
      </c>
      <c r="E37" s="178">
        <f>IF(punch[[#This Row],[Time In]]="", "-", WEEKNUM(punch[[#This Row],[Time In]],15))</f>
        <v>44</v>
      </c>
      <c r="F37" s="114" cm="1">
        <f t="array" ref="F37">getWeekTotalHours(punch[[#This Row],[Artist]], punch[[#This Row],[WeekNum]])</f>
        <v>3.0354166666729725</v>
      </c>
      <c r="G37" s="226"/>
    </row>
    <row r="38" spans="1:7" ht="23.25" customHeight="1" x14ac:dyDescent="0.25">
      <c r="A38" s="182" t="s">
        <v>16</v>
      </c>
      <c r="B38" s="183">
        <v>45227.9375</v>
      </c>
      <c r="C38" s="183">
        <v>45228.166666666664</v>
      </c>
      <c r="D38" s="113">
        <f>IF(punch[[#This Row],[Time Out]]="", "-", punch[[#This Row],[Time Out]]-punch[[#This Row],[Time In]])</f>
        <v>0.22916666666424135</v>
      </c>
      <c r="E38" s="178">
        <f>IF(punch[[#This Row],[Time In]]="", "-", WEEKNUM(punch[[#This Row],[Time In]],15))</f>
        <v>44</v>
      </c>
      <c r="F38" s="114" cm="1">
        <f t="array" ref="F38">getWeekTotalHours(punch[[#This Row],[Artist]], punch[[#This Row],[WeekNum]])</f>
        <v>3.26597222223063</v>
      </c>
      <c r="G38" s="226"/>
    </row>
    <row r="39" spans="1:7" ht="23.25" customHeight="1" x14ac:dyDescent="0.25">
      <c r="A39" s="182" t="s">
        <v>16</v>
      </c>
      <c r="B39" s="183">
        <v>45228.482638888891</v>
      </c>
      <c r="C39" s="183">
        <v>45229.022916666669</v>
      </c>
      <c r="D39" s="113">
        <f>IF(punch[[#This Row],[Time Out]]="", "-", punch[[#This Row],[Time Out]]-punch[[#This Row],[Time In]])</f>
        <v>0.54027777777810115</v>
      </c>
      <c r="E39" s="178">
        <f>IF(punch[[#This Row],[Time In]]="", "-", WEEKNUM(punch[[#This Row],[Time In]],15))</f>
        <v>44</v>
      </c>
      <c r="F39" s="114" cm="1">
        <f t="array" ref="F39">getWeekTotalHours(punch[[#This Row],[Artist]], punch[[#This Row],[WeekNum]])</f>
        <v>3.26597222223063</v>
      </c>
      <c r="G39" s="226"/>
    </row>
    <row r="40" spans="1:7" ht="23.25" customHeight="1" x14ac:dyDescent="0.25">
      <c r="A40" s="182" t="s">
        <v>18</v>
      </c>
      <c r="B40" s="183">
        <v>45228.517361111109</v>
      </c>
      <c r="C40" s="183">
        <v>45228.90347222222</v>
      </c>
      <c r="D40" s="113">
        <f>IF(punch[[#This Row],[Time Out]]="", "-", punch[[#This Row],[Time Out]]-punch[[#This Row],[Time In]])</f>
        <v>0.38611111111094942</v>
      </c>
      <c r="E40" s="178">
        <f>IF(punch[[#This Row],[Time In]]="", "-", WEEKNUM(punch[[#This Row],[Time In]],15))</f>
        <v>44</v>
      </c>
      <c r="F40" s="114" cm="1">
        <f t="array" ref="F40">getWeekTotalHours(punch[[#This Row],[Artist]], punch[[#This Row],[WeekNum]])</f>
        <v>3.0354166666729725</v>
      </c>
      <c r="G40" s="226"/>
    </row>
    <row r="41" spans="1:7" ht="23.25" customHeight="1" x14ac:dyDescent="0.25">
      <c r="A41" s="182" t="s">
        <v>12</v>
      </c>
      <c r="B41" s="183">
        <v>45225.333333333336</v>
      </c>
      <c r="C41" s="183">
        <v>45225.416666666664</v>
      </c>
      <c r="D41" s="113">
        <f>IF(punch[[#This Row],[Time Out]]="", "-", punch[[#This Row],[Time Out]]-punch[[#This Row],[Time In]])</f>
        <v>8.3333333328482695E-2</v>
      </c>
      <c r="E41" s="178">
        <f>IF(punch[[#This Row],[Time In]]="", "-", WEEKNUM(punch[[#This Row],[Time In]],15))</f>
        <v>43</v>
      </c>
      <c r="F41" s="114" cm="1">
        <f t="array" ref="F41">getWeekTotalHours(punch[[#This Row],[Artist]], punch[[#This Row],[WeekNum]])</f>
        <v>0.476388888884685</v>
      </c>
      <c r="G41" s="226"/>
    </row>
    <row r="42" spans="1:7" ht="23.25" customHeight="1" x14ac:dyDescent="0.25">
      <c r="A42" s="182" t="s">
        <v>12</v>
      </c>
      <c r="B42" s="183">
        <v>45226.333333333336</v>
      </c>
      <c r="C42" s="183">
        <v>45226.4375</v>
      </c>
      <c r="D42" s="113">
        <f>IF(punch[[#This Row],[Time Out]]="", "-", punch[[#This Row],[Time Out]]-punch[[#This Row],[Time In]])</f>
        <v>0.10416666666424135</v>
      </c>
      <c r="E42" s="178">
        <f>IF(punch[[#This Row],[Time In]]="", "-", WEEKNUM(punch[[#This Row],[Time In]],15))</f>
        <v>44</v>
      </c>
      <c r="F42" s="114" cm="1">
        <f t="array" ref="F42">getWeekTotalHours(punch[[#This Row],[Artist]], punch[[#This Row],[WeekNum]])</f>
        <v>1.1423611111167702</v>
      </c>
      <c r="G42" s="226"/>
    </row>
    <row r="43" spans="1:7" ht="23.25" customHeight="1" x14ac:dyDescent="0.25">
      <c r="A43" s="182" t="s">
        <v>12</v>
      </c>
      <c r="B43" s="183">
        <v>45228.572916666664</v>
      </c>
      <c r="C43" s="183">
        <v>45228.775000000001</v>
      </c>
      <c r="D43" s="113">
        <f>IF(punch[[#This Row],[Time Out]]="", "-", punch[[#This Row],[Time Out]]-punch[[#This Row],[Time In]])</f>
        <v>0.20208333333721384</v>
      </c>
      <c r="E43" s="178">
        <f>IF(punch[[#This Row],[Time In]]="", "-", WEEKNUM(punch[[#This Row],[Time In]],15))</f>
        <v>44</v>
      </c>
      <c r="F43" s="114" cm="1">
        <f t="array" ref="F43">getWeekTotalHours(punch[[#This Row],[Artist]], punch[[#This Row],[WeekNum]])</f>
        <v>1.1423611111167702</v>
      </c>
      <c r="G43" s="226"/>
    </row>
    <row r="44" spans="1:7" ht="23.25" customHeight="1" x14ac:dyDescent="0.25">
      <c r="A44" s="182" t="s">
        <v>18</v>
      </c>
      <c r="B44" s="183">
        <v>45229.324999999997</v>
      </c>
      <c r="C44" s="183">
        <v>45229.686805555553</v>
      </c>
      <c r="D44" s="113">
        <f>IF(punch[[#This Row],[Time Out]]="", "-", punch[[#This Row],[Time Out]]-punch[[#This Row],[Time In]])</f>
        <v>0.36180555555620231</v>
      </c>
      <c r="E44" s="178">
        <f>IF(punch[[#This Row],[Time In]]="", "-", WEEKNUM(punch[[#This Row],[Time In]],15))</f>
        <v>44</v>
      </c>
      <c r="F44" s="114" cm="1">
        <f t="array" ref="F44">getWeekTotalHours(punch[[#This Row],[Artist]], punch[[#This Row],[WeekNum]])</f>
        <v>3.0354166666729725</v>
      </c>
      <c r="G44" s="226"/>
    </row>
    <row r="45" spans="1:7" ht="23.25" customHeight="1" x14ac:dyDescent="0.25">
      <c r="A45" s="182" t="s">
        <v>12</v>
      </c>
      <c r="B45" s="183">
        <v>45229.5625</v>
      </c>
      <c r="C45" s="183">
        <v>45229.771527777775</v>
      </c>
      <c r="D45" s="113">
        <f>IF(punch[[#This Row],[Time Out]]="", "-", punch[[#This Row],[Time Out]]-punch[[#This Row],[Time In]])</f>
        <v>0.20902777777519077</v>
      </c>
      <c r="E45" s="178">
        <f>IF(punch[[#This Row],[Time In]]="", "-", WEEKNUM(punch[[#This Row],[Time In]],15))</f>
        <v>44</v>
      </c>
      <c r="F45" s="114" cm="1">
        <f t="array" ref="F45">getWeekTotalHours(punch[[#This Row],[Artist]], punch[[#This Row],[WeekNum]])</f>
        <v>1.1423611111167702</v>
      </c>
      <c r="G45" s="226"/>
    </row>
    <row r="46" spans="1:7" ht="23.25" customHeight="1" x14ac:dyDescent="0.25">
      <c r="A46" s="182" t="s">
        <v>14</v>
      </c>
      <c r="B46" s="183">
        <v>45229.541666666664</v>
      </c>
      <c r="C46" s="183">
        <v>45229.738888888889</v>
      </c>
      <c r="D46" s="113">
        <f>IF(punch[[#This Row],[Time Out]]="", "-", punch[[#This Row],[Time Out]]-punch[[#This Row],[Time In]])</f>
        <v>0.19722222222480923</v>
      </c>
      <c r="E46" s="178">
        <f>IF(punch[[#This Row],[Time In]]="", "-", WEEKNUM(punch[[#This Row],[Time In]],15))</f>
        <v>44</v>
      </c>
      <c r="F46" s="114" cm="1">
        <f t="array" ref="F46">getWeekTotalHours(punch[[#This Row],[Artist]], punch[[#This Row],[WeekNum]])</f>
        <v>1.7354166666627862</v>
      </c>
      <c r="G46" s="226"/>
    </row>
    <row r="47" spans="1:7" ht="23.25" customHeight="1" x14ac:dyDescent="0.25">
      <c r="A47" s="182" t="s">
        <v>16</v>
      </c>
      <c r="B47" s="183">
        <v>45229.416666666664</v>
      </c>
      <c r="C47" s="183">
        <v>45229.982638888891</v>
      </c>
      <c r="D47" s="113">
        <f>IF(punch[[#This Row],[Time Out]]="", "-", punch[[#This Row],[Time Out]]-punch[[#This Row],[Time In]])</f>
        <v>0.56597222222626442</v>
      </c>
      <c r="E47" s="178">
        <f>IF(punch[[#This Row],[Time In]]="", "-", WEEKNUM(punch[[#This Row],[Time In]],15))</f>
        <v>44</v>
      </c>
      <c r="F47" s="114" cm="1">
        <f t="array" ref="F47">getWeekTotalHours(punch[[#This Row],[Artist]], punch[[#This Row],[WeekNum]])</f>
        <v>3.26597222223063</v>
      </c>
      <c r="G47" s="226"/>
    </row>
    <row r="48" spans="1:7" ht="23.25" customHeight="1" x14ac:dyDescent="0.25">
      <c r="A48" s="182" t="s">
        <v>18</v>
      </c>
      <c r="B48" s="183">
        <v>45229.742361111108</v>
      </c>
      <c r="C48" s="183">
        <v>45229.919444444444</v>
      </c>
      <c r="D48" s="113">
        <f>IF(punch[[#This Row],[Time Out]]="", "-", punch[[#This Row],[Time Out]]-punch[[#This Row],[Time In]])</f>
        <v>0.17708333333575865</v>
      </c>
      <c r="E48" s="178">
        <f>IF(punch[[#This Row],[Time In]]="", "-", WEEKNUM(punch[[#This Row],[Time In]],15))</f>
        <v>44</v>
      </c>
      <c r="F48" s="114" cm="1">
        <f t="array" ref="F48">getWeekTotalHours(punch[[#This Row],[Artist]], punch[[#This Row],[WeekNum]])</f>
        <v>3.0354166666729725</v>
      </c>
      <c r="G48" s="226"/>
    </row>
    <row r="49" spans="1:7" ht="23.25" customHeight="1" x14ac:dyDescent="0.25">
      <c r="A49" s="182" t="s">
        <v>18</v>
      </c>
      <c r="B49" s="183">
        <v>45230.315972222219</v>
      </c>
      <c r="C49" s="183">
        <v>45230.762499999997</v>
      </c>
      <c r="D49" s="113">
        <f>IF(punch[[#This Row],[Time Out]]="", "-", punch[[#This Row],[Time Out]]-punch[[#This Row],[Time In]])</f>
        <v>0.44652777777810115</v>
      </c>
      <c r="E49" s="178">
        <f>IF(punch[[#This Row],[Time In]]="", "-", WEEKNUM(punch[[#This Row],[Time In]],15))</f>
        <v>44</v>
      </c>
      <c r="F49" s="114" cm="1">
        <f t="array" ref="F49">getWeekTotalHours(punch[[#This Row],[Artist]], punch[[#This Row],[WeekNum]])</f>
        <v>3.0354166666729725</v>
      </c>
      <c r="G49" s="226"/>
    </row>
    <row r="50" spans="1:7" ht="23.25" customHeight="1" x14ac:dyDescent="0.25">
      <c r="A50" s="182" t="s">
        <v>12</v>
      </c>
      <c r="B50" s="183">
        <v>45230.385416666664</v>
      </c>
      <c r="C50" s="183">
        <v>45230.663888888892</v>
      </c>
      <c r="D50" s="113">
        <f>IF(punch[[#This Row],[Time Out]]="", "-", punch[[#This Row],[Time Out]]-punch[[#This Row],[Time In]])</f>
        <v>0.27847222222771961</v>
      </c>
      <c r="E50" s="178">
        <f>IF(punch[[#This Row],[Time In]]="", "-", WEEKNUM(punch[[#This Row],[Time In]],15))</f>
        <v>44</v>
      </c>
      <c r="F50" s="114" cm="1">
        <f t="array" ref="F50">getWeekTotalHours(punch[[#This Row],[Artist]], punch[[#This Row],[WeekNum]])</f>
        <v>1.1423611111167702</v>
      </c>
      <c r="G50" s="226"/>
    </row>
    <row r="51" spans="1:7" ht="23.25" customHeight="1" x14ac:dyDescent="0.25">
      <c r="A51" s="182" t="s">
        <v>14</v>
      </c>
      <c r="B51" s="183">
        <v>45230.580555555556</v>
      </c>
      <c r="C51" s="183">
        <v>45230.691666666666</v>
      </c>
      <c r="D51" s="113">
        <f>IF(punch[[#This Row],[Time Out]]="", "-", punch[[#This Row],[Time Out]]-punch[[#This Row],[Time In]])</f>
        <v>0.11111111110949423</v>
      </c>
      <c r="E51" s="178">
        <f>IF(punch[[#This Row],[Time In]]="", "-", WEEKNUM(punch[[#This Row],[Time In]],15))</f>
        <v>44</v>
      </c>
      <c r="F51" s="114" cm="1">
        <f t="array" ref="F51">getWeekTotalHours(punch[[#This Row],[Artist]], punch[[#This Row],[WeekNum]])</f>
        <v>1.7354166666627862</v>
      </c>
      <c r="G51" s="226"/>
    </row>
    <row r="52" spans="1:7" ht="23.25" customHeight="1" x14ac:dyDescent="0.25">
      <c r="A52" s="182" t="s">
        <v>16</v>
      </c>
      <c r="B52" s="183">
        <v>45230.416666666664</v>
      </c>
      <c r="C52" s="183">
        <v>45230.84375</v>
      </c>
      <c r="D52" s="113">
        <f>IF(punch[[#This Row],[Time Out]]="", "-", punch[[#This Row],[Time Out]]-punch[[#This Row],[Time In]])</f>
        <v>0.42708333333575865</v>
      </c>
      <c r="E52" s="178">
        <f>IF(punch[[#This Row],[Time In]]="", "-", WEEKNUM(punch[[#This Row],[Time In]],15))</f>
        <v>44</v>
      </c>
      <c r="F52" s="114" cm="1">
        <f t="array" ref="F52">getWeekTotalHours(punch[[#This Row],[Artist]], punch[[#This Row],[WeekNum]])</f>
        <v>3.26597222223063</v>
      </c>
      <c r="G52" s="226"/>
    </row>
    <row r="53" spans="1:7" ht="23.25" customHeight="1" x14ac:dyDescent="0.25">
      <c r="A53" s="182" t="s">
        <v>14</v>
      </c>
      <c r="B53" s="183">
        <v>45231.376388888886</v>
      </c>
      <c r="C53" s="183">
        <v>45231.77847222222</v>
      </c>
      <c r="D53" s="113">
        <f>IF(punch[[#This Row],[Time Out]]="", "-", punch[[#This Row],[Time Out]]-punch[[#This Row],[Time In]])</f>
        <v>0.40208333333430346</v>
      </c>
      <c r="E53" s="178">
        <f>IF(punch[[#This Row],[Time In]]="", "-", WEEKNUM(punch[[#This Row],[Time In]],15))</f>
        <v>44</v>
      </c>
      <c r="F53" s="114" cm="1">
        <f t="array" ref="F53">getWeekTotalHours(punch[[#This Row],[Artist]], punch[[#This Row],[WeekNum]])</f>
        <v>1.7354166666627862</v>
      </c>
      <c r="G53" s="226"/>
    </row>
    <row r="54" spans="1:7" ht="23.25" customHeight="1" x14ac:dyDescent="0.25">
      <c r="A54" s="182" t="s">
        <v>16</v>
      </c>
      <c r="B54" s="183">
        <v>45231.479166666664</v>
      </c>
      <c r="C54" s="183">
        <v>45231.982638888891</v>
      </c>
      <c r="D54" s="113">
        <f>IF(punch[[#This Row],[Time Out]]="", "-", punch[[#This Row],[Time Out]]-punch[[#This Row],[Time In]])</f>
        <v>0.50347222222626442</v>
      </c>
      <c r="E54" s="178">
        <f>IF(punch[[#This Row],[Time In]]="", "-", WEEKNUM(punch[[#This Row],[Time In]],15))</f>
        <v>44</v>
      </c>
      <c r="F54" s="114" cm="1">
        <f t="array" ref="F54">getWeekTotalHours(punch[[#This Row],[Artist]], punch[[#This Row],[WeekNum]])</f>
        <v>3.26597222223063</v>
      </c>
      <c r="G54" s="226"/>
    </row>
    <row r="55" spans="1:7" ht="23.25" customHeight="1" x14ac:dyDescent="0.25">
      <c r="A55" s="182" t="s">
        <v>12</v>
      </c>
      <c r="B55" s="183">
        <v>45231.479166666664</v>
      </c>
      <c r="C55" s="183">
        <v>45231.576388888891</v>
      </c>
      <c r="D55" s="113">
        <f>IF(punch[[#This Row],[Time Out]]="", "-", punch[[#This Row],[Time Out]]-punch[[#This Row],[Time In]])</f>
        <v>9.7222222226264421E-2</v>
      </c>
      <c r="E55" s="178">
        <f>IF(punch[[#This Row],[Time In]]="", "-", WEEKNUM(punch[[#This Row],[Time In]],15))</f>
        <v>44</v>
      </c>
      <c r="F55" s="114" cm="1">
        <f t="array" ref="F55">getWeekTotalHours(punch[[#This Row],[Artist]], punch[[#This Row],[WeekNum]])</f>
        <v>1.1423611111167702</v>
      </c>
      <c r="G55" s="226"/>
    </row>
    <row r="56" spans="1:7" ht="23.25" customHeight="1" x14ac:dyDescent="0.25">
      <c r="A56" s="182" t="s">
        <v>20</v>
      </c>
      <c r="B56" s="183">
        <v>45230.375</v>
      </c>
      <c r="C56" s="183">
        <v>45230.583333333336</v>
      </c>
      <c r="D56" s="113">
        <f>IF(punch[[#This Row],[Time Out]]="", "-", punch[[#This Row],[Time Out]]-punch[[#This Row],[Time In]])</f>
        <v>0.20833333333575865</v>
      </c>
      <c r="E56" s="178">
        <f>IF(punch[[#This Row],[Time In]]="", "-", WEEKNUM(punch[[#This Row],[Time In]],15))</f>
        <v>44</v>
      </c>
      <c r="F56" s="114" cm="1">
        <f t="array" ref="F56">getWeekTotalHours(punch[[#This Row],[Artist]], punch[[#This Row],[WeekNum]])</f>
        <v>0.70833333333575865</v>
      </c>
      <c r="G56" s="226"/>
    </row>
    <row r="57" spans="1:7" ht="23.25" customHeight="1" x14ac:dyDescent="0.25">
      <c r="A57" s="182" t="s">
        <v>20</v>
      </c>
      <c r="B57" s="183">
        <v>45224.333333333336</v>
      </c>
      <c r="C57" s="183">
        <v>45224.833333333336</v>
      </c>
      <c r="D57" s="113">
        <f>IF(punch[[#This Row],[Time Out]]="", "-", punch[[#This Row],[Time Out]]-punch[[#This Row],[Time In]])</f>
        <v>0.5</v>
      </c>
      <c r="E57" s="178">
        <f>IF(punch[[#This Row],[Time In]]="", "-", WEEKNUM(punch[[#This Row],[Time In]],15))</f>
        <v>43</v>
      </c>
      <c r="F57" s="114" cm="1">
        <f t="array" ref="F57">getWeekTotalHours(punch[[#This Row],[Artist]], punch[[#This Row],[WeekNum]])</f>
        <v>0.66666666666424135</v>
      </c>
      <c r="G57" s="226"/>
    </row>
    <row r="58" spans="1:7" ht="23.25" customHeight="1" x14ac:dyDescent="0.25">
      <c r="A58" s="182" t="s">
        <v>20</v>
      </c>
      <c r="B58" s="183">
        <v>45231.375</v>
      </c>
      <c r="C58" s="183">
        <v>45231.541666666664</v>
      </c>
      <c r="D58" s="113">
        <f>IF(punch[[#This Row],[Time Out]]="", "-", punch[[#This Row],[Time Out]]-punch[[#This Row],[Time In]])</f>
        <v>0.16666666666424135</v>
      </c>
      <c r="E58" s="178">
        <f>IF(punch[[#This Row],[Time In]]="", "-", WEEKNUM(punch[[#This Row],[Time In]],15))</f>
        <v>44</v>
      </c>
      <c r="F58" s="114" cm="1">
        <f t="array" ref="F58">getWeekTotalHours(punch[[#This Row],[Artist]], punch[[#This Row],[WeekNum]])</f>
        <v>0.70833333333575865</v>
      </c>
      <c r="G58" s="226"/>
    </row>
    <row r="59" spans="1:7" ht="23.25" customHeight="1" x14ac:dyDescent="0.25">
      <c r="A59" s="182" t="s">
        <v>18</v>
      </c>
      <c r="B59" s="183">
        <v>45232.367361111108</v>
      </c>
      <c r="C59" s="183">
        <v>45232.919444444444</v>
      </c>
      <c r="D59" s="113">
        <f>IF(punch[[#This Row],[Time Out]]="", "-", punch[[#This Row],[Time Out]]-punch[[#This Row],[Time In]])</f>
        <v>0.55208333333575865</v>
      </c>
      <c r="E59" s="178">
        <f>IF(punch[[#This Row],[Time In]]="", "-", WEEKNUM(punch[[#This Row],[Time In]],15))</f>
        <v>44</v>
      </c>
      <c r="F59" s="114" cm="1">
        <f t="array" ref="F59">getWeekTotalHours(punch[[#This Row],[Artist]], punch[[#This Row],[WeekNum]])</f>
        <v>3.0354166666729725</v>
      </c>
      <c r="G59" s="226"/>
    </row>
    <row r="60" spans="1:7" ht="23.25" customHeight="1" x14ac:dyDescent="0.25">
      <c r="A60" s="182" t="s">
        <v>18</v>
      </c>
      <c r="B60" s="183">
        <v>45231.416666666664</v>
      </c>
      <c r="C60" s="183">
        <v>45231.895833333336</v>
      </c>
      <c r="D60" s="113">
        <f>IF(punch[[#This Row],[Time Out]]="", "-", punch[[#This Row],[Time Out]]-punch[[#This Row],[Time In]])</f>
        <v>0.47916666667151731</v>
      </c>
      <c r="E60" s="178">
        <f>IF(punch[[#This Row],[Time In]]="", "-", WEEKNUM(punch[[#This Row],[Time In]],15))</f>
        <v>44</v>
      </c>
      <c r="F60" s="114" cm="1">
        <f t="array" ref="F60">getWeekTotalHours(punch[[#This Row],[Artist]], punch[[#This Row],[WeekNum]])</f>
        <v>3.0354166666729725</v>
      </c>
      <c r="G60" s="226"/>
    </row>
    <row r="61" spans="1:7" ht="23.25" customHeight="1" x14ac:dyDescent="0.25">
      <c r="A61" s="182" t="s">
        <v>14</v>
      </c>
      <c r="B61" s="183">
        <v>45232.402083333334</v>
      </c>
      <c r="C61" s="183">
        <v>45232.606944444444</v>
      </c>
      <c r="D61" s="113">
        <f>IF(punch[[#This Row],[Time Out]]="", "-", punch[[#This Row],[Time Out]]-punch[[#This Row],[Time In]])</f>
        <v>0.20486111110949423</v>
      </c>
      <c r="E61" s="178">
        <f>IF(punch[[#This Row],[Time In]]="", "-", WEEKNUM(punch[[#This Row],[Time In]],15))</f>
        <v>44</v>
      </c>
      <c r="F61" s="114" cm="1">
        <f t="array" ref="F61">getWeekTotalHours(punch[[#This Row],[Artist]], punch[[#This Row],[WeekNum]])</f>
        <v>1.7354166666627862</v>
      </c>
      <c r="G61" s="226"/>
    </row>
    <row r="62" spans="1:7" ht="23.25" customHeight="1" x14ac:dyDescent="0.25">
      <c r="A62" s="182" t="s">
        <v>16</v>
      </c>
      <c r="B62" s="183">
        <v>45232.439583333333</v>
      </c>
      <c r="C62" s="183">
        <v>45233.020833333336</v>
      </c>
      <c r="D62" s="113">
        <f>IF(punch[[#This Row],[Time Out]]="", "-", punch[[#This Row],[Time Out]]-punch[[#This Row],[Time In]])</f>
        <v>0.58125000000291038</v>
      </c>
      <c r="E62" s="178">
        <f>IF(punch[[#This Row],[Time In]]="", "-", WEEKNUM(punch[[#This Row],[Time In]],15))</f>
        <v>44</v>
      </c>
      <c r="F62" s="114" cm="1">
        <f t="array" ref="F62">getWeekTotalHours(punch[[#This Row],[Artist]], punch[[#This Row],[WeekNum]])</f>
        <v>3.26597222223063</v>
      </c>
      <c r="G62" s="226"/>
    </row>
    <row r="63" spans="1:7" ht="23.25" customHeight="1" x14ac:dyDescent="0.25">
      <c r="A63" s="182" t="s">
        <v>12</v>
      </c>
      <c r="B63" s="183">
        <v>45232.458333333336</v>
      </c>
      <c r="C63" s="183">
        <v>45232.709722222222</v>
      </c>
      <c r="D63" s="113">
        <f>IF(punch[[#This Row],[Time Out]]="", "-", punch[[#This Row],[Time Out]]-punch[[#This Row],[Time In]])</f>
        <v>0.25138888888614019</v>
      </c>
      <c r="E63" s="178">
        <f>IF(punch[[#This Row],[Time In]]="", "-", WEEKNUM(punch[[#This Row],[Time In]],15))</f>
        <v>44</v>
      </c>
      <c r="F63" s="114" cm="1">
        <f t="array" ref="F63">getWeekTotalHours(punch[[#This Row],[Artist]], punch[[#This Row],[WeekNum]])</f>
        <v>1.1423611111167702</v>
      </c>
      <c r="G63" s="226"/>
    </row>
    <row r="64" spans="1:7" ht="23.25" customHeight="1" x14ac:dyDescent="0.25">
      <c r="A64" s="182" t="s">
        <v>20</v>
      </c>
      <c r="B64" s="183">
        <v>45232.416666666664</v>
      </c>
      <c r="C64" s="183">
        <v>45232.75</v>
      </c>
      <c r="D64" s="113">
        <f>IF(punch[[#This Row],[Time Out]]="", "-", punch[[#This Row],[Time Out]]-punch[[#This Row],[Time In]])</f>
        <v>0.33333333333575865</v>
      </c>
      <c r="E64" s="178">
        <f>IF(punch[[#This Row],[Time In]]="", "-", WEEKNUM(punch[[#This Row],[Time In]],15))</f>
        <v>44</v>
      </c>
      <c r="F64" s="114" cm="1">
        <f t="array" ref="F64">getWeekTotalHours(punch[[#This Row],[Artist]], punch[[#This Row],[WeekNum]])</f>
        <v>0.70833333333575865</v>
      </c>
      <c r="G64" s="226"/>
    </row>
    <row r="65" spans="1:7" ht="23.25" customHeight="1" x14ac:dyDescent="0.25">
      <c r="A65" s="182" t="s">
        <v>16</v>
      </c>
      <c r="B65" s="183">
        <v>45233.45208333333</v>
      </c>
      <c r="C65" s="183">
        <v>45234.041666666664</v>
      </c>
      <c r="D65" s="113">
        <f>IF(punch[[#This Row],[Time Out]]="", "-", punch[[#This Row],[Time Out]]-punch[[#This Row],[Time In]])</f>
        <v>0.58958333333430346</v>
      </c>
      <c r="E65" s="178">
        <f>IF(punch[[#This Row],[Time In]]="", "-", WEEKNUM(punch[[#This Row],[Time In]],15))</f>
        <v>45</v>
      </c>
      <c r="F65" s="114" cm="1">
        <f t="array" ref="F65">getWeekTotalHours(punch[[#This Row],[Artist]], punch[[#This Row],[WeekNum]])</f>
        <v>2.53125</v>
      </c>
      <c r="G65" s="226"/>
    </row>
    <row r="66" spans="1:7" ht="23.25" customHeight="1" x14ac:dyDescent="0.25">
      <c r="A66" s="182" t="s">
        <v>18</v>
      </c>
      <c r="B66" s="183">
        <v>45233.354166666664</v>
      </c>
      <c r="C66" s="183">
        <v>45233.541666666664</v>
      </c>
      <c r="D66" s="113">
        <f>IF(punch[[#This Row],[Time Out]]="", "-", punch[[#This Row],[Time Out]]-punch[[#This Row],[Time In]])</f>
        <v>0.1875</v>
      </c>
      <c r="E66" s="178">
        <f>IF(punch[[#This Row],[Time In]]="", "-", WEEKNUM(punch[[#This Row],[Time In]],15))</f>
        <v>45</v>
      </c>
      <c r="F66" s="114" cm="1">
        <f t="array" ref="F66">getWeekTotalHours(punch[[#This Row],[Artist]], punch[[#This Row],[WeekNum]])</f>
        <v>1.4437499999985448</v>
      </c>
      <c r="G66" s="226"/>
    </row>
    <row r="67" spans="1:7" ht="23.25" customHeight="1" x14ac:dyDescent="0.25">
      <c r="A67" s="182" t="s">
        <v>18</v>
      </c>
      <c r="B67" s="183">
        <v>45233.604166666664</v>
      </c>
      <c r="C67" s="183">
        <v>45233.675000000003</v>
      </c>
      <c r="D67" s="113">
        <f>IF(punch[[#This Row],[Time Out]]="", "-", punch[[#This Row],[Time Out]]-punch[[#This Row],[Time In]])</f>
        <v>7.0833333338669036E-2</v>
      </c>
      <c r="E67" s="178">
        <f>IF(punch[[#This Row],[Time In]]="", "-", WEEKNUM(punch[[#This Row],[Time In]],15))</f>
        <v>45</v>
      </c>
      <c r="F67" s="114" cm="1">
        <f t="array" ref="F67">getWeekTotalHours(punch[[#This Row],[Artist]], punch[[#This Row],[WeekNum]])</f>
        <v>1.4437499999985448</v>
      </c>
      <c r="G67" s="226"/>
    </row>
    <row r="68" spans="1:7" ht="23.25" customHeight="1" x14ac:dyDescent="0.25">
      <c r="A68" s="182" t="s">
        <v>18</v>
      </c>
      <c r="B68" s="183">
        <v>45233.839583333334</v>
      </c>
      <c r="C68" s="183">
        <v>45233.917361111111</v>
      </c>
      <c r="D68" s="113">
        <f>IF(punch[[#This Row],[Time Out]]="", "-", punch[[#This Row],[Time Out]]-punch[[#This Row],[Time In]])</f>
        <v>7.7777777776645962E-2</v>
      </c>
      <c r="E68" s="178">
        <f>IF(punch[[#This Row],[Time In]]="", "-", WEEKNUM(punch[[#This Row],[Time In]],15))</f>
        <v>45</v>
      </c>
      <c r="F68" s="114" cm="1">
        <f t="array" ref="F68">getWeekTotalHours(punch[[#This Row],[Artist]], punch[[#This Row],[WeekNum]])</f>
        <v>1.4437499999985448</v>
      </c>
      <c r="G68" s="226"/>
    </row>
    <row r="69" spans="1:7" ht="23.25" customHeight="1" x14ac:dyDescent="0.25">
      <c r="A69" s="182" t="s">
        <v>20</v>
      </c>
      <c r="B69" s="183">
        <v>45233.508333333331</v>
      </c>
      <c r="C69" s="183">
        <v>45233.833333333336</v>
      </c>
      <c r="D69" s="113">
        <f>IF(punch[[#This Row],[Time Out]]="", "-", punch[[#This Row],[Time Out]]-punch[[#This Row],[Time In]])</f>
        <v>0.32500000000436557</v>
      </c>
      <c r="E69" s="178">
        <f>IF(punch[[#This Row],[Time In]]="", "-", WEEKNUM(punch[[#This Row],[Time In]],15))</f>
        <v>45</v>
      </c>
      <c r="F69" s="114" cm="1">
        <f t="array" ref="F69">getWeekTotalHours(punch[[#This Row],[Artist]], punch[[#This Row],[WeekNum]])</f>
        <v>0.61666666666860692</v>
      </c>
      <c r="G69" s="226"/>
    </row>
    <row r="70" spans="1:7" ht="23.25" customHeight="1" x14ac:dyDescent="0.25">
      <c r="A70" s="182" t="s">
        <v>18</v>
      </c>
      <c r="B70" s="183">
        <v>45234.384027777778</v>
      </c>
      <c r="C70" s="183">
        <v>45234.554166666669</v>
      </c>
      <c r="D70" s="113">
        <f>IF(punch[[#This Row],[Time Out]]="", "-", punch[[#This Row],[Time Out]]-punch[[#This Row],[Time In]])</f>
        <v>0.17013888889050577</v>
      </c>
      <c r="E70" s="178">
        <f>IF(punch[[#This Row],[Time In]]="", "-", WEEKNUM(punch[[#This Row],[Time In]],15))</f>
        <v>45</v>
      </c>
      <c r="F70" s="114" cm="1">
        <f t="array" ref="F70">getWeekTotalHours(punch[[#This Row],[Artist]], punch[[#This Row],[WeekNum]])</f>
        <v>1.4437499999985448</v>
      </c>
      <c r="G70" s="226"/>
    </row>
    <row r="71" spans="1:7" ht="23.25" customHeight="1" x14ac:dyDescent="0.25">
      <c r="A71" s="182" t="s">
        <v>14</v>
      </c>
      <c r="B71" s="183">
        <v>45234.412499999999</v>
      </c>
      <c r="C71" s="183">
        <v>45234.468055555553</v>
      </c>
      <c r="D71" s="113">
        <f>IF(punch[[#This Row],[Time Out]]="", "-", punch[[#This Row],[Time Out]]-punch[[#This Row],[Time In]])</f>
        <v>5.5555555554747116E-2</v>
      </c>
      <c r="E71" s="178">
        <f>IF(punch[[#This Row],[Time In]]="", "-", WEEKNUM(punch[[#This Row],[Time In]],15))</f>
        <v>45</v>
      </c>
      <c r="F71" s="114" cm="1">
        <f t="array" ref="F71">getWeekTotalHours(punch[[#This Row],[Artist]], punch[[#This Row],[WeekNum]])</f>
        <v>1.1944444444452529</v>
      </c>
      <c r="G71" s="226"/>
    </row>
    <row r="72" spans="1:7" ht="23.25" customHeight="1" x14ac:dyDescent="0.25">
      <c r="A72" s="182" t="s">
        <v>14</v>
      </c>
      <c r="B72" s="183">
        <v>45234.554166666669</v>
      </c>
      <c r="C72" s="183">
        <v>45234.911805555559</v>
      </c>
      <c r="D72" s="113">
        <f>IF(punch[[#This Row],[Time Out]]="", "-", punch[[#This Row],[Time Out]]-punch[[#This Row],[Time In]])</f>
        <v>0.35763888889050577</v>
      </c>
      <c r="E72" s="178">
        <f>IF(punch[[#This Row],[Time In]]="", "-", WEEKNUM(punch[[#This Row],[Time In]],15))</f>
        <v>45</v>
      </c>
      <c r="F72" s="114" cm="1">
        <f t="array" ref="F72">getWeekTotalHours(punch[[#This Row],[Artist]], punch[[#This Row],[WeekNum]])</f>
        <v>1.1944444444452529</v>
      </c>
      <c r="G72" s="226"/>
    </row>
    <row r="73" spans="1:7" ht="23.25" customHeight="1" x14ac:dyDescent="0.25">
      <c r="A73" s="182" t="s">
        <v>12</v>
      </c>
      <c r="B73" s="183">
        <v>45234.689583333333</v>
      </c>
      <c r="C73" s="183">
        <v>45234.779166666667</v>
      </c>
      <c r="D73" s="113">
        <f>IF(punch[[#This Row],[Time Out]]="", "-", punch[[#This Row],[Time Out]]-punch[[#This Row],[Time In]])</f>
        <v>8.9583333334303461E-2</v>
      </c>
      <c r="E73" s="178">
        <f>IF(punch[[#This Row],[Time In]]="", "-", WEEKNUM(punch[[#This Row],[Time In]],15))</f>
        <v>45</v>
      </c>
      <c r="F73" s="114" cm="1">
        <f t="array" ref="F73">getWeekTotalHours(punch[[#This Row],[Artist]], punch[[#This Row],[WeekNum]])</f>
        <v>0.62083333333430346</v>
      </c>
      <c r="G73" s="226"/>
    </row>
    <row r="74" spans="1:7" ht="23.25" customHeight="1" x14ac:dyDescent="0.25">
      <c r="A74" s="182" t="s">
        <v>16</v>
      </c>
      <c r="B74" s="183">
        <v>45234.4375</v>
      </c>
      <c r="C74" s="183">
        <v>45235.010416666664</v>
      </c>
      <c r="D74" s="113">
        <f>IF(punch[[#This Row],[Time Out]]="", "-", punch[[#This Row],[Time Out]]-punch[[#This Row],[Time In]])</f>
        <v>0.57291666666424135</v>
      </c>
      <c r="E74" s="178">
        <f>IF(punch[[#This Row],[Time In]]="", "-", WEEKNUM(punch[[#This Row],[Time In]],15))</f>
        <v>45</v>
      </c>
      <c r="F74" s="114" cm="1">
        <f t="array" ref="F74">getWeekTotalHours(punch[[#This Row],[Artist]], punch[[#This Row],[WeekNum]])</f>
        <v>2.53125</v>
      </c>
      <c r="G74" s="226"/>
    </row>
    <row r="75" spans="1:7" ht="23.25" customHeight="1" x14ac:dyDescent="0.25">
      <c r="A75" s="182" t="s">
        <v>18</v>
      </c>
      <c r="B75" s="183">
        <v>45235.334722222222</v>
      </c>
      <c r="C75" s="183">
        <v>45235.504166666666</v>
      </c>
      <c r="D75" s="113">
        <f>IF(punch[[#This Row],[Time Out]]="", "-", punch[[#This Row],[Time Out]]-punch[[#This Row],[Time In]])</f>
        <v>0.16944444444379769</v>
      </c>
      <c r="E75" s="178">
        <f>IF(punch[[#This Row],[Time In]]="", "-", WEEKNUM(punch[[#This Row],[Time In]],15))</f>
        <v>45</v>
      </c>
      <c r="F75" s="114" cm="1">
        <f t="array" ref="F75">getWeekTotalHours(punch[[#This Row],[Artist]], punch[[#This Row],[WeekNum]])</f>
        <v>1.4437499999985448</v>
      </c>
      <c r="G75" s="226"/>
    </row>
    <row r="76" spans="1:7" ht="23.25" customHeight="1" x14ac:dyDescent="0.25">
      <c r="A76" s="182" t="s">
        <v>20</v>
      </c>
      <c r="B76" s="183">
        <v>45235.5</v>
      </c>
      <c r="C76" s="183">
        <v>45235.541666666664</v>
      </c>
      <c r="D76" s="113">
        <f>IF(punch[[#This Row],[Time Out]]="", "-", punch[[#This Row],[Time Out]]-punch[[#This Row],[Time In]])</f>
        <v>4.1666666664241347E-2</v>
      </c>
      <c r="E76" s="178">
        <f>IF(punch[[#This Row],[Time In]]="", "-", WEEKNUM(punch[[#This Row],[Time In]],15))</f>
        <v>45</v>
      </c>
      <c r="F76" s="114" cm="1">
        <f t="array" ref="F76">getWeekTotalHours(punch[[#This Row],[Artist]], punch[[#This Row],[WeekNum]])</f>
        <v>0.61666666666860692</v>
      </c>
      <c r="G76" s="226"/>
    </row>
    <row r="77" spans="1:7" ht="23.25" customHeight="1" x14ac:dyDescent="0.25">
      <c r="A77" s="182" t="s">
        <v>16</v>
      </c>
      <c r="B77" s="183">
        <v>45235.427083333336</v>
      </c>
      <c r="C77" s="183">
        <v>45235.479166666664</v>
      </c>
      <c r="D77" s="113">
        <f>IF(punch[[#This Row],[Time Out]]="", "-", punch[[#This Row],[Time Out]]-punch[[#This Row],[Time In]])</f>
        <v>5.2083333328482695E-2</v>
      </c>
      <c r="E77" s="178">
        <f>IF(punch[[#This Row],[Time In]]="", "-", WEEKNUM(punch[[#This Row],[Time In]],15))</f>
        <v>45</v>
      </c>
      <c r="F77" s="114" cm="1">
        <f t="array" ref="F77">getWeekTotalHours(punch[[#This Row],[Artist]], punch[[#This Row],[WeekNum]])</f>
        <v>2.53125</v>
      </c>
      <c r="G77" s="226"/>
    </row>
    <row r="78" spans="1:7" ht="23.25" customHeight="1" x14ac:dyDescent="0.25">
      <c r="A78" s="182" t="s">
        <v>18</v>
      </c>
      <c r="B78" s="183">
        <v>45235.560416666667</v>
      </c>
      <c r="C78" s="183">
        <v>45235.870833333334</v>
      </c>
      <c r="D78" s="113">
        <f>IF(punch[[#This Row],[Time Out]]="", "-", punch[[#This Row],[Time Out]]-punch[[#This Row],[Time In]])</f>
        <v>0.31041666666715173</v>
      </c>
      <c r="E78" s="178">
        <f>IF(punch[[#This Row],[Time In]]="", "-", WEEKNUM(punch[[#This Row],[Time In]],15))</f>
        <v>45</v>
      </c>
      <c r="F78" s="114" cm="1">
        <f t="array" ref="F78">getWeekTotalHours(punch[[#This Row],[Artist]], punch[[#This Row],[WeekNum]])</f>
        <v>1.4437499999985448</v>
      </c>
      <c r="G78" s="226"/>
    </row>
    <row r="79" spans="1:7" ht="23.25" customHeight="1" x14ac:dyDescent="0.25">
      <c r="A79" s="182" t="s">
        <v>16</v>
      </c>
      <c r="B79" s="183">
        <v>45235.53125</v>
      </c>
      <c r="C79" s="183">
        <v>45235.5625</v>
      </c>
      <c r="D79" s="113">
        <f>IF(punch[[#This Row],[Time Out]]="", "-", punch[[#This Row],[Time Out]]-punch[[#This Row],[Time In]])</f>
        <v>3.125E-2</v>
      </c>
      <c r="E79" s="178">
        <f>IF(punch[[#This Row],[Time In]]="", "-", WEEKNUM(punch[[#This Row],[Time In]],15))</f>
        <v>45</v>
      </c>
      <c r="F79" s="114" cm="1">
        <f t="array" ref="F79">getWeekTotalHours(punch[[#This Row],[Artist]], punch[[#This Row],[WeekNum]])</f>
        <v>2.53125</v>
      </c>
      <c r="G79" s="226"/>
    </row>
    <row r="80" spans="1:7" ht="23.25" customHeight="1" x14ac:dyDescent="0.25">
      <c r="A80" s="182" t="s">
        <v>16</v>
      </c>
      <c r="B80" s="183">
        <v>45235.597222222219</v>
      </c>
      <c r="C80" s="183">
        <v>45235.962500000001</v>
      </c>
      <c r="D80" s="113">
        <f>IF(punch[[#This Row],[Time Out]]="", "-", punch[[#This Row],[Time Out]]-punch[[#This Row],[Time In]])</f>
        <v>0.36527777778246673</v>
      </c>
      <c r="E80" s="178">
        <f>IF(punch[[#This Row],[Time In]]="", "-", WEEKNUM(punch[[#This Row],[Time In]],15))</f>
        <v>45</v>
      </c>
      <c r="F80" s="114" cm="1">
        <f t="array" ref="F80">getWeekTotalHours(punch[[#This Row],[Artist]], punch[[#This Row],[WeekNum]])</f>
        <v>2.53125</v>
      </c>
      <c r="G80" s="226"/>
    </row>
    <row r="81" spans="1:7" ht="23.25" customHeight="1" x14ac:dyDescent="0.25">
      <c r="A81" s="182" t="s">
        <v>12</v>
      </c>
      <c r="B81" s="183">
        <v>45235.861111111109</v>
      </c>
      <c r="C81" s="183">
        <v>45235.88958333333</v>
      </c>
      <c r="D81" s="113">
        <f>IF(punch[[#This Row],[Time Out]]="", "-", punch[[#This Row],[Time Out]]-punch[[#This Row],[Time In]])</f>
        <v>2.8472222220443655E-2</v>
      </c>
      <c r="E81" s="178">
        <f>IF(punch[[#This Row],[Time In]]="", "-", WEEKNUM(punch[[#This Row],[Time In]],15))</f>
        <v>45</v>
      </c>
      <c r="F81" s="114" cm="1">
        <f t="array" ref="F81">getWeekTotalHours(punch[[#This Row],[Artist]], punch[[#This Row],[WeekNum]])</f>
        <v>0.62083333333430346</v>
      </c>
      <c r="G81" s="226"/>
    </row>
    <row r="82" spans="1:7" ht="23.25" customHeight="1" x14ac:dyDescent="0.25">
      <c r="A82" s="182" t="s">
        <v>12</v>
      </c>
      <c r="B82" s="183">
        <v>45236.588194444441</v>
      </c>
      <c r="C82" s="183">
        <v>45236.699305555558</v>
      </c>
      <c r="D82" s="113">
        <f>IF(punch[[#This Row],[Time Out]]="", "-", punch[[#This Row],[Time Out]]-punch[[#This Row],[Time In]])</f>
        <v>0.11111111111677019</v>
      </c>
      <c r="E82" s="178">
        <f>IF(punch[[#This Row],[Time In]]="", "-", WEEKNUM(punch[[#This Row],[Time In]],15))</f>
        <v>45</v>
      </c>
      <c r="F82" s="114" cm="1">
        <f t="array" ref="F82">getWeekTotalHours(punch[[#This Row],[Artist]], punch[[#This Row],[WeekNum]])</f>
        <v>0.62083333333430346</v>
      </c>
      <c r="G82" s="226"/>
    </row>
    <row r="83" spans="1:7" ht="23.25" customHeight="1" x14ac:dyDescent="0.25">
      <c r="A83" s="182" t="s">
        <v>14</v>
      </c>
      <c r="B83" s="183">
        <v>45237.543749999997</v>
      </c>
      <c r="C83" s="183">
        <v>45237.887499999997</v>
      </c>
      <c r="D83" s="113">
        <f>IF(punch[[#This Row],[Time Out]]="", "-", punch[[#This Row],[Time Out]]-punch[[#This Row],[Time In]])</f>
        <v>0.34375</v>
      </c>
      <c r="E83" s="178">
        <f>IF(punch[[#This Row],[Time In]]="", "-", WEEKNUM(punch[[#This Row],[Time In]],15))</f>
        <v>45</v>
      </c>
      <c r="F83" s="114" cm="1">
        <f t="array" ref="F83">getWeekTotalHours(punch[[#This Row],[Artist]], punch[[#This Row],[WeekNum]])</f>
        <v>1.1944444444452529</v>
      </c>
      <c r="G83" s="226"/>
    </row>
    <row r="84" spans="1:7" ht="23.25" customHeight="1" x14ac:dyDescent="0.25">
      <c r="A84" s="182" t="s">
        <v>18</v>
      </c>
      <c r="B84" s="183">
        <v>45237.668055555558</v>
      </c>
      <c r="C84" s="183">
        <v>45237.740277777775</v>
      </c>
      <c r="D84" s="113">
        <f>IF(punch[[#This Row],[Time Out]]="", "-", punch[[#This Row],[Time Out]]-punch[[#This Row],[Time In]])</f>
        <v>7.2222222217533272E-2</v>
      </c>
      <c r="E84" s="178">
        <f>IF(punch[[#This Row],[Time In]]="", "-", WEEKNUM(punch[[#This Row],[Time In]],15))</f>
        <v>45</v>
      </c>
      <c r="F84" s="114" cm="1">
        <f t="array" ref="F84">getWeekTotalHours(punch[[#This Row],[Artist]], punch[[#This Row],[WeekNum]])</f>
        <v>1.4437499999985448</v>
      </c>
      <c r="G84" s="226"/>
    </row>
    <row r="85" spans="1:7" ht="23.25" customHeight="1" x14ac:dyDescent="0.25">
      <c r="A85" s="182" t="s">
        <v>16</v>
      </c>
      <c r="B85" s="183">
        <v>45237.722222222219</v>
      </c>
      <c r="C85" s="183">
        <v>45237.784722222219</v>
      </c>
      <c r="D85" s="113">
        <f>IF(punch[[#This Row],[Time Out]]="", "-", punch[[#This Row],[Time Out]]-punch[[#This Row],[Time In]])</f>
        <v>6.25E-2</v>
      </c>
      <c r="E85" s="178">
        <f>IF(punch[[#This Row],[Time In]]="", "-", WEEKNUM(punch[[#This Row],[Time In]],15))</f>
        <v>45</v>
      </c>
      <c r="F85" s="114" cm="1">
        <f t="array" ref="F85">getWeekTotalHours(punch[[#This Row],[Artist]], punch[[#This Row],[WeekNum]])</f>
        <v>2.53125</v>
      </c>
      <c r="G85" s="226"/>
    </row>
    <row r="86" spans="1:7" ht="23.25" customHeight="1" x14ac:dyDescent="0.25">
      <c r="A86" s="182" t="s">
        <v>12</v>
      </c>
      <c r="B86" s="183">
        <v>45238.386805555558</v>
      </c>
      <c r="C86" s="183">
        <v>45238.77847222222</v>
      </c>
      <c r="D86" s="113">
        <f>IF(punch[[#This Row],[Time Out]]="", "-", punch[[#This Row],[Time Out]]-punch[[#This Row],[Time In]])</f>
        <v>0.39166666666278616</v>
      </c>
      <c r="E86" s="178">
        <f>IF(punch[[#This Row],[Time In]]="", "-", WEEKNUM(punch[[#This Row],[Time In]],15))</f>
        <v>45</v>
      </c>
      <c r="F86" s="114" cm="1">
        <f t="array" ref="F86">getWeekTotalHours(punch[[#This Row],[Artist]], punch[[#This Row],[WeekNum]])</f>
        <v>0.62083333333430346</v>
      </c>
      <c r="G86" s="226"/>
    </row>
    <row r="87" spans="1:7" ht="23.25" customHeight="1" x14ac:dyDescent="0.25">
      <c r="A87" s="182" t="s">
        <v>14</v>
      </c>
      <c r="B87" s="183">
        <v>45238.490972222222</v>
      </c>
      <c r="C87" s="183">
        <v>45238.928472222222</v>
      </c>
      <c r="D87" s="113">
        <f>IF(punch[[#This Row],[Time Out]]="", "-", punch[[#This Row],[Time Out]]-punch[[#This Row],[Time In]])</f>
        <v>0.4375</v>
      </c>
      <c r="E87" s="178">
        <f>IF(punch[[#This Row],[Time In]]="", "-", WEEKNUM(punch[[#This Row],[Time In]],15))</f>
        <v>45</v>
      </c>
      <c r="F87" s="114" cm="1">
        <f t="array" ref="F87">getWeekTotalHours(punch[[#This Row],[Artist]], punch[[#This Row],[WeekNum]])</f>
        <v>1.1944444444452529</v>
      </c>
      <c r="G87" s="226"/>
    </row>
    <row r="88" spans="1:7" ht="23.25" customHeight="1" x14ac:dyDescent="0.25">
      <c r="A88" s="182" t="s">
        <v>18</v>
      </c>
      <c r="B88" s="183">
        <v>45238.520833333336</v>
      </c>
      <c r="C88" s="183">
        <v>45238.771527777775</v>
      </c>
      <c r="D88" s="113">
        <f>IF(punch[[#This Row],[Time Out]]="", "-", punch[[#This Row],[Time Out]]-punch[[#This Row],[Time In]])</f>
        <v>0.25069444443943212</v>
      </c>
      <c r="E88" s="178">
        <f>IF(punch[[#This Row],[Time In]]="", "-", WEEKNUM(punch[[#This Row],[Time In]],15))</f>
        <v>45</v>
      </c>
      <c r="F88" s="114" cm="1">
        <f t="array" ref="F88">getWeekTotalHours(punch[[#This Row],[Artist]], punch[[#This Row],[WeekNum]])</f>
        <v>1.4437499999985448</v>
      </c>
      <c r="G88" s="226"/>
    </row>
    <row r="89" spans="1:7" ht="23.25" customHeight="1" x14ac:dyDescent="0.25">
      <c r="A89" s="182" t="s">
        <v>16</v>
      </c>
      <c r="B89" s="183">
        <v>45238.416666666664</v>
      </c>
      <c r="C89" s="183">
        <v>45238.791666666664</v>
      </c>
      <c r="D89" s="113">
        <f>IF(punch[[#This Row],[Time Out]]="", "-", punch[[#This Row],[Time Out]]-punch[[#This Row],[Time In]])</f>
        <v>0.375</v>
      </c>
      <c r="E89" s="178">
        <f>IF(punch[[#This Row],[Time In]]="", "-", WEEKNUM(punch[[#This Row],[Time In]],15))</f>
        <v>45</v>
      </c>
      <c r="F89" s="114" cm="1">
        <f t="array" ref="F89">getWeekTotalHours(punch[[#This Row],[Artist]], punch[[#This Row],[WeekNum]])</f>
        <v>2.53125</v>
      </c>
      <c r="G89" s="226"/>
    </row>
    <row r="90" spans="1:7" ht="23.25" customHeight="1" x14ac:dyDescent="0.25">
      <c r="A90" s="182" t="s">
        <v>16</v>
      </c>
      <c r="B90" s="183">
        <v>45238.822916666664</v>
      </c>
      <c r="C90" s="183">
        <v>45239.068749999999</v>
      </c>
      <c r="D90" s="113">
        <f>IF(punch[[#This Row],[Time Out]]="", "-", punch[[#This Row],[Time Out]]-punch[[#This Row],[Time In]])</f>
        <v>0.24583333333430346</v>
      </c>
      <c r="E90" s="178">
        <f>IF(punch[[#This Row],[Time In]]="", "-", WEEKNUM(punch[[#This Row],[Time In]],15))</f>
        <v>45</v>
      </c>
      <c r="F90" s="114" cm="1">
        <f t="array" ref="F90">getWeekTotalHours(punch[[#This Row],[Artist]], punch[[#This Row],[WeekNum]])</f>
        <v>2.53125</v>
      </c>
      <c r="G90" s="226"/>
    </row>
    <row r="91" spans="1:7" ht="23.25" customHeight="1" x14ac:dyDescent="0.25">
      <c r="A91" s="182" t="s">
        <v>18</v>
      </c>
      <c r="B91" s="183">
        <v>45239.354166666664</v>
      </c>
      <c r="C91" s="183">
        <v>45239.488888888889</v>
      </c>
      <c r="D91" s="113">
        <f>IF(punch[[#This Row],[Time Out]]="", "-", punch[[#This Row],[Time Out]]-punch[[#This Row],[Time In]])</f>
        <v>0.13472222222480923</v>
      </c>
      <c r="E91" s="178">
        <f>IF(punch[[#This Row],[Time In]]="", "-", WEEKNUM(punch[[#This Row],[Time In]],15))</f>
        <v>45</v>
      </c>
      <c r="F91" s="114" cm="1">
        <f t="array" ref="F91">getWeekTotalHours(punch[[#This Row],[Artist]], punch[[#This Row],[WeekNum]])</f>
        <v>1.4437499999985448</v>
      </c>
      <c r="G91" s="226"/>
    </row>
    <row r="92" spans="1:7" ht="23.25" customHeight="1" x14ac:dyDescent="0.25">
      <c r="A92" s="182" t="s">
        <v>16</v>
      </c>
      <c r="B92" s="183">
        <v>45239.8125</v>
      </c>
      <c r="C92" s="183">
        <v>45240.049305555556</v>
      </c>
      <c r="D92" s="113">
        <f>IF(punch[[#This Row],[Time Out]]="", "-", punch[[#This Row],[Time Out]]-punch[[#This Row],[Time In]])</f>
        <v>0.23680555555620231</v>
      </c>
      <c r="E92" s="178">
        <f>IF(punch[[#This Row],[Time In]]="", "-", WEEKNUM(punch[[#This Row],[Time In]],15))</f>
        <v>45</v>
      </c>
      <c r="F92" s="114" cm="1">
        <f t="array" ref="F92">getWeekTotalHours(punch[[#This Row],[Artist]], punch[[#This Row],[WeekNum]])</f>
        <v>2.53125</v>
      </c>
      <c r="G92" s="226"/>
    </row>
    <row r="93" spans="1:7" ht="23.25" customHeight="1" x14ac:dyDescent="0.25">
      <c r="A93" s="182" t="s">
        <v>18</v>
      </c>
      <c r="B93" s="183">
        <v>45240.306944444441</v>
      </c>
      <c r="C93" s="183">
        <v>45240.583333333336</v>
      </c>
      <c r="D93" s="113">
        <f>IF(punch[[#This Row],[Time Out]]="", "-", punch[[#This Row],[Time Out]]-punch[[#This Row],[Time In]])</f>
        <v>0.27638888889487134</v>
      </c>
      <c r="E93" s="178">
        <f>IF(punch[[#This Row],[Time In]]="", "-", WEEKNUM(punch[[#This Row],[Time In]],15))</f>
        <v>46</v>
      </c>
      <c r="F93" s="114" cm="1">
        <f t="array" ref="F93">getWeekTotalHours(punch[[#This Row],[Artist]], punch[[#This Row],[WeekNum]])</f>
        <v>2.4083333333328483</v>
      </c>
      <c r="G93" s="226"/>
    </row>
    <row r="94" spans="1:7" ht="23.25" customHeight="1" x14ac:dyDescent="0.25">
      <c r="A94" s="182" t="s">
        <v>18</v>
      </c>
      <c r="B94" s="183">
        <v>45240.729166666664</v>
      </c>
      <c r="C94" s="183">
        <v>45240.816666666666</v>
      </c>
      <c r="D94" s="113">
        <f>IF(punch[[#This Row],[Time Out]]="", "-", punch[[#This Row],[Time Out]]-punch[[#This Row],[Time In]])</f>
        <v>8.7500000001455192E-2</v>
      </c>
      <c r="E94" s="178">
        <f>IF(punch[[#This Row],[Time In]]="", "-", WEEKNUM(punch[[#This Row],[Time In]],15))</f>
        <v>46</v>
      </c>
      <c r="F94" s="114" cm="1">
        <f t="array" ref="F94">getWeekTotalHours(punch[[#This Row],[Artist]], punch[[#This Row],[WeekNum]])</f>
        <v>2.4083333333328483</v>
      </c>
      <c r="G94" s="226"/>
    </row>
    <row r="95" spans="1:7" ht="23.25" customHeight="1" x14ac:dyDescent="0.25">
      <c r="A95" s="182" t="s">
        <v>18</v>
      </c>
      <c r="B95" s="183">
        <v>45240.854166666664</v>
      </c>
      <c r="C95" s="183">
        <v>45240.895833333336</v>
      </c>
      <c r="D95" s="113">
        <f>IF(punch[[#This Row],[Time Out]]="", "-", punch[[#This Row],[Time Out]]-punch[[#This Row],[Time In]])</f>
        <v>4.1666666671517305E-2</v>
      </c>
      <c r="E95" s="178">
        <f>IF(punch[[#This Row],[Time In]]="", "-", WEEKNUM(punch[[#This Row],[Time In]],15))</f>
        <v>46</v>
      </c>
      <c r="F95" s="114" cm="1">
        <f t="array" ref="F95">getWeekTotalHours(punch[[#This Row],[Artist]], punch[[#This Row],[WeekNum]])</f>
        <v>2.4083333333328483</v>
      </c>
      <c r="G95" s="226"/>
    </row>
    <row r="96" spans="1:7" ht="23.25" customHeight="1" x14ac:dyDescent="0.25">
      <c r="A96" s="182" t="s">
        <v>16</v>
      </c>
      <c r="B96" s="183">
        <v>45240.708333333336</v>
      </c>
      <c r="C96" s="183">
        <v>45240.788194444445</v>
      </c>
      <c r="D96" s="113">
        <f>IF(punch[[#This Row],[Time Out]]="", "-", punch[[#This Row],[Time Out]]-punch[[#This Row],[Time In]])</f>
        <v>7.9861111109494232E-2</v>
      </c>
      <c r="E96" s="178">
        <f>IF(punch[[#This Row],[Time In]]="", "-", WEEKNUM(punch[[#This Row],[Time In]],15))</f>
        <v>46</v>
      </c>
      <c r="F96" s="114" cm="1">
        <f t="array" ref="F96">getWeekTotalHours(punch[[#This Row],[Artist]], punch[[#This Row],[WeekNum]])</f>
        <v>2.5250000000087311</v>
      </c>
      <c r="G96" s="226"/>
    </row>
    <row r="97" spans="1:7" ht="23.25" customHeight="1" x14ac:dyDescent="0.25">
      <c r="A97" s="182" t="s">
        <v>16</v>
      </c>
      <c r="B97" s="183">
        <v>45240.854166666664</v>
      </c>
      <c r="C97" s="183">
        <v>45241.109722222223</v>
      </c>
      <c r="D97" s="113">
        <f>IF(punch[[#This Row],[Time Out]]="", "-", punch[[#This Row],[Time Out]]-punch[[#This Row],[Time In]])</f>
        <v>0.25555555555911269</v>
      </c>
      <c r="E97" s="178">
        <f>IF(punch[[#This Row],[Time In]]="", "-", WEEKNUM(punch[[#This Row],[Time In]],15))</f>
        <v>46</v>
      </c>
      <c r="F97" s="114" cm="1">
        <f t="array" ref="F97">getWeekTotalHours(punch[[#This Row],[Artist]], punch[[#This Row],[WeekNum]])</f>
        <v>2.5250000000087311</v>
      </c>
      <c r="G97" s="226"/>
    </row>
    <row r="98" spans="1:7" ht="23.25" customHeight="1" x14ac:dyDescent="0.25">
      <c r="A98" s="182" t="s">
        <v>18</v>
      </c>
      <c r="B98" s="183">
        <v>45241.466666666667</v>
      </c>
      <c r="C98" s="183">
        <v>45241.522222222222</v>
      </c>
      <c r="D98" s="113">
        <f>IF(punch[[#This Row],[Time Out]]="", "-", punch[[#This Row],[Time Out]]-punch[[#This Row],[Time In]])</f>
        <v>5.5555555554747116E-2</v>
      </c>
      <c r="E98" s="178">
        <f>IF(punch[[#This Row],[Time In]]="", "-", WEEKNUM(punch[[#This Row],[Time In]],15))</f>
        <v>46</v>
      </c>
      <c r="F98" s="114" cm="1">
        <f t="array" ref="F98">getWeekTotalHours(punch[[#This Row],[Artist]], punch[[#This Row],[WeekNum]])</f>
        <v>2.4083333333328483</v>
      </c>
      <c r="G98" s="226"/>
    </row>
    <row r="99" spans="1:7" ht="23.25" customHeight="1" x14ac:dyDescent="0.25">
      <c r="A99" s="182" t="s">
        <v>16</v>
      </c>
      <c r="B99" s="183">
        <v>45241.416666666664</v>
      </c>
      <c r="C99" s="183">
        <v>45241.675000000003</v>
      </c>
      <c r="D99" s="113">
        <f>IF(punch[[#This Row],[Time Out]]="", "-", punch[[#This Row],[Time Out]]-punch[[#This Row],[Time In]])</f>
        <v>0.25833333333866904</v>
      </c>
      <c r="E99" s="178">
        <f>IF(punch[[#This Row],[Time In]]="", "-", WEEKNUM(punch[[#This Row],[Time In]],15))</f>
        <v>46</v>
      </c>
      <c r="F99" s="114" cm="1">
        <f t="array" ref="F99">getWeekTotalHours(punch[[#This Row],[Artist]], punch[[#This Row],[WeekNum]])</f>
        <v>2.5250000000087311</v>
      </c>
      <c r="G99" s="226"/>
    </row>
    <row r="100" spans="1:7" ht="23.25" customHeight="1" x14ac:dyDescent="0.25">
      <c r="A100" s="182" t="s">
        <v>12</v>
      </c>
      <c r="B100" s="183">
        <v>45241.583333333336</v>
      </c>
      <c r="C100" s="183">
        <v>45241.916666666664</v>
      </c>
      <c r="D100" s="113">
        <f>IF(punch[[#This Row],[Time Out]]="", "-", punch[[#This Row],[Time Out]]-punch[[#This Row],[Time In]])</f>
        <v>0.33333333332848269</v>
      </c>
      <c r="E100" s="178">
        <f>IF(punch[[#This Row],[Time In]]="", "-", WEEKNUM(punch[[#This Row],[Time In]],15))</f>
        <v>46</v>
      </c>
      <c r="F100" s="114" cm="1">
        <f t="array" ref="F100">getWeekTotalHours(punch[[#This Row],[Artist]], punch[[#This Row],[WeekNum]])</f>
        <v>1.5416666666715173</v>
      </c>
      <c r="G100" s="226"/>
    </row>
    <row r="101" spans="1:7" ht="23.25" customHeight="1" x14ac:dyDescent="0.25">
      <c r="A101" s="182" t="s">
        <v>20</v>
      </c>
      <c r="B101" s="183">
        <v>45238.375</v>
      </c>
      <c r="C101" s="183">
        <v>45238.5</v>
      </c>
      <c r="D101" s="113">
        <f>IF(punch[[#This Row],[Time Out]]="", "-", punch[[#This Row],[Time Out]]-punch[[#This Row],[Time In]])</f>
        <v>0.125</v>
      </c>
      <c r="E101" s="178">
        <f>IF(punch[[#This Row],[Time In]]="", "-", WEEKNUM(punch[[#This Row],[Time In]],15))</f>
        <v>45</v>
      </c>
      <c r="F101" s="114" cm="1">
        <f t="array" ref="F101">getWeekTotalHours(punch[[#This Row],[Artist]], punch[[#This Row],[WeekNum]])</f>
        <v>0.61666666666860692</v>
      </c>
      <c r="G101" s="226"/>
    </row>
    <row r="102" spans="1:7" ht="23.25" customHeight="1" x14ac:dyDescent="0.25">
      <c r="A102" s="182" t="s">
        <v>20</v>
      </c>
      <c r="B102" s="183">
        <v>45239.541666666664</v>
      </c>
      <c r="C102" s="183">
        <v>45239.666666666664</v>
      </c>
      <c r="D102" s="113">
        <f>IF(punch[[#This Row],[Time Out]]="", "-", punch[[#This Row],[Time Out]]-punch[[#This Row],[Time In]])</f>
        <v>0.125</v>
      </c>
      <c r="E102" s="178">
        <f>IF(punch[[#This Row],[Time In]]="", "-", WEEKNUM(punch[[#This Row],[Time In]],15))</f>
        <v>45</v>
      </c>
      <c r="F102" s="114" cm="1">
        <f t="array" ref="F102">getWeekTotalHours(punch[[#This Row],[Artist]], punch[[#This Row],[WeekNum]])</f>
        <v>0.61666666666860692</v>
      </c>
      <c r="G102" s="226"/>
    </row>
    <row r="103" spans="1:7" ht="23.25" customHeight="1" x14ac:dyDescent="0.25">
      <c r="A103" s="182" t="s">
        <v>20</v>
      </c>
      <c r="B103" s="183">
        <v>45240.75</v>
      </c>
      <c r="C103" s="183">
        <v>45240.833333333336</v>
      </c>
      <c r="D103" s="113">
        <f>IF(punch[[#This Row],[Time Out]]="", "-", punch[[#This Row],[Time Out]]-punch[[#This Row],[Time In]])</f>
        <v>8.3333333335758653E-2</v>
      </c>
      <c r="E103" s="178">
        <f>IF(punch[[#This Row],[Time In]]="", "-", WEEKNUM(punch[[#This Row],[Time In]],15))</f>
        <v>46</v>
      </c>
      <c r="F103" s="114" cm="1">
        <f t="array" ref="F103">getWeekTotalHours(punch[[#This Row],[Artist]], punch[[#This Row],[WeekNum]])</f>
        <v>1.6659722222320852</v>
      </c>
      <c r="G103" s="226"/>
    </row>
    <row r="104" spans="1:7" ht="23.25" customHeight="1" x14ac:dyDescent="0.25">
      <c r="A104" s="182" t="s">
        <v>20</v>
      </c>
      <c r="B104" s="183">
        <v>45241.541666666664</v>
      </c>
      <c r="C104" s="183">
        <v>45241.666666666664</v>
      </c>
      <c r="D104" s="113">
        <f>IF(punch[[#This Row],[Time Out]]="", "-", punch[[#This Row],[Time Out]]-punch[[#This Row],[Time In]])</f>
        <v>0.125</v>
      </c>
      <c r="E104" s="178">
        <f>IF(punch[[#This Row],[Time In]]="", "-", WEEKNUM(punch[[#This Row],[Time In]],15))</f>
        <v>46</v>
      </c>
      <c r="F104" s="114" cm="1">
        <f t="array" ref="F104">getWeekTotalHours(punch[[#This Row],[Artist]], punch[[#This Row],[WeekNum]])</f>
        <v>1.6659722222320852</v>
      </c>
      <c r="G104" s="226"/>
    </row>
    <row r="105" spans="1:7" ht="23.25" customHeight="1" x14ac:dyDescent="0.25">
      <c r="A105" s="182" t="s">
        <v>20</v>
      </c>
      <c r="B105" s="183">
        <v>45241.75</v>
      </c>
      <c r="C105" s="183">
        <v>45241.958333333336</v>
      </c>
      <c r="D105" s="113">
        <f>IF(punch[[#This Row],[Time Out]]="", "-", punch[[#This Row],[Time Out]]-punch[[#This Row],[Time In]])</f>
        <v>0.20833333333575865</v>
      </c>
      <c r="E105" s="178">
        <f>IF(punch[[#This Row],[Time In]]="", "-", WEEKNUM(punch[[#This Row],[Time In]],15))</f>
        <v>46</v>
      </c>
      <c r="F105" s="114" cm="1">
        <f t="array" ref="F105">getWeekTotalHours(punch[[#This Row],[Artist]], punch[[#This Row],[WeekNum]])</f>
        <v>1.6659722222320852</v>
      </c>
      <c r="G105" s="226"/>
    </row>
    <row r="106" spans="1:7" ht="23.25" customHeight="1" x14ac:dyDescent="0.25">
      <c r="A106" s="182" t="s">
        <v>16</v>
      </c>
      <c r="B106" s="183">
        <v>45242.013888888891</v>
      </c>
      <c r="C106" s="183">
        <v>45242.020833333336</v>
      </c>
      <c r="D106" s="113">
        <f>IF(punch[[#This Row],[Time Out]]="", "-", punch[[#This Row],[Time Out]]-punch[[#This Row],[Time In]])</f>
        <v>6.9444444452528842E-3</v>
      </c>
      <c r="E106" s="178">
        <f>IF(punch[[#This Row],[Time In]]="", "-", WEEKNUM(punch[[#This Row],[Time In]],15))</f>
        <v>46</v>
      </c>
      <c r="F106" s="114" cm="1">
        <f t="array" ref="F106">getWeekTotalHours(punch[[#This Row],[Artist]], punch[[#This Row],[WeekNum]])</f>
        <v>2.5250000000087311</v>
      </c>
      <c r="G106" s="226"/>
    </row>
    <row r="107" spans="1:7" ht="23.25" customHeight="1" x14ac:dyDescent="0.25">
      <c r="A107" s="182" t="s">
        <v>16</v>
      </c>
      <c r="B107" s="183">
        <v>45242.354861111111</v>
      </c>
      <c r="C107" s="183">
        <v>45242.813194444447</v>
      </c>
      <c r="D107" s="113">
        <f>IF(punch[[#This Row],[Time Out]]="", "-", punch[[#This Row],[Time Out]]-punch[[#This Row],[Time In]])</f>
        <v>0.45833333333575865</v>
      </c>
      <c r="E107" s="178">
        <f>IF(punch[[#This Row],[Time In]]="", "-", WEEKNUM(punch[[#This Row],[Time In]],15))</f>
        <v>46</v>
      </c>
      <c r="F107" s="114" cm="1">
        <f t="array" ref="F107">getWeekTotalHours(punch[[#This Row],[Artist]], punch[[#This Row],[WeekNum]])</f>
        <v>2.5250000000087311</v>
      </c>
      <c r="G107" s="226"/>
    </row>
    <row r="108" spans="1:7" ht="23.25" customHeight="1" x14ac:dyDescent="0.25">
      <c r="A108" s="182" t="s">
        <v>18</v>
      </c>
      <c r="B108" s="183">
        <v>45242.395833333336</v>
      </c>
      <c r="C108" s="183">
        <v>45242.918749999997</v>
      </c>
      <c r="D108" s="113">
        <f>IF(punch[[#This Row],[Time Out]]="", "-", punch[[#This Row],[Time Out]]-punch[[#This Row],[Time In]])</f>
        <v>0.52291666666133096</v>
      </c>
      <c r="E108" s="178">
        <f>IF(punch[[#This Row],[Time In]]="", "-", WEEKNUM(punch[[#This Row],[Time In]],15))</f>
        <v>46</v>
      </c>
      <c r="F108" s="114" cm="1">
        <f t="array" ref="F108">getWeekTotalHours(punch[[#This Row],[Artist]], punch[[#This Row],[WeekNum]])</f>
        <v>2.4083333333328483</v>
      </c>
      <c r="G108" s="226"/>
    </row>
    <row r="109" spans="1:7" ht="23.25" customHeight="1" x14ac:dyDescent="0.25">
      <c r="A109" s="182" t="s">
        <v>12</v>
      </c>
      <c r="B109" s="183">
        <v>45242.443749999999</v>
      </c>
      <c r="C109" s="183">
        <v>45242.657638888886</v>
      </c>
      <c r="D109" s="113">
        <f>IF(punch[[#This Row],[Time Out]]="", "-", punch[[#This Row],[Time Out]]-punch[[#This Row],[Time In]])</f>
        <v>0.21388888888759539</v>
      </c>
      <c r="E109" s="178">
        <f>IF(punch[[#This Row],[Time In]]="", "-", WEEKNUM(punch[[#This Row],[Time In]],15))</f>
        <v>46</v>
      </c>
      <c r="F109" s="114" cm="1">
        <f t="array" ref="F109">getWeekTotalHours(punch[[#This Row],[Artist]], punch[[#This Row],[WeekNum]])</f>
        <v>1.5416666666715173</v>
      </c>
      <c r="G109" s="226"/>
    </row>
    <row r="110" spans="1:7" ht="23.25" customHeight="1" x14ac:dyDescent="0.25">
      <c r="A110" s="182" t="s">
        <v>14</v>
      </c>
      <c r="B110" s="183">
        <v>45242.475694444445</v>
      </c>
      <c r="C110" s="183">
        <v>45242.595138888886</v>
      </c>
      <c r="D110" s="113">
        <f>IF(punch[[#This Row],[Time Out]]="", "-", punch[[#This Row],[Time Out]]-punch[[#This Row],[Time In]])</f>
        <v>0.11944444444088731</v>
      </c>
      <c r="E110" s="178">
        <f>IF(punch[[#This Row],[Time In]]="", "-", WEEKNUM(punch[[#This Row],[Time In]],15))</f>
        <v>46</v>
      </c>
      <c r="F110" s="114" cm="1">
        <f t="array" ref="F110">getWeekTotalHours(punch[[#This Row],[Artist]], punch[[#This Row],[WeekNum]])</f>
        <v>1.2083333333212067</v>
      </c>
      <c r="G110" s="226"/>
    </row>
    <row r="111" spans="1:7" ht="23.25" customHeight="1" x14ac:dyDescent="0.25">
      <c r="A111" s="182" t="s">
        <v>20</v>
      </c>
      <c r="B111" s="183">
        <v>45242.541666666664</v>
      </c>
      <c r="C111" s="183">
        <v>45242.958333333336</v>
      </c>
      <c r="D111" s="113">
        <f>IF(punch[[#This Row],[Time Out]]="", "-", punch[[#This Row],[Time Out]]-punch[[#This Row],[Time In]])</f>
        <v>0.41666666667151731</v>
      </c>
      <c r="E111" s="178">
        <f>IF(punch[[#This Row],[Time In]]="", "-", WEEKNUM(punch[[#This Row],[Time In]],15))</f>
        <v>46</v>
      </c>
      <c r="F111" s="114" cm="1">
        <f t="array" ref="F111">getWeekTotalHours(punch[[#This Row],[Artist]], punch[[#This Row],[WeekNum]])</f>
        <v>1.6659722222320852</v>
      </c>
      <c r="G111" s="226"/>
    </row>
    <row r="112" spans="1:7" ht="23.25" customHeight="1" x14ac:dyDescent="0.25">
      <c r="A112" s="182" t="s">
        <v>14</v>
      </c>
      <c r="B112" s="183">
        <v>45242.679166666669</v>
      </c>
      <c r="C112" s="183">
        <v>45242.820138888892</v>
      </c>
      <c r="D112" s="113">
        <f>IF(punch[[#This Row],[Time Out]]="", "-", punch[[#This Row],[Time Out]]-punch[[#This Row],[Time In]])</f>
        <v>0.14097222222335404</v>
      </c>
      <c r="E112" s="178">
        <f>IF(punch[[#This Row],[Time In]]="", "-", WEEKNUM(punch[[#This Row],[Time In]],15))</f>
        <v>46</v>
      </c>
      <c r="F112" s="114" cm="1">
        <f t="array" ref="F112">getWeekTotalHours(punch[[#This Row],[Artist]], punch[[#This Row],[WeekNum]])</f>
        <v>1.2083333333212067</v>
      </c>
      <c r="G112" s="226"/>
    </row>
    <row r="113" spans="1:8" ht="23.25" customHeight="1" x14ac:dyDescent="0.25">
      <c r="A113" s="182" t="s">
        <v>18</v>
      </c>
      <c r="B113" s="183">
        <v>45243.354166666664</v>
      </c>
      <c r="C113" s="183">
        <v>45243.489583333336</v>
      </c>
      <c r="D113" s="113">
        <f>IF(punch[[#This Row],[Time Out]]="", "-", punch[[#This Row],[Time Out]]-punch[[#This Row],[Time In]])</f>
        <v>0.13541666667151731</v>
      </c>
      <c r="E113" s="178">
        <f>IF(punch[[#This Row],[Time In]]="", "-", WEEKNUM(punch[[#This Row],[Time In]],15))</f>
        <v>46</v>
      </c>
      <c r="F113" s="114" cm="1">
        <f t="array" ref="F113">getWeekTotalHours(punch[[#This Row],[Artist]], punch[[#This Row],[WeekNum]])</f>
        <v>2.4083333333328483</v>
      </c>
      <c r="G113" s="226"/>
    </row>
    <row r="114" spans="1:8" ht="23.25" customHeight="1" x14ac:dyDescent="0.25">
      <c r="A114" s="182" t="s">
        <v>14</v>
      </c>
      <c r="B114" s="183">
        <v>45243.375</v>
      </c>
      <c r="C114" s="183">
        <v>45243.689583333333</v>
      </c>
      <c r="D114" s="113">
        <f>IF(punch[[#This Row],[Time Out]]="", "-", punch[[#This Row],[Time Out]]-punch[[#This Row],[Time In]])</f>
        <v>0.31458333333284827</v>
      </c>
      <c r="E114" s="178">
        <f>IF(punch[[#This Row],[Time In]]="", "-", WEEKNUM(punch[[#This Row],[Time In]],15))</f>
        <v>46</v>
      </c>
      <c r="F114" s="114" cm="1">
        <f t="array" ref="F114">getWeekTotalHours(punch[[#This Row],[Artist]], punch[[#This Row],[WeekNum]])</f>
        <v>1.2083333333212067</v>
      </c>
      <c r="G114" s="226"/>
    </row>
    <row r="115" spans="1:8" ht="23.25" customHeight="1" x14ac:dyDescent="0.25">
      <c r="A115" s="182" t="s">
        <v>12</v>
      </c>
      <c r="B115" s="183">
        <v>45243.43472222222</v>
      </c>
      <c r="C115" s="183">
        <v>45243.517361111109</v>
      </c>
      <c r="D115" s="113">
        <f>IF(punch[[#This Row],[Time Out]]="", "-", punch[[#This Row],[Time Out]]-punch[[#This Row],[Time In]])</f>
        <v>8.2638888889050577E-2</v>
      </c>
      <c r="E115" s="178">
        <f>IF(punch[[#This Row],[Time In]]="", "-", WEEKNUM(punch[[#This Row],[Time In]],15))</f>
        <v>46</v>
      </c>
      <c r="F115" s="114" cm="1">
        <f t="array" ref="F115">getWeekTotalHours(punch[[#This Row],[Artist]], punch[[#This Row],[WeekNum]])</f>
        <v>1.5416666666715173</v>
      </c>
      <c r="G115" s="226"/>
    </row>
    <row r="116" spans="1:8" ht="23.25" customHeight="1" x14ac:dyDescent="0.25">
      <c r="A116" s="182" t="s">
        <v>16</v>
      </c>
      <c r="B116" s="183">
        <v>45243.399305555555</v>
      </c>
      <c r="C116" s="183">
        <v>45243.645833333336</v>
      </c>
      <c r="D116" s="113">
        <f>IF(punch[[#This Row],[Time Out]]="", "-", punch[[#This Row],[Time Out]]-punch[[#This Row],[Time In]])</f>
        <v>0.24652777778101154</v>
      </c>
      <c r="E116" s="178">
        <f>IF(punch[[#This Row],[Time In]]="", "-", WEEKNUM(punch[[#This Row],[Time In]],15))</f>
        <v>46</v>
      </c>
      <c r="F116" s="114" cm="1">
        <f t="array" ref="F116">getWeekTotalHours(punch[[#This Row],[Artist]], punch[[#This Row],[WeekNum]])</f>
        <v>2.5250000000087311</v>
      </c>
      <c r="G116" s="226"/>
    </row>
    <row r="117" spans="1:8" ht="23.25" customHeight="1" x14ac:dyDescent="0.25">
      <c r="A117" s="182" t="s">
        <v>12</v>
      </c>
      <c r="B117" s="183">
        <v>45243.540972222225</v>
      </c>
      <c r="C117" s="183">
        <v>45243.736805555556</v>
      </c>
      <c r="D117" s="113">
        <f>IF(punch[[#This Row],[Time Out]]="", "-", punch[[#This Row],[Time Out]]-punch[[#This Row],[Time In]])</f>
        <v>0.19583333333139308</v>
      </c>
      <c r="E117" s="178">
        <f>IF(punch[[#This Row],[Time In]]="", "-", WEEKNUM(punch[[#This Row],[Time In]],15))</f>
        <v>46</v>
      </c>
      <c r="F117" s="114" cm="1">
        <f t="array" ref="F117">getWeekTotalHours(punch[[#This Row],[Artist]], punch[[#This Row],[WeekNum]])</f>
        <v>1.5416666666715173</v>
      </c>
      <c r="G117" s="226"/>
    </row>
    <row r="118" spans="1:8" ht="23.25" customHeight="1" x14ac:dyDescent="0.25">
      <c r="A118" s="182" t="s">
        <v>18</v>
      </c>
      <c r="B118" s="183">
        <v>45243.53125</v>
      </c>
      <c r="C118" s="183">
        <v>45243.637499999997</v>
      </c>
      <c r="D118" s="113">
        <f>IF(punch[[#This Row],[Time Out]]="", "-", punch[[#This Row],[Time Out]]-punch[[#This Row],[Time In]])</f>
        <v>0.10624999999708962</v>
      </c>
      <c r="E118" s="178">
        <f>IF(punch[[#This Row],[Time In]]="", "-", WEEKNUM(punch[[#This Row],[Time In]],15))</f>
        <v>46</v>
      </c>
      <c r="F118" s="114" cm="1">
        <f t="array" ref="F118">getWeekTotalHours(punch[[#This Row],[Artist]], punch[[#This Row],[WeekNum]])</f>
        <v>2.4083333333328483</v>
      </c>
      <c r="G118" s="226"/>
    </row>
    <row r="119" spans="1:8" ht="23.25" customHeight="1" x14ac:dyDescent="0.25">
      <c r="A119" s="182" t="s">
        <v>16</v>
      </c>
      <c r="B119" s="183">
        <v>45243.748611111114</v>
      </c>
      <c r="C119" s="183">
        <v>45244.013194444444</v>
      </c>
      <c r="D119" s="113">
        <f>IF(punch[[#This Row],[Time Out]]="", "-", punch[[#This Row],[Time Out]]-punch[[#This Row],[Time In]])</f>
        <v>0.26458333332993789</v>
      </c>
      <c r="E119" s="178">
        <f>IF(punch[[#This Row],[Time In]]="", "-", WEEKNUM(punch[[#This Row],[Time In]],15))</f>
        <v>46</v>
      </c>
      <c r="F119" s="114" cm="1">
        <f t="array" ref="F119">getWeekTotalHours(punch[[#This Row],[Artist]], punch[[#This Row],[WeekNum]])</f>
        <v>2.5250000000087311</v>
      </c>
      <c r="G119" s="226"/>
    </row>
    <row r="120" spans="1:8" ht="23.25" customHeight="1" x14ac:dyDescent="0.25">
      <c r="A120" s="182" t="s">
        <v>18</v>
      </c>
      <c r="B120" s="183">
        <v>45243.729166666664</v>
      </c>
      <c r="C120" s="183">
        <v>45243.909722222219</v>
      </c>
      <c r="D120" s="113">
        <f>IF(punch[[#This Row],[Time Out]]="", "-", punch[[#This Row],[Time Out]]-punch[[#This Row],[Time In]])</f>
        <v>0.18055555555474712</v>
      </c>
      <c r="E120" s="178">
        <f>IF(punch[[#This Row],[Time In]]="", "-", WEEKNUM(punch[[#This Row],[Time In]],15))</f>
        <v>46</v>
      </c>
      <c r="F120" s="114" cm="1">
        <f t="array" ref="F120">getWeekTotalHours(punch[[#This Row],[Artist]], punch[[#This Row],[WeekNum]])</f>
        <v>2.4083333333328483</v>
      </c>
      <c r="G120" s="226"/>
    </row>
    <row r="121" spans="1:8" ht="23.25" customHeight="1" x14ac:dyDescent="0.25">
      <c r="A121" s="182" t="s">
        <v>20</v>
      </c>
      <c r="B121" s="183">
        <v>45243.583333333336</v>
      </c>
      <c r="C121" s="183">
        <v>45243.833333333336</v>
      </c>
      <c r="D121" s="113">
        <f>IF(punch[[#This Row],[Time Out]]="", "-", punch[[#This Row],[Time Out]]-punch[[#This Row],[Time In]])</f>
        <v>0.25</v>
      </c>
      <c r="E121" s="178">
        <f>IF(punch[[#This Row],[Time In]]="", "-", WEEKNUM(punch[[#This Row],[Time In]],15))</f>
        <v>46</v>
      </c>
      <c r="F121" s="114" cm="1">
        <f t="array" ref="F121">getWeekTotalHours(punch[[#This Row],[Artist]], punch[[#This Row],[WeekNum]])</f>
        <v>1.6659722222320852</v>
      </c>
      <c r="G121" s="226"/>
      <c r="H121" s="76" t="s">
        <v>5</v>
      </c>
    </row>
    <row r="122" spans="1:8" ht="23.25" customHeight="1" x14ac:dyDescent="0.25">
      <c r="A122" s="182" t="s">
        <v>12</v>
      </c>
      <c r="B122" s="183">
        <v>45244.345833333333</v>
      </c>
      <c r="C122" s="183">
        <v>45244.538888888892</v>
      </c>
      <c r="D122" s="113">
        <f>IF(punch[[#This Row],[Time Out]]="", "-", punch[[#This Row],[Time Out]]-punch[[#This Row],[Time In]])</f>
        <v>0.19305555555911269</v>
      </c>
      <c r="E122" s="178">
        <f>IF(punch[[#This Row],[Time In]]="", "-", WEEKNUM(punch[[#This Row],[Time In]],15))</f>
        <v>46</v>
      </c>
      <c r="F122" s="114" cm="1">
        <f t="array" ref="F122">getWeekTotalHours(punch[[#This Row],[Artist]], punch[[#This Row],[WeekNum]])</f>
        <v>1.5416666666715173</v>
      </c>
      <c r="G122" s="226"/>
    </row>
    <row r="123" spans="1:8" ht="23.25" customHeight="1" x14ac:dyDescent="0.25">
      <c r="A123" s="182" t="s">
        <v>18</v>
      </c>
      <c r="B123" s="183">
        <v>45244.359027777777</v>
      </c>
      <c r="C123" s="183">
        <v>45244.756249999999</v>
      </c>
      <c r="D123" s="113">
        <f>IF(punch[[#This Row],[Time Out]]="", "-", punch[[#This Row],[Time Out]]-punch[[#This Row],[Time In]])</f>
        <v>0.39722222222189885</v>
      </c>
      <c r="E123" s="178">
        <f>IF(punch[[#This Row],[Time In]]="", "-", WEEKNUM(punch[[#This Row],[Time In]],15))</f>
        <v>46</v>
      </c>
      <c r="F123" s="114" cm="1">
        <f t="array" ref="F123">getWeekTotalHours(punch[[#This Row],[Artist]], punch[[#This Row],[WeekNum]])</f>
        <v>2.4083333333328483</v>
      </c>
      <c r="G123" s="226"/>
    </row>
    <row r="124" spans="1:8" ht="23.25" customHeight="1" x14ac:dyDescent="0.25">
      <c r="A124" s="182" t="s">
        <v>16</v>
      </c>
      <c r="B124" s="183">
        <v>45244.416666666664</v>
      </c>
      <c r="C124" s="183">
        <v>45244.739583333336</v>
      </c>
      <c r="D124" s="113">
        <f>IF(punch[[#This Row],[Time Out]]="", "-", punch[[#This Row],[Time Out]]-punch[[#This Row],[Time In]])</f>
        <v>0.32291666667151731</v>
      </c>
      <c r="E124" s="178">
        <f>IF(punch[[#This Row],[Time In]]="", "-", WEEKNUM(punch[[#This Row],[Time In]],15))</f>
        <v>46</v>
      </c>
      <c r="F124" s="114" cm="1">
        <f t="array" ref="F124">getWeekTotalHours(punch[[#This Row],[Artist]], punch[[#This Row],[WeekNum]])</f>
        <v>2.5250000000087311</v>
      </c>
      <c r="G124" s="226"/>
    </row>
    <row r="125" spans="1:8" ht="23.25" customHeight="1" x14ac:dyDescent="0.25">
      <c r="A125" s="182" t="s">
        <v>12</v>
      </c>
      <c r="B125" s="183">
        <v>45244.856944444444</v>
      </c>
      <c r="C125" s="183">
        <v>45244.996527777781</v>
      </c>
      <c r="D125" s="113">
        <f>IF(punch[[#This Row],[Time Out]]="", "-", punch[[#This Row],[Time Out]]-punch[[#This Row],[Time In]])</f>
        <v>0.13958333333721384</v>
      </c>
      <c r="E125" s="178">
        <f>IF(punch[[#This Row],[Time In]]="", "-", WEEKNUM(punch[[#This Row],[Time In]],15))</f>
        <v>46</v>
      </c>
      <c r="F125" s="114" cm="1">
        <f t="array" ref="F125">getWeekTotalHours(punch[[#This Row],[Artist]], punch[[#This Row],[WeekNum]])</f>
        <v>1.5416666666715173</v>
      </c>
      <c r="G125" s="226"/>
    </row>
    <row r="126" spans="1:8" ht="23.25" customHeight="1" x14ac:dyDescent="0.25">
      <c r="A126" s="182" t="s">
        <v>20</v>
      </c>
      <c r="B126" s="183">
        <v>45244.5</v>
      </c>
      <c r="C126" s="183">
        <v>45244.583333333336</v>
      </c>
      <c r="D126" s="113">
        <f>IF(punch[[#This Row],[Time Out]]="", "-", punch[[#This Row],[Time Out]]-punch[[#This Row],[Time In]])</f>
        <v>8.3333333335758653E-2</v>
      </c>
      <c r="E126" s="178">
        <f>IF(punch[[#This Row],[Time In]]="", "-", WEEKNUM(punch[[#This Row],[Time In]],15))</f>
        <v>46</v>
      </c>
      <c r="F126" s="114" cm="1">
        <f t="array" ref="F126">getWeekTotalHours(punch[[#This Row],[Artist]], punch[[#This Row],[WeekNum]])</f>
        <v>1.6659722222320852</v>
      </c>
      <c r="G126" s="226"/>
    </row>
    <row r="127" spans="1:8" ht="23.25" customHeight="1" x14ac:dyDescent="0.25">
      <c r="A127" s="182" t="s">
        <v>16</v>
      </c>
      <c r="B127" s="183">
        <v>45244.833333333336</v>
      </c>
      <c r="C127" s="183">
        <v>45244.99722222222</v>
      </c>
      <c r="D127" s="113">
        <f>IF(punch[[#This Row],[Time Out]]="", "-", punch[[#This Row],[Time Out]]-punch[[#This Row],[Time In]])</f>
        <v>0.163888888884685</v>
      </c>
      <c r="E127" s="178">
        <f>IF(punch[[#This Row],[Time In]]="", "-", WEEKNUM(punch[[#This Row],[Time In]],15))</f>
        <v>46</v>
      </c>
      <c r="F127" s="114" cm="1">
        <f t="array" ref="F127">getWeekTotalHours(punch[[#This Row],[Artist]], punch[[#This Row],[WeekNum]])</f>
        <v>2.5250000000087311</v>
      </c>
      <c r="G127" s="226"/>
    </row>
    <row r="128" spans="1:8" ht="23.25" customHeight="1" x14ac:dyDescent="0.25">
      <c r="A128" s="182" t="s">
        <v>20</v>
      </c>
      <c r="B128" s="183">
        <v>45244.833333333336</v>
      </c>
      <c r="C128" s="183">
        <v>45244.999305555553</v>
      </c>
      <c r="D128" s="113">
        <f>IF(punch[[#This Row],[Time Out]]="", "-", punch[[#This Row],[Time Out]]-punch[[#This Row],[Time In]])</f>
        <v>0.16597222221753327</v>
      </c>
      <c r="E128" s="178">
        <f>IF(punch[[#This Row],[Time In]]="", "-", WEEKNUM(punch[[#This Row],[Time In]],15))</f>
        <v>46</v>
      </c>
      <c r="F128" s="114" cm="1">
        <f t="array" ref="F128">getWeekTotalHours(punch[[#This Row],[Artist]], punch[[#This Row],[WeekNum]])</f>
        <v>1.6659722222320852</v>
      </c>
      <c r="G128" s="226"/>
    </row>
    <row r="129" spans="1:7" ht="23.25" customHeight="1" x14ac:dyDescent="0.25">
      <c r="A129" s="182" t="s">
        <v>18</v>
      </c>
      <c r="B129" s="183">
        <v>45245.328472222223</v>
      </c>
      <c r="C129" s="183">
        <v>45245.724305555559</v>
      </c>
      <c r="D129" s="113">
        <f>IF(punch[[#This Row],[Time Out]]="", "-", punch[[#This Row],[Time Out]]-punch[[#This Row],[Time In]])</f>
        <v>0.39583333333575865</v>
      </c>
      <c r="E129" s="178">
        <f>IF(punch[[#This Row],[Time In]]="", "-", WEEKNUM(punch[[#This Row],[Time In]],15))</f>
        <v>46</v>
      </c>
      <c r="F129" s="114" cm="1">
        <f t="array" ref="F129">getWeekTotalHours(punch[[#This Row],[Artist]], punch[[#This Row],[WeekNum]])</f>
        <v>2.4083333333328483</v>
      </c>
      <c r="G129" s="226"/>
    </row>
    <row r="130" spans="1:7" ht="23.25" customHeight="1" x14ac:dyDescent="0.25">
      <c r="A130" s="182" t="s">
        <v>12</v>
      </c>
      <c r="B130" s="183">
        <v>45245.375</v>
      </c>
      <c r="C130" s="183">
        <v>45245.581250000003</v>
      </c>
      <c r="D130" s="113">
        <f>IF(punch[[#This Row],[Time Out]]="", "-", punch[[#This Row],[Time Out]]-punch[[#This Row],[Time In]])</f>
        <v>0.20625000000291038</v>
      </c>
      <c r="E130" s="178">
        <f>IF(punch[[#This Row],[Time In]]="", "-", WEEKNUM(punch[[#This Row],[Time In]],15))</f>
        <v>46</v>
      </c>
      <c r="F130" s="114" cm="1">
        <f t="array" ref="F130">getWeekTotalHours(punch[[#This Row],[Artist]], punch[[#This Row],[WeekNum]])</f>
        <v>1.5416666666715173</v>
      </c>
      <c r="G130" s="226"/>
    </row>
    <row r="131" spans="1:7" ht="23.25" customHeight="1" x14ac:dyDescent="0.25">
      <c r="A131" s="182" t="s">
        <v>14</v>
      </c>
      <c r="B131" s="183">
        <v>45244.625</v>
      </c>
      <c r="C131" s="183">
        <v>45244.729166666664</v>
      </c>
      <c r="D131" s="113">
        <f>IF(punch[[#This Row],[Time Out]]="", "-", punch[[#This Row],[Time Out]]-punch[[#This Row],[Time In]])</f>
        <v>0.10416666666424135</v>
      </c>
      <c r="E131" s="178">
        <f>IF(punch[[#This Row],[Time In]]="", "-", WEEKNUM(punch[[#This Row],[Time In]],15))</f>
        <v>46</v>
      </c>
      <c r="F131" s="114" cm="1">
        <f t="array" ref="F131">getWeekTotalHours(punch[[#This Row],[Artist]], punch[[#This Row],[WeekNum]])</f>
        <v>1.2083333333212067</v>
      </c>
      <c r="G131" s="226"/>
    </row>
    <row r="132" spans="1:7" ht="23.25" customHeight="1" x14ac:dyDescent="0.25">
      <c r="A132" s="182" t="s">
        <v>14</v>
      </c>
      <c r="B132" s="183">
        <v>45245.413194444445</v>
      </c>
      <c r="C132" s="183">
        <v>45245.457638888889</v>
      </c>
      <c r="D132" s="113">
        <f>IF(punch[[#This Row],[Time Out]]="", "-", punch[[#This Row],[Time Out]]-punch[[#This Row],[Time In]])</f>
        <v>4.4444444443797693E-2</v>
      </c>
      <c r="E132" s="178">
        <f>IF(punch[[#This Row],[Time In]]="", "-", WEEKNUM(punch[[#This Row],[Time In]],15))</f>
        <v>46</v>
      </c>
      <c r="F132" s="114" cm="1">
        <f t="array" ref="F132">getWeekTotalHours(punch[[#This Row],[Artist]], punch[[#This Row],[WeekNum]])</f>
        <v>1.2083333333212067</v>
      </c>
      <c r="G132" s="226"/>
    </row>
    <row r="133" spans="1:7" ht="23.25" customHeight="1" x14ac:dyDescent="0.25">
      <c r="A133" s="182" t="s">
        <v>14</v>
      </c>
      <c r="B133" s="183">
        <v>45245.47152777778</v>
      </c>
      <c r="C133" s="183">
        <v>45245.90625</v>
      </c>
      <c r="D133" s="113">
        <f>IF(punch[[#This Row],[Time Out]]="", "-", punch[[#This Row],[Time Out]]-punch[[#This Row],[Time In]])</f>
        <v>0.43472222222044365</v>
      </c>
      <c r="E133" s="178">
        <f>IF(punch[[#This Row],[Time In]]="", "-", WEEKNUM(punch[[#This Row],[Time In]],15))</f>
        <v>46</v>
      </c>
      <c r="F133" s="114" cm="1">
        <f t="array" ref="F133">getWeekTotalHours(punch[[#This Row],[Artist]], punch[[#This Row],[WeekNum]])</f>
        <v>1.2083333333212067</v>
      </c>
      <c r="G133" s="226"/>
    </row>
    <row r="134" spans="1:7" ht="23.25" customHeight="1" x14ac:dyDescent="0.25">
      <c r="A134" s="182" t="s">
        <v>12</v>
      </c>
      <c r="B134" s="183">
        <v>45245.696527777778</v>
      </c>
      <c r="C134" s="183">
        <v>45245.79791666667</v>
      </c>
      <c r="D134" s="113">
        <f>IF(punch[[#This Row],[Time Out]]="", "-", punch[[#This Row],[Time Out]]-punch[[#This Row],[Time In]])</f>
        <v>0.10138888889196096</v>
      </c>
      <c r="E134" s="178">
        <f>IF(punch[[#This Row],[Time In]]="", "-", WEEKNUM(punch[[#This Row],[Time In]],15))</f>
        <v>46</v>
      </c>
      <c r="F134" s="114" cm="1">
        <f t="array" ref="F134">getWeekTotalHours(punch[[#This Row],[Artist]], punch[[#This Row],[WeekNum]])</f>
        <v>1.5416666666715173</v>
      </c>
      <c r="G134" s="226"/>
    </row>
    <row r="135" spans="1:7" ht="23.25" customHeight="1" x14ac:dyDescent="0.25">
      <c r="A135" s="182" t="s">
        <v>18</v>
      </c>
      <c r="B135" s="183">
        <v>45245.818055555559</v>
      </c>
      <c r="C135" s="183">
        <v>45245.988888888889</v>
      </c>
      <c r="D135" s="113">
        <f>IF(punch[[#This Row],[Time Out]]="", "-", punch[[#This Row],[Time Out]]-punch[[#This Row],[Time In]])</f>
        <v>0.17083333332993789</v>
      </c>
      <c r="E135" s="178">
        <f>IF(punch[[#This Row],[Time In]]="", "-", WEEKNUM(punch[[#This Row],[Time In]],15))</f>
        <v>46</v>
      </c>
      <c r="F135" s="114" cm="1">
        <f t="array" ref="F135">getWeekTotalHours(punch[[#This Row],[Artist]], punch[[#This Row],[WeekNum]])</f>
        <v>2.4083333333328483</v>
      </c>
      <c r="G135" s="226"/>
    </row>
    <row r="136" spans="1:7" ht="23.25" customHeight="1" x14ac:dyDescent="0.25">
      <c r="A136" s="182" t="s">
        <v>12</v>
      </c>
      <c r="B136" s="183">
        <v>45245.84097222222</v>
      </c>
      <c r="C136" s="183">
        <v>45245.916666666664</v>
      </c>
      <c r="D136" s="113">
        <f>IF(punch[[#This Row],[Time Out]]="", "-", punch[[#This Row],[Time Out]]-punch[[#This Row],[Time In]])</f>
        <v>7.5694444443797693E-2</v>
      </c>
      <c r="E136" s="178">
        <f>IF(punch[[#This Row],[Time In]]="", "-", WEEKNUM(punch[[#This Row],[Time In]],15))</f>
        <v>46</v>
      </c>
      <c r="F136" s="114" cm="1">
        <f t="array" ref="F136">getWeekTotalHours(punch[[#This Row],[Artist]], punch[[#This Row],[WeekNum]])</f>
        <v>1.5416666666715173</v>
      </c>
      <c r="G136" s="226"/>
    </row>
    <row r="137" spans="1:7" ht="23.25" customHeight="1" x14ac:dyDescent="0.25">
      <c r="A137" s="182" t="s">
        <v>16</v>
      </c>
      <c r="B137" s="183">
        <v>45245.520833333336</v>
      </c>
      <c r="C137" s="183">
        <v>45245.988888888889</v>
      </c>
      <c r="D137" s="113">
        <f>IF(punch[[#This Row],[Time Out]]="", "-", punch[[#This Row],[Time Out]]-punch[[#This Row],[Time In]])</f>
        <v>0.46805555555329192</v>
      </c>
      <c r="E137" s="178">
        <f>IF(punch[[#This Row],[Time In]]="", "-", WEEKNUM(punch[[#This Row],[Time In]],15))</f>
        <v>46</v>
      </c>
      <c r="F137" s="114" cm="1">
        <f t="array" ref="F137">getWeekTotalHours(punch[[#This Row],[Artist]], punch[[#This Row],[WeekNum]])</f>
        <v>2.5250000000087311</v>
      </c>
      <c r="G137" s="226"/>
    </row>
    <row r="138" spans="1:7" ht="23.25" customHeight="1" x14ac:dyDescent="0.25">
      <c r="A138" s="182" t="s">
        <v>18</v>
      </c>
      <c r="B138" s="183">
        <v>45246.36041666667</v>
      </c>
      <c r="C138" s="183">
        <v>45246.398611111108</v>
      </c>
      <c r="D138" s="113">
        <f>IF(punch[[#This Row],[Time Out]]="", "-", punch[[#This Row],[Time Out]]-punch[[#This Row],[Time In]])</f>
        <v>3.8194444437976927E-2</v>
      </c>
      <c r="E138" s="178">
        <f>IF(punch[[#This Row],[Time In]]="", "-", WEEKNUM(punch[[#This Row],[Time In]],15))</f>
        <v>46</v>
      </c>
      <c r="F138" s="114" cm="1">
        <f t="array" ref="F138">getWeekTotalHours(punch[[#This Row],[Artist]], punch[[#This Row],[WeekNum]])</f>
        <v>2.4083333333328483</v>
      </c>
      <c r="G138" s="226"/>
    </row>
    <row r="139" spans="1:7" ht="23.25" customHeight="1" x14ac:dyDescent="0.25">
      <c r="A139" s="182" t="s">
        <v>14</v>
      </c>
      <c r="B139" s="183">
        <v>45246.397916666669</v>
      </c>
      <c r="C139" s="183">
        <v>45246.447916666664</v>
      </c>
      <c r="D139" s="113">
        <f>IF(punch[[#This Row],[Time Out]]="", "-", punch[[#This Row],[Time Out]]-punch[[#This Row],[Time In]])</f>
        <v>4.9999999995634425E-2</v>
      </c>
      <c r="E139" s="178">
        <f>IF(punch[[#This Row],[Time In]]="", "-", WEEKNUM(punch[[#This Row],[Time In]],15))</f>
        <v>46</v>
      </c>
      <c r="F139" s="114" cm="1">
        <f t="array" ref="F139">getWeekTotalHours(punch[[#This Row],[Artist]], punch[[#This Row],[WeekNum]])</f>
        <v>1.2083333333212067</v>
      </c>
      <c r="G139" s="226"/>
    </row>
    <row r="140" spans="1:7" ht="23.25" customHeight="1" x14ac:dyDescent="0.25">
      <c r="A140" s="182" t="s">
        <v>16</v>
      </c>
      <c r="B140" s="183">
        <v>45247.479166666664</v>
      </c>
      <c r="C140" s="183">
        <v>45247.75</v>
      </c>
      <c r="D140" s="113">
        <f>IF(punch[[#This Row],[Time Out]]="", "-", punch[[#This Row],[Time Out]]-punch[[#This Row],[Time In]])</f>
        <v>0.27083333333575865</v>
      </c>
      <c r="E140" s="178">
        <f>IF(punch[[#This Row],[Time In]]="", "-", WEEKNUM(punch[[#This Row],[Time In]],15))</f>
        <v>47</v>
      </c>
      <c r="F140" s="114" cm="1">
        <f t="array" ref="F140">getWeekTotalHours(punch[[#This Row],[Artist]], punch[[#This Row],[WeekNum]])</f>
        <v>2.2013888888905058</v>
      </c>
      <c r="G140" s="226"/>
    </row>
    <row r="141" spans="1:7" ht="23.25" customHeight="1" x14ac:dyDescent="0.25">
      <c r="A141" s="182" t="s">
        <v>16</v>
      </c>
      <c r="B141" s="183">
        <v>45248.443749999999</v>
      </c>
      <c r="C141" s="183">
        <v>45248.677083333336</v>
      </c>
      <c r="D141" s="113">
        <f>IF(punch[[#This Row],[Time Out]]="", "-", punch[[#This Row],[Time Out]]-punch[[#This Row],[Time In]])</f>
        <v>0.23333333333721384</v>
      </c>
      <c r="E141" s="178">
        <f>IF(punch[[#This Row],[Time In]]="", "-", WEEKNUM(punch[[#This Row],[Time In]],15))</f>
        <v>47</v>
      </c>
      <c r="F141" s="114" cm="1">
        <f t="array" ref="F141">getWeekTotalHours(punch[[#This Row],[Artist]], punch[[#This Row],[WeekNum]])</f>
        <v>2.2013888888905058</v>
      </c>
      <c r="G141" s="226"/>
    </row>
    <row r="142" spans="1:7" ht="23.25" customHeight="1" x14ac:dyDescent="0.25">
      <c r="A142" s="182" t="s">
        <v>18</v>
      </c>
      <c r="B142" s="183">
        <v>45248.6875</v>
      </c>
      <c r="C142" s="183">
        <v>45248.746527777781</v>
      </c>
      <c r="D142" s="113">
        <f>IF(punch[[#This Row],[Time Out]]="", "-", punch[[#This Row],[Time Out]]-punch[[#This Row],[Time In]])</f>
        <v>5.9027777781011537E-2</v>
      </c>
      <c r="E142" s="178">
        <f>IF(punch[[#This Row],[Time In]]="", "-", WEEKNUM(punch[[#This Row],[Time In]],15))</f>
        <v>47</v>
      </c>
      <c r="F142" s="114" cm="1">
        <f t="array" ref="F142">getWeekTotalHours(punch[[#This Row],[Artist]], punch[[#This Row],[WeekNum]])</f>
        <v>1.0125000000043656</v>
      </c>
      <c r="G142" s="226"/>
    </row>
    <row r="143" spans="1:7" ht="23.25" customHeight="1" x14ac:dyDescent="0.25">
      <c r="A143" s="182" t="s">
        <v>12</v>
      </c>
      <c r="B143" s="183">
        <v>45248.6875</v>
      </c>
      <c r="C143" s="183">
        <v>45248.729166666664</v>
      </c>
      <c r="D143" s="113">
        <f>IF(punch[[#This Row],[Time Out]]="", "-", punch[[#This Row],[Time Out]]-punch[[#This Row],[Time In]])</f>
        <v>4.1666666664241347E-2</v>
      </c>
      <c r="E143" s="178">
        <f>IF(punch[[#This Row],[Time In]]="", "-", WEEKNUM(punch[[#This Row],[Time In]],15))</f>
        <v>47</v>
      </c>
      <c r="F143" s="114" cm="1">
        <f t="array" ref="F143">getWeekTotalHours(punch[[#This Row],[Artist]], punch[[#This Row],[WeekNum]])</f>
        <v>0.6784722222291748</v>
      </c>
      <c r="G143" s="226"/>
    </row>
    <row r="144" spans="1:7" ht="23.25" customHeight="1" x14ac:dyDescent="0.25">
      <c r="A144" s="182" t="s">
        <v>20</v>
      </c>
      <c r="B144" s="183">
        <v>45245.75</v>
      </c>
      <c r="C144" s="183">
        <v>45245.958333333336</v>
      </c>
      <c r="D144" s="113">
        <f>IF(punch[[#This Row],[Time Out]]="", "-", punch[[#This Row],[Time Out]]-punch[[#This Row],[Time In]])</f>
        <v>0.20833333333575865</v>
      </c>
      <c r="E144" s="178">
        <f>IF(punch[[#This Row],[Time In]]="", "-", WEEKNUM(punch[[#This Row],[Time In]],15))</f>
        <v>46</v>
      </c>
      <c r="F144" s="114" cm="1">
        <f t="array" ref="F144">getWeekTotalHours(punch[[#This Row],[Artist]], punch[[#This Row],[WeekNum]])</f>
        <v>1.6659722222320852</v>
      </c>
      <c r="G144" s="226"/>
    </row>
    <row r="145" spans="1:7" ht="23.25" customHeight="1" x14ac:dyDescent="0.25">
      <c r="A145" s="182" t="s">
        <v>20</v>
      </c>
      <c r="B145" s="183">
        <v>45246.5</v>
      </c>
      <c r="C145" s="183">
        <v>45246.625</v>
      </c>
      <c r="D145" s="113">
        <f>IF(punch[[#This Row],[Time Out]]="", "-", punch[[#This Row],[Time Out]]-punch[[#This Row],[Time In]])</f>
        <v>0.125</v>
      </c>
      <c r="E145" s="178">
        <f>IF(punch[[#This Row],[Time In]]="", "-", WEEKNUM(punch[[#This Row],[Time In]],15))</f>
        <v>46</v>
      </c>
      <c r="F145" s="114" cm="1">
        <f t="array" ref="F145">getWeekTotalHours(punch[[#This Row],[Artist]], punch[[#This Row],[WeekNum]])</f>
        <v>1.6659722222320852</v>
      </c>
      <c r="G145" s="226"/>
    </row>
    <row r="146" spans="1:7" ht="23.25" customHeight="1" x14ac:dyDescent="0.25">
      <c r="A146" s="182" t="s">
        <v>18</v>
      </c>
      <c r="B146" s="183">
        <v>45250.40902777778</v>
      </c>
      <c r="C146" s="183">
        <v>45250.567361111112</v>
      </c>
      <c r="D146" s="113">
        <f>IF(punch[[#This Row],[Time Out]]="", "-", punch[[#This Row],[Time Out]]-punch[[#This Row],[Time In]])</f>
        <v>0.15833333333284827</v>
      </c>
      <c r="E146" s="178">
        <f>IF(punch[[#This Row],[Time In]]="", "-", WEEKNUM(punch[[#This Row],[Time In]],15))</f>
        <v>47</v>
      </c>
      <c r="F146" s="114" cm="1">
        <f t="array" ref="F146">getWeekTotalHours(punch[[#This Row],[Artist]], punch[[#This Row],[WeekNum]])</f>
        <v>1.0125000000043656</v>
      </c>
      <c r="G146" s="226"/>
    </row>
    <row r="147" spans="1:7" ht="23.25" customHeight="1" x14ac:dyDescent="0.25">
      <c r="A147" s="182" t="s">
        <v>14</v>
      </c>
      <c r="B147" s="183">
        <v>45250.5</v>
      </c>
      <c r="C147" s="183">
        <v>45250.714583333334</v>
      </c>
      <c r="D147" s="113">
        <f>IF(punch[[#This Row],[Time Out]]="", "-", punch[[#This Row],[Time Out]]-punch[[#This Row],[Time In]])</f>
        <v>0.21458333333430346</v>
      </c>
      <c r="E147" s="178">
        <f>IF(punch[[#This Row],[Time In]]="", "-", WEEKNUM(punch[[#This Row],[Time In]],15))</f>
        <v>47</v>
      </c>
      <c r="F147" s="114" cm="1">
        <f t="array" ref="F147">getWeekTotalHours(punch[[#This Row],[Artist]], punch[[#This Row],[WeekNum]])</f>
        <v>0.93194444444088731</v>
      </c>
      <c r="G147" s="226"/>
    </row>
    <row r="148" spans="1:7" ht="23.25" customHeight="1" x14ac:dyDescent="0.25">
      <c r="A148" s="182" t="s">
        <v>18</v>
      </c>
      <c r="B148" s="183">
        <v>45250.791666666664</v>
      </c>
      <c r="C148" s="183">
        <v>45250.895833333336</v>
      </c>
      <c r="D148" s="113">
        <f>IF(punch[[#This Row],[Time Out]]="", "-", punch[[#This Row],[Time Out]]-punch[[#This Row],[Time In]])</f>
        <v>0.10416666667151731</v>
      </c>
      <c r="E148" s="178">
        <f>IF(punch[[#This Row],[Time In]]="", "-", WEEKNUM(punch[[#This Row],[Time In]],15))</f>
        <v>47</v>
      </c>
      <c r="F148" s="114" cm="1">
        <f t="array" ref="F148">getWeekTotalHours(punch[[#This Row],[Artist]], punch[[#This Row],[WeekNum]])</f>
        <v>1.0125000000043656</v>
      </c>
      <c r="G148" s="226"/>
    </row>
    <row r="149" spans="1:7" ht="23.25" customHeight="1" x14ac:dyDescent="0.25">
      <c r="A149" s="182" t="s">
        <v>12</v>
      </c>
      <c r="B149" s="183">
        <v>45250.791666666664</v>
      </c>
      <c r="C149" s="183">
        <v>45250.895833333336</v>
      </c>
      <c r="D149" s="113">
        <f>IF(punch[[#This Row],[Time Out]]="", "-", punch[[#This Row],[Time Out]]-punch[[#This Row],[Time In]])</f>
        <v>0.10416666667151731</v>
      </c>
      <c r="E149" s="178">
        <f>IF(punch[[#This Row],[Time In]]="", "-", WEEKNUM(punch[[#This Row],[Time In]],15))</f>
        <v>47</v>
      </c>
      <c r="F149" s="114" cm="1">
        <f t="array" ref="F149">getWeekTotalHours(punch[[#This Row],[Artist]], punch[[#This Row],[WeekNum]])</f>
        <v>0.6784722222291748</v>
      </c>
      <c r="G149" s="226"/>
    </row>
    <row r="150" spans="1:7" ht="23.25" customHeight="1" x14ac:dyDescent="0.25">
      <c r="A150" s="182" t="s">
        <v>16</v>
      </c>
      <c r="B150" s="183">
        <v>45249.5</v>
      </c>
      <c r="C150" s="183">
        <v>45249.916666666664</v>
      </c>
      <c r="D150" s="113">
        <f>IF(punch[[#This Row],[Time Out]]="", "-", punch[[#This Row],[Time Out]]-punch[[#This Row],[Time In]])</f>
        <v>0.41666666666424135</v>
      </c>
      <c r="E150" s="178">
        <f>IF(punch[[#This Row],[Time In]]="", "-", WEEKNUM(punch[[#This Row],[Time In]],15))</f>
        <v>47</v>
      </c>
      <c r="F150" s="114" cm="1">
        <f t="array" ref="F150">getWeekTotalHours(punch[[#This Row],[Artist]], punch[[#This Row],[WeekNum]])</f>
        <v>2.2013888888905058</v>
      </c>
      <c r="G150" s="226"/>
    </row>
    <row r="151" spans="1:7" ht="23.25" customHeight="1" x14ac:dyDescent="0.25">
      <c r="A151" s="182" t="s">
        <v>16</v>
      </c>
      <c r="B151" s="183">
        <v>45250.447916666664</v>
      </c>
      <c r="C151" s="183">
        <v>45250.904166666667</v>
      </c>
      <c r="D151" s="113">
        <f>IF(punch[[#This Row],[Time Out]]="", "-", punch[[#This Row],[Time Out]]-punch[[#This Row],[Time In]])</f>
        <v>0.45625000000291038</v>
      </c>
      <c r="E151" s="178">
        <f>IF(punch[[#This Row],[Time In]]="", "-", WEEKNUM(punch[[#This Row],[Time In]],15))</f>
        <v>47</v>
      </c>
      <c r="F151" s="114" cm="1">
        <f t="array" ref="F151">getWeekTotalHours(punch[[#This Row],[Artist]], punch[[#This Row],[WeekNum]])</f>
        <v>2.2013888888905058</v>
      </c>
      <c r="G151" s="226"/>
    </row>
    <row r="152" spans="1:7" ht="23.25" customHeight="1" x14ac:dyDescent="0.25">
      <c r="A152" s="182" t="s">
        <v>12</v>
      </c>
      <c r="B152" s="183">
        <v>45251.355555555558</v>
      </c>
      <c r="C152" s="183">
        <v>45251.484722222223</v>
      </c>
      <c r="D152" s="113">
        <f>IF(punch[[#This Row],[Time Out]]="", "-", punch[[#This Row],[Time Out]]-punch[[#This Row],[Time In]])</f>
        <v>0.12916666666569654</v>
      </c>
      <c r="E152" s="178">
        <f>IF(punch[[#This Row],[Time In]]="", "-", WEEKNUM(punch[[#This Row],[Time In]],15))</f>
        <v>47</v>
      </c>
      <c r="F152" s="114" cm="1">
        <f t="array" ref="F152">getWeekTotalHours(punch[[#This Row],[Artist]], punch[[#This Row],[WeekNum]])</f>
        <v>0.6784722222291748</v>
      </c>
      <c r="G152" s="226"/>
    </row>
    <row r="153" spans="1:7" ht="23.25" customHeight="1" x14ac:dyDescent="0.25">
      <c r="A153" s="182" t="s">
        <v>16</v>
      </c>
      <c r="B153" s="183">
        <v>45251.451388888891</v>
      </c>
      <c r="C153" s="183">
        <v>45251.5</v>
      </c>
      <c r="D153" s="113">
        <f>IF(punch[[#This Row],[Time Out]]="", "-", punch[[#This Row],[Time Out]]-punch[[#This Row],[Time In]])</f>
        <v>4.8611111109494232E-2</v>
      </c>
      <c r="E153" s="178">
        <f>IF(punch[[#This Row],[Time In]]="", "-", WEEKNUM(punch[[#This Row],[Time In]],15))</f>
        <v>47</v>
      </c>
      <c r="F153" s="114" cm="1">
        <f t="array" ref="F153">getWeekTotalHours(punch[[#This Row],[Artist]], punch[[#This Row],[WeekNum]])</f>
        <v>2.2013888888905058</v>
      </c>
      <c r="G153" s="226"/>
    </row>
    <row r="154" spans="1:7" ht="23.25" customHeight="1" x14ac:dyDescent="0.25">
      <c r="A154" s="182" t="s">
        <v>18</v>
      </c>
      <c r="B154" s="183">
        <v>45251.378472222219</v>
      </c>
      <c r="C154" s="183">
        <v>45251.484027777777</v>
      </c>
      <c r="D154" s="113">
        <f>IF(punch[[#This Row],[Time Out]]="", "-", punch[[#This Row],[Time Out]]-punch[[#This Row],[Time In]])</f>
        <v>0.1055555555576575</v>
      </c>
      <c r="E154" s="178">
        <f>IF(punch[[#This Row],[Time In]]="", "-", WEEKNUM(punch[[#This Row],[Time In]],15))</f>
        <v>47</v>
      </c>
      <c r="F154" s="114" cm="1">
        <f t="array" ref="F154">getWeekTotalHours(punch[[#This Row],[Artist]], punch[[#This Row],[WeekNum]])</f>
        <v>1.0125000000043656</v>
      </c>
      <c r="G154" s="226"/>
    </row>
    <row r="155" spans="1:7" ht="23.25" customHeight="1" x14ac:dyDescent="0.25">
      <c r="A155" s="182" t="s">
        <v>14</v>
      </c>
      <c r="B155" s="183">
        <v>45251.572222222225</v>
      </c>
      <c r="C155" s="183">
        <v>45251.740277777775</v>
      </c>
      <c r="D155" s="113">
        <f>IF(punch[[#This Row],[Time Out]]="", "-", punch[[#This Row],[Time Out]]-punch[[#This Row],[Time In]])</f>
        <v>0.16805555555038154</v>
      </c>
      <c r="E155" s="178">
        <f>IF(punch[[#This Row],[Time In]]="", "-", WEEKNUM(punch[[#This Row],[Time In]],15))</f>
        <v>47</v>
      </c>
      <c r="F155" s="114" cm="1">
        <f t="array" ref="F155">getWeekTotalHours(punch[[#This Row],[Artist]], punch[[#This Row],[WeekNum]])</f>
        <v>0.93194444444088731</v>
      </c>
      <c r="G155" s="226"/>
    </row>
    <row r="156" spans="1:7" ht="23.25" customHeight="1" x14ac:dyDescent="0.25">
      <c r="A156" s="182" t="s">
        <v>12</v>
      </c>
      <c r="B156" s="183">
        <v>45251.5625</v>
      </c>
      <c r="C156" s="183">
        <v>45251.688194444447</v>
      </c>
      <c r="D156" s="113">
        <f>IF(punch[[#This Row],[Time Out]]="", "-", punch[[#This Row],[Time Out]]-punch[[#This Row],[Time In]])</f>
        <v>0.12569444444670808</v>
      </c>
      <c r="E156" s="178">
        <f>IF(punch[[#This Row],[Time In]]="", "-", WEEKNUM(punch[[#This Row],[Time In]],15))</f>
        <v>47</v>
      </c>
      <c r="F156" s="114" cm="1">
        <f t="array" ref="F156">getWeekTotalHours(punch[[#This Row],[Artist]], punch[[#This Row],[WeekNum]])</f>
        <v>0.6784722222291748</v>
      </c>
      <c r="G156" s="226"/>
    </row>
    <row r="157" spans="1:7" ht="23.25" customHeight="1" x14ac:dyDescent="0.25">
      <c r="A157" s="182" t="s">
        <v>16</v>
      </c>
      <c r="B157" s="183">
        <v>45251.65</v>
      </c>
      <c r="C157" s="183">
        <v>45251.830555555556</v>
      </c>
      <c r="D157" s="113">
        <f>IF(punch[[#This Row],[Time Out]]="", "-", punch[[#This Row],[Time Out]]-punch[[#This Row],[Time In]])</f>
        <v>0.18055555555474712</v>
      </c>
      <c r="E157" s="178">
        <f>IF(punch[[#This Row],[Time In]]="", "-", WEEKNUM(punch[[#This Row],[Time In]],15))</f>
        <v>47</v>
      </c>
      <c r="F157" s="114" cm="1">
        <f t="array" ref="F157">getWeekTotalHours(punch[[#This Row],[Artist]], punch[[#This Row],[WeekNum]])</f>
        <v>2.2013888888905058</v>
      </c>
      <c r="G157" s="226"/>
    </row>
    <row r="158" spans="1:7" ht="23.25" customHeight="1" x14ac:dyDescent="0.25">
      <c r="A158" s="182" t="s">
        <v>18</v>
      </c>
      <c r="B158" s="183">
        <v>45251.541666666664</v>
      </c>
      <c r="C158" s="183">
        <v>45251.692361111112</v>
      </c>
      <c r="D158" s="113">
        <f>IF(punch[[#This Row],[Time Out]]="", "-", punch[[#This Row],[Time Out]]-punch[[#This Row],[Time In]])</f>
        <v>0.15069444444816327</v>
      </c>
      <c r="E158" s="178">
        <f>IF(punch[[#This Row],[Time In]]="", "-", WEEKNUM(punch[[#This Row],[Time In]],15))</f>
        <v>47</v>
      </c>
      <c r="F158" s="114" cm="1">
        <f t="array" ref="F158">getWeekTotalHours(punch[[#This Row],[Artist]], punch[[#This Row],[WeekNum]])</f>
        <v>1.0125000000043656</v>
      </c>
      <c r="G158" s="226"/>
    </row>
    <row r="159" spans="1:7" ht="23.25" customHeight="1" x14ac:dyDescent="0.25">
      <c r="A159" s="182" t="s">
        <v>18</v>
      </c>
      <c r="B159" s="183">
        <v>45252.354166666664</v>
      </c>
      <c r="C159" s="183">
        <v>45252.539583333331</v>
      </c>
      <c r="D159" s="113">
        <f>IF(punch[[#This Row],[Time Out]]="", "-", punch[[#This Row],[Time Out]]-punch[[#This Row],[Time In]])</f>
        <v>0.18541666666715173</v>
      </c>
      <c r="E159" s="178">
        <f>IF(punch[[#This Row],[Time In]]="", "-", WEEKNUM(punch[[#This Row],[Time In]],15))</f>
        <v>47</v>
      </c>
      <c r="F159" s="114" cm="1">
        <f t="array" ref="F159">getWeekTotalHours(punch[[#This Row],[Artist]], punch[[#This Row],[WeekNum]])</f>
        <v>1.0125000000043656</v>
      </c>
      <c r="G159" s="226"/>
    </row>
    <row r="160" spans="1:7" ht="23.25" customHeight="1" x14ac:dyDescent="0.25">
      <c r="A160" s="182" t="s">
        <v>12</v>
      </c>
      <c r="B160" s="183">
        <v>45252.430555555555</v>
      </c>
      <c r="C160" s="183">
        <v>45252.708333333336</v>
      </c>
      <c r="D160" s="113">
        <f>IF(punch[[#This Row],[Time Out]]="", "-", punch[[#This Row],[Time Out]]-punch[[#This Row],[Time In]])</f>
        <v>0.27777777778101154</v>
      </c>
      <c r="E160" s="178">
        <f>IF(punch[[#This Row],[Time In]]="", "-", WEEKNUM(punch[[#This Row],[Time In]],15))</f>
        <v>47</v>
      </c>
      <c r="F160" s="114" cm="1">
        <f t="array" ref="F160">getWeekTotalHours(punch[[#This Row],[Artist]], punch[[#This Row],[WeekNum]])</f>
        <v>0.6784722222291748</v>
      </c>
      <c r="G160" s="226"/>
    </row>
    <row r="161" spans="1:7" ht="23.25" customHeight="1" x14ac:dyDescent="0.25">
      <c r="A161" s="182" t="s">
        <v>20</v>
      </c>
      <c r="B161" s="183">
        <v>45252.4375</v>
      </c>
      <c r="C161" s="183">
        <v>45252.6875</v>
      </c>
      <c r="D161" s="113">
        <f>IF(punch[[#This Row],[Time Out]]="", "-", punch[[#This Row],[Time Out]]-punch[[#This Row],[Time In]])</f>
        <v>0.25</v>
      </c>
      <c r="E161" s="178">
        <f>IF(punch[[#This Row],[Time In]]="", "-", WEEKNUM(punch[[#This Row],[Time In]],15))</f>
        <v>47</v>
      </c>
      <c r="F161" s="114" cm="1">
        <f t="array" ref="F161">getWeekTotalHours(punch[[#This Row],[Artist]], punch[[#This Row],[WeekNum]])</f>
        <v>0.8659722222291748</v>
      </c>
      <c r="G161" s="226"/>
    </row>
    <row r="162" spans="1:7" ht="23.25" customHeight="1" x14ac:dyDescent="0.25">
      <c r="A162" s="182" t="s">
        <v>16</v>
      </c>
      <c r="B162" s="183">
        <v>45252.458333333336</v>
      </c>
      <c r="C162" s="183">
        <v>45252.895833333336</v>
      </c>
      <c r="D162" s="113">
        <f>IF(punch[[#This Row],[Time Out]]="", "-", punch[[#This Row],[Time Out]]-punch[[#This Row],[Time In]])</f>
        <v>0.4375</v>
      </c>
      <c r="E162" s="178">
        <f>IF(punch[[#This Row],[Time In]]="", "-", WEEKNUM(punch[[#This Row],[Time In]],15))</f>
        <v>47</v>
      </c>
      <c r="F162" s="114" cm="1">
        <f t="array" ref="F162">getWeekTotalHours(punch[[#This Row],[Artist]], punch[[#This Row],[WeekNum]])</f>
        <v>2.2013888888905058</v>
      </c>
      <c r="G162" s="226"/>
    </row>
    <row r="163" spans="1:7" ht="23.25" customHeight="1" x14ac:dyDescent="0.25">
      <c r="A163" s="182" t="s">
        <v>14</v>
      </c>
      <c r="B163" s="183">
        <v>45252.495138888888</v>
      </c>
      <c r="C163" s="183">
        <v>45252.836805555555</v>
      </c>
      <c r="D163" s="113">
        <f>IF(punch[[#This Row],[Time Out]]="", "-", punch[[#This Row],[Time Out]]-punch[[#This Row],[Time In]])</f>
        <v>0.34166666666715173</v>
      </c>
      <c r="E163" s="178">
        <f>IF(punch[[#This Row],[Time In]]="", "-", WEEKNUM(punch[[#This Row],[Time In]],15))</f>
        <v>47</v>
      </c>
      <c r="F163" s="114" cm="1">
        <f t="array" ref="F163">getWeekTotalHours(punch[[#This Row],[Artist]], punch[[#This Row],[WeekNum]])</f>
        <v>0.93194444444088731</v>
      </c>
      <c r="G163" s="226"/>
    </row>
    <row r="164" spans="1:7" ht="23.25" customHeight="1" x14ac:dyDescent="0.25">
      <c r="A164" s="182" t="s">
        <v>18</v>
      </c>
      <c r="B164" s="183">
        <v>45252.5625</v>
      </c>
      <c r="C164" s="183">
        <v>45252.690972222219</v>
      </c>
      <c r="D164" s="113">
        <f>IF(punch[[#This Row],[Time Out]]="", "-", punch[[#This Row],[Time Out]]-punch[[#This Row],[Time In]])</f>
        <v>0.12847222221898846</v>
      </c>
      <c r="E164" s="178">
        <f>IF(punch[[#This Row],[Time In]]="", "-", WEEKNUM(punch[[#This Row],[Time In]],15))</f>
        <v>47</v>
      </c>
      <c r="F164" s="114" cm="1">
        <f t="array" ref="F164">getWeekTotalHours(punch[[#This Row],[Artist]], punch[[#This Row],[WeekNum]])</f>
        <v>1.0125000000043656</v>
      </c>
      <c r="G164" s="226"/>
    </row>
    <row r="165" spans="1:7" ht="23.25" customHeight="1" x14ac:dyDescent="0.25">
      <c r="A165" s="182" t="s">
        <v>18</v>
      </c>
      <c r="B165" s="183">
        <v>45253.318055555559</v>
      </c>
      <c r="C165" s="183">
        <v>45253.438888888886</v>
      </c>
      <c r="D165" s="113">
        <f>IF(punch[[#This Row],[Time Out]]="", "-", punch[[#This Row],[Time Out]]-punch[[#This Row],[Time In]])</f>
        <v>0.1208333333270275</v>
      </c>
      <c r="E165" s="178">
        <f>IF(punch[[#This Row],[Time In]]="", "-", WEEKNUM(punch[[#This Row],[Time In]],15))</f>
        <v>47</v>
      </c>
      <c r="F165" s="114" cm="1">
        <f t="array" ref="F165">getWeekTotalHours(punch[[#This Row],[Artist]], punch[[#This Row],[WeekNum]])</f>
        <v>1.0125000000043656</v>
      </c>
      <c r="G165" s="226"/>
    </row>
    <row r="166" spans="1:7" ht="23.25" customHeight="1" x14ac:dyDescent="0.25">
      <c r="A166" s="182" t="s">
        <v>20</v>
      </c>
      <c r="B166" s="183">
        <v>45253.322916666664</v>
      </c>
      <c r="C166" s="183">
        <v>45253.5</v>
      </c>
      <c r="D166" s="113">
        <f>IF(punch[[#This Row],[Time Out]]="", "-", punch[[#This Row],[Time Out]]-punch[[#This Row],[Time In]])</f>
        <v>0.17708333333575865</v>
      </c>
      <c r="E166" s="178">
        <f>IF(punch[[#This Row],[Time In]]="", "-", WEEKNUM(punch[[#This Row],[Time In]],15))</f>
        <v>47</v>
      </c>
      <c r="F166" s="114" cm="1">
        <f t="array" ref="F166">getWeekTotalHours(punch[[#This Row],[Artist]], punch[[#This Row],[WeekNum]])</f>
        <v>0.8659722222291748</v>
      </c>
      <c r="G166" s="226"/>
    </row>
    <row r="167" spans="1:7" ht="23.25" customHeight="1" x14ac:dyDescent="0.25">
      <c r="A167" s="182" t="s">
        <v>20</v>
      </c>
      <c r="B167" s="183">
        <v>45251.666666666664</v>
      </c>
      <c r="C167" s="183">
        <v>45251.75</v>
      </c>
      <c r="D167" s="113">
        <f>IF(punch[[#This Row],[Time Out]]="", "-", punch[[#This Row],[Time Out]]-punch[[#This Row],[Time In]])</f>
        <v>8.3333333335758653E-2</v>
      </c>
      <c r="E167" s="178">
        <f>IF(punch[[#This Row],[Time In]]="", "-", WEEKNUM(punch[[#This Row],[Time In]],15))</f>
        <v>47</v>
      </c>
      <c r="F167" s="114" cm="1">
        <f t="array" ref="F167">getWeekTotalHours(punch[[#This Row],[Artist]], punch[[#This Row],[WeekNum]])</f>
        <v>0.8659722222291748</v>
      </c>
      <c r="G167" s="226"/>
    </row>
    <row r="168" spans="1:7" ht="23.25" customHeight="1" x14ac:dyDescent="0.25">
      <c r="A168" s="182" t="s">
        <v>20</v>
      </c>
      <c r="B168" s="183">
        <v>45253.541666666664</v>
      </c>
      <c r="C168" s="183">
        <v>45253.739583333336</v>
      </c>
      <c r="D168" s="113">
        <f>IF(punch[[#This Row],[Time Out]]="", "-", punch[[#This Row],[Time Out]]-punch[[#This Row],[Time In]])</f>
        <v>0.19791666667151731</v>
      </c>
      <c r="E168" s="178">
        <f>IF(punch[[#This Row],[Time In]]="", "-", WEEKNUM(punch[[#This Row],[Time In]],15))</f>
        <v>47</v>
      </c>
      <c r="F168" s="114" cm="1">
        <f t="array" ref="F168">getWeekTotalHours(punch[[#This Row],[Artist]], punch[[#This Row],[WeekNum]])</f>
        <v>0.8659722222291748</v>
      </c>
      <c r="G168" s="226"/>
    </row>
    <row r="169" spans="1:7" ht="23.25" customHeight="1" x14ac:dyDescent="0.25">
      <c r="A169" s="182" t="s">
        <v>14</v>
      </c>
      <c r="B169" s="183">
        <v>45253.544444444444</v>
      </c>
      <c r="C169" s="183">
        <v>45253.752083333333</v>
      </c>
      <c r="D169" s="113">
        <f>IF(punch[[#This Row],[Time Out]]="", "-", punch[[#This Row],[Time Out]]-punch[[#This Row],[Time In]])</f>
        <v>0.20763888888905058</v>
      </c>
      <c r="E169" s="178">
        <f>IF(punch[[#This Row],[Time In]]="", "-", WEEKNUM(punch[[#This Row],[Time In]],15))</f>
        <v>47</v>
      </c>
      <c r="F169" s="114" cm="1">
        <f t="array" ref="F169">getWeekTotalHours(punch[[#This Row],[Artist]], punch[[#This Row],[WeekNum]])</f>
        <v>0.93194444444088731</v>
      </c>
      <c r="G169" s="226"/>
    </row>
    <row r="170" spans="1:7" ht="23.25" customHeight="1" x14ac:dyDescent="0.25">
      <c r="A170" s="182" t="s">
        <v>20</v>
      </c>
      <c r="B170" s="183">
        <v>45253.821527777778</v>
      </c>
      <c r="C170" s="183">
        <v>45253.979166666664</v>
      </c>
      <c r="D170" s="113">
        <f>IF(punch[[#This Row],[Time Out]]="", "-", punch[[#This Row],[Time Out]]-punch[[#This Row],[Time In]])</f>
        <v>0.15763888888614019</v>
      </c>
      <c r="E170" s="178">
        <f>IF(punch[[#This Row],[Time In]]="", "-", WEEKNUM(punch[[#This Row],[Time In]],15))</f>
        <v>47</v>
      </c>
      <c r="F170" s="114" cm="1">
        <f t="array" ref="F170">getWeekTotalHours(punch[[#This Row],[Artist]], punch[[#This Row],[WeekNum]])</f>
        <v>0.8659722222291748</v>
      </c>
      <c r="G170" s="226"/>
    </row>
    <row r="171" spans="1:7" ht="23.25" customHeight="1" x14ac:dyDescent="0.25">
      <c r="A171" s="182" t="s">
        <v>18</v>
      </c>
      <c r="B171" s="183">
        <v>45254.393055555556</v>
      </c>
      <c r="C171" s="183">
        <v>45254.583333333336</v>
      </c>
      <c r="D171" s="113">
        <f>IF(punch[[#This Row],[Time Out]]="", "-", punch[[#This Row],[Time Out]]-punch[[#This Row],[Time In]])</f>
        <v>0.19027777777955635</v>
      </c>
      <c r="E171" s="178">
        <f>IF(punch[[#This Row],[Time In]]="", "-", WEEKNUM(punch[[#This Row],[Time In]],15))</f>
        <v>48</v>
      </c>
      <c r="F171" s="114" cm="1">
        <f t="array" ref="F171">getWeekTotalHours(punch[[#This Row],[Artist]], punch[[#This Row],[WeekNum]])</f>
        <v>2.1944444444379769</v>
      </c>
      <c r="G171" s="226"/>
    </row>
    <row r="172" spans="1:7" ht="23.25" customHeight="1" x14ac:dyDescent="0.25">
      <c r="A172" s="182" t="s">
        <v>12</v>
      </c>
      <c r="B172" s="183">
        <v>45254.545138888891</v>
      </c>
      <c r="C172" s="183">
        <v>45254.663888888892</v>
      </c>
      <c r="D172" s="113">
        <f>IF(punch[[#This Row],[Time Out]]="", "-", punch[[#This Row],[Time Out]]-punch[[#This Row],[Time In]])</f>
        <v>0.11875000000145519</v>
      </c>
      <c r="E172" s="178">
        <f>IF(punch[[#This Row],[Time In]]="", "-", WEEKNUM(punch[[#This Row],[Time In]],15))</f>
        <v>48</v>
      </c>
      <c r="F172" s="114" cm="1">
        <f t="array" ref="F172">getWeekTotalHours(punch[[#This Row],[Artist]], punch[[#This Row],[WeekNum]])</f>
        <v>0.89027777776937</v>
      </c>
      <c r="G172" s="226"/>
    </row>
    <row r="173" spans="1:7" ht="23.25" customHeight="1" x14ac:dyDescent="0.25">
      <c r="A173" s="182" t="s">
        <v>16</v>
      </c>
      <c r="B173" s="183">
        <v>45253.821527777778</v>
      </c>
      <c r="C173" s="183">
        <v>45253.979166666664</v>
      </c>
      <c r="D173" s="113">
        <f>IF(punch[[#This Row],[Time Out]]="", "-", punch[[#This Row],[Time Out]]-punch[[#This Row],[Time In]])</f>
        <v>0.15763888888614019</v>
      </c>
      <c r="E173" s="178">
        <f>IF(punch[[#This Row],[Time In]]="", "-", WEEKNUM(punch[[#This Row],[Time In]],15))</f>
        <v>47</v>
      </c>
      <c r="F173" s="114" cm="1">
        <f t="array" ref="F173">getWeekTotalHours(punch[[#This Row],[Artist]], punch[[#This Row],[WeekNum]])</f>
        <v>2.2013888888905058</v>
      </c>
      <c r="G173" s="226"/>
    </row>
    <row r="174" spans="1:7" ht="23.25" customHeight="1" x14ac:dyDescent="0.25">
      <c r="A174" s="182" t="s">
        <v>16</v>
      </c>
      <c r="B174" s="183">
        <v>45254.458333333336</v>
      </c>
      <c r="C174" s="183">
        <v>45254.970833333333</v>
      </c>
      <c r="D174" s="113">
        <f>IF(punch[[#This Row],[Time Out]]="", "-", punch[[#This Row],[Time Out]]-punch[[#This Row],[Time In]])</f>
        <v>0.51249999999708962</v>
      </c>
      <c r="E174" s="178">
        <f>IF(punch[[#This Row],[Time In]]="", "-", WEEKNUM(punch[[#This Row],[Time In]],15))</f>
        <v>48</v>
      </c>
      <c r="F174" s="114" cm="1">
        <f t="array" ref="F174">getWeekTotalHours(punch[[#This Row],[Artist]], punch[[#This Row],[WeekNum]])</f>
        <v>2.3597222222160781</v>
      </c>
      <c r="G174" s="226"/>
    </row>
    <row r="175" spans="1:7" ht="23.25" customHeight="1" x14ac:dyDescent="0.25">
      <c r="A175" s="182" t="s">
        <v>18</v>
      </c>
      <c r="B175" s="183">
        <v>45254.625</v>
      </c>
      <c r="C175" s="183">
        <v>45254.713888888888</v>
      </c>
      <c r="D175" s="113">
        <f>IF(punch[[#This Row],[Time Out]]="", "-", punch[[#This Row],[Time Out]]-punch[[#This Row],[Time In]])</f>
        <v>8.8888888887595385E-2</v>
      </c>
      <c r="E175" s="178">
        <f>IF(punch[[#This Row],[Time In]]="", "-", WEEKNUM(punch[[#This Row],[Time In]],15))</f>
        <v>48</v>
      </c>
      <c r="F175" s="114" cm="1">
        <f t="array" ref="F175">getWeekTotalHours(punch[[#This Row],[Artist]], punch[[#This Row],[WeekNum]])</f>
        <v>2.1944444444379769</v>
      </c>
      <c r="G175" s="226"/>
    </row>
    <row r="176" spans="1:7" ht="23.25" customHeight="1" x14ac:dyDescent="0.25">
      <c r="A176" s="182" t="s">
        <v>18</v>
      </c>
      <c r="B176" s="183">
        <v>45255.307638888888</v>
      </c>
      <c r="C176" s="183">
        <v>45255.672222222223</v>
      </c>
      <c r="D176" s="113">
        <f>IF(punch[[#This Row],[Time Out]]="", "-", punch[[#This Row],[Time Out]]-punch[[#This Row],[Time In]])</f>
        <v>0.36458333333575865</v>
      </c>
      <c r="E176" s="178">
        <f>IF(punch[[#This Row],[Time In]]="", "-", WEEKNUM(punch[[#This Row],[Time In]],15))</f>
        <v>48</v>
      </c>
      <c r="F176" s="114" cm="1">
        <f t="array" ref="F176">getWeekTotalHours(punch[[#This Row],[Artist]], punch[[#This Row],[WeekNum]])</f>
        <v>2.1944444444379769</v>
      </c>
      <c r="G176" s="226"/>
    </row>
    <row r="177" spans="1:7" ht="23.25" customHeight="1" x14ac:dyDescent="0.25">
      <c r="A177" s="182" t="s">
        <v>12</v>
      </c>
      <c r="B177" s="183">
        <v>45255.552777777775</v>
      </c>
      <c r="C177" s="183">
        <v>45255.654166666667</v>
      </c>
      <c r="D177" s="113">
        <f>IF(punch[[#This Row],[Time Out]]="", "-", punch[[#This Row],[Time Out]]-punch[[#This Row],[Time In]])</f>
        <v>0.10138888889196096</v>
      </c>
      <c r="E177" s="178">
        <f>IF(punch[[#This Row],[Time In]]="", "-", WEEKNUM(punch[[#This Row],[Time In]],15))</f>
        <v>48</v>
      </c>
      <c r="F177" s="114" cm="1">
        <f t="array" ref="F177">getWeekTotalHours(punch[[#This Row],[Artist]], punch[[#This Row],[WeekNum]])</f>
        <v>0.89027777776937</v>
      </c>
      <c r="G177" s="226"/>
    </row>
    <row r="178" spans="1:7" ht="23.25" customHeight="1" x14ac:dyDescent="0.25">
      <c r="A178" s="182" t="s">
        <v>16</v>
      </c>
      <c r="B178" s="183">
        <v>45255.458333333336</v>
      </c>
      <c r="C178" s="183">
        <v>45255.666666666664</v>
      </c>
      <c r="D178" s="113">
        <f>IF(punch[[#This Row],[Time Out]]="", "-", punch[[#This Row],[Time Out]]-punch[[#This Row],[Time In]])</f>
        <v>0.20833333332848269</v>
      </c>
      <c r="E178" s="178">
        <f>IF(punch[[#This Row],[Time In]]="", "-", WEEKNUM(punch[[#This Row],[Time In]],15))</f>
        <v>48</v>
      </c>
      <c r="F178" s="114" cm="1">
        <f t="array" ref="F178">getWeekTotalHours(punch[[#This Row],[Artist]], punch[[#This Row],[WeekNum]])</f>
        <v>2.3597222222160781</v>
      </c>
      <c r="G178" s="226"/>
    </row>
    <row r="179" spans="1:7" ht="23.25" customHeight="1" x14ac:dyDescent="0.25">
      <c r="A179" s="182" t="s">
        <v>18</v>
      </c>
      <c r="B179" s="183">
        <v>45255.786805555559</v>
      </c>
      <c r="C179" s="183">
        <v>45255.886111111111</v>
      </c>
      <c r="D179" s="113">
        <f>IF(punch[[#This Row],[Time Out]]="", "-", punch[[#This Row],[Time Out]]-punch[[#This Row],[Time In]])</f>
        <v>9.9305555551836733E-2</v>
      </c>
      <c r="E179" s="178">
        <f>IF(punch[[#This Row],[Time In]]="", "-", WEEKNUM(punch[[#This Row],[Time In]],15))</f>
        <v>48</v>
      </c>
      <c r="F179" s="114" cm="1">
        <f t="array" ref="F179">getWeekTotalHours(punch[[#This Row],[Artist]], punch[[#This Row],[WeekNum]])</f>
        <v>2.1944444444379769</v>
      </c>
      <c r="G179" s="226"/>
    </row>
    <row r="180" spans="1:7" ht="23.25" customHeight="1" x14ac:dyDescent="0.25">
      <c r="A180" s="182" t="s">
        <v>18</v>
      </c>
      <c r="B180" s="183">
        <v>45256.34375</v>
      </c>
      <c r="C180" s="183">
        <v>45256.60833333333</v>
      </c>
      <c r="D180" s="113">
        <f>IF(punch[[#This Row],[Time Out]]="", "-", punch[[#This Row],[Time Out]]-punch[[#This Row],[Time In]])</f>
        <v>0.26458333332993789</v>
      </c>
      <c r="E180" s="178">
        <f>IF(punch[[#This Row],[Time In]]="", "-", WEEKNUM(punch[[#This Row],[Time In]],15))</f>
        <v>48</v>
      </c>
      <c r="F180" s="114" cm="1">
        <f t="array" ref="F180">getWeekTotalHours(punch[[#This Row],[Artist]], punch[[#This Row],[WeekNum]])</f>
        <v>2.1944444444379769</v>
      </c>
      <c r="G180" s="226"/>
    </row>
    <row r="181" spans="1:7" ht="23.25" customHeight="1" x14ac:dyDescent="0.25">
      <c r="A181" s="182" t="s">
        <v>12</v>
      </c>
      <c r="B181" s="183">
        <v>45256.53125</v>
      </c>
      <c r="C181" s="183">
        <v>45256.67083333333</v>
      </c>
      <c r="D181" s="113">
        <f>IF(punch[[#This Row],[Time Out]]="", "-", punch[[#This Row],[Time Out]]-punch[[#This Row],[Time In]])</f>
        <v>0.13958333332993789</v>
      </c>
      <c r="E181" s="178">
        <f>IF(punch[[#This Row],[Time In]]="", "-", WEEKNUM(punch[[#This Row],[Time In]],15))</f>
        <v>48</v>
      </c>
      <c r="F181" s="114" cm="1">
        <f t="array" ref="F181">getWeekTotalHours(punch[[#This Row],[Artist]], punch[[#This Row],[WeekNum]])</f>
        <v>0.89027777776937</v>
      </c>
      <c r="G181" s="226"/>
    </row>
    <row r="182" spans="1:7" ht="23.25" customHeight="1" x14ac:dyDescent="0.25">
      <c r="A182" s="182" t="s">
        <v>18</v>
      </c>
      <c r="B182" s="183">
        <v>45257.298611111109</v>
      </c>
      <c r="C182" s="183">
        <v>45257.628472222219</v>
      </c>
      <c r="D182" s="113">
        <f>IF(punch[[#This Row],[Time Out]]="", "-", punch[[#This Row],[Time Out]]-punch[[#This Row],[Time In]])</f>
        <v>0.32986111110949423</v>
      </c>
      <c r="E182" s="178">
        <f>IF(punch[[#This Row],[Time In]]="", "-", WEEKNUM(punch[[#This Row],[Time In]],15))</f>
        <v>48</v>
      </c>
      <c r="F182" s="114" cm="1">
        <f t="array" ref="F182">getWeekTotalHours(punch[[#This Row],[Artist]], punch[[#This Row],[WeekNum]])</f>
        <v>2.1944444444379769</v>
      </c>
      <c r="G182" s="226"/>
    </row>
    <row r="183" spans="1:7" ht="23.25" customHeight="1" x14ac:dyDescent="0.25">
      <c r="A183" s="182" t="s">
        <v>16</v>
      </c>
      <c r="B183" s="183">
        <v>45256.458333333336</v>
      </c>
      <c r="C183" s="183">
        <v>45256.895833333336</v>
      </c>
      <c r="D183" s="113">
        <f>IF(punch[[#This Row],[Time Out]]="", "-", punch[[#This Row],[Time Out]]-punch[[#This Row],[Time In]])</f>
        <v>0.4375</v>
      </c>
      <c r="E183" s="178">
        <f>IF(punch[[#This Row],[Time In]]="", "-", WEEKNUM(punch[[#This Row],[Time In]],15))</f>
        <v>48</v>
      </c>
      <c r="F183" s="114" cm="1">
        <f t="array" ref="F183">getWeekTotalHours(punch[[#This Row],[Artist]], punch[[#This Row],[WeekNum]])</f>
        <v>2.3597222222160781</v>
      </c>
      <c r="G183" s="226"/>
    </row>
    <row r="184" spans="1:7" ht="23.25" customHeight="1" x14ac:dyDescent="0.25">
      <c r="A184" s="182" t="s">
        <v>16</v>
      </c>
      <c r="B184" s="183">
        <v>45257.4375</v>
      </c>
      <c r="C184" s="183">
        <v>45257.649305555555</v>
      </c>
      <c r="D184" s="113">
        <f>IF(punch[[#This Row],[Time Out]]="", "-", punch[[#This Row],[Time Out]]-punch[[#This Row],[Time In]])</f>
        <v>0.21180555555474712</v>
      </c>
      <c r="E184" s="178">
        <f>IF(punch[[#This Row],[Time In]]="", "-", WEEKNUM(punch[[#This Row],[Time In]],15))</f>
        <v>48</v>
      </c>
      <c r="F184" s="114" cm="1">
        <f t="array" ref="F184">getWeekTotalHours(punch[[#This Row],[Artist]], punch[[#This Row],[WeekNum]])</f>
        <v>2.3597222222160781</v>
      </c>
      <c r="G184" s="226"/>
    </row>
    <row r="185" spans="1:7" ht="23.25" customHeight="1" x14ac:dyDescent="0.25">
      <c r="A185" s="182" t="s">
        <v>12</v>
      </c>
      <c r="B185" s="183">
        <v>45257.434027777781</v>
      </c>
      <c r="C185" s="183">
        <v>45257.666666666664</v>
      </c>
      <c r="D185" s="113">
        <f>IF(punch[[#This Row],[Time Out]]="", "-", punch[[#This Row],[Time Out]]-punch[[#This Row],[Time In]])</f>
        <v>0.23263888888322981</v>
      </c>
      <c r="E185" s="178">
        <f>IF(punch[[#This Row],[Time In]]="", "-", WEEKNUM(punch[[#This Row],[Time In]],15))</f>
        <v>48</v>
      </c>
      <c r="F185" s="114" cm="1">
        <f t="array" ref="F185">getWeekTotalHours(punch[[#This Row],[Artist]], punch[[#This Row],[WeekNum]])</f>
        <v>0.89027777776937</v>
      </c>
      <c r="G185" s="226"/>
    </row>
    <row r="186" spans="1:7" ht="23.25" customHeight="1" x14ac:dyDescent="0.25">
      <c r="A186" s="182" t="s">
        <v>14</v>
      </c>
      <c r="B186" s="183">
        <v>45257.591666666667</v>
      </c>
      <c r="C186" s="183">
        <v>45257.754861111112</v>
      </c>
      <c r="D186" s="113">
        <f>IF(punch[[#This Row],[Time Out]]="", "-", punch[[#This Row],[Time Out]]-punch[[#This Row],[Time In]])</f>
        <v>0.16319444444525288</v>
      </c>
      <c r="E186" s="178">
        <f>IF(punch[[#This Row],[Time In]]="", "-", WEEKNUM(punch[[#This Row],[Time In]],15))</f>
        <v>48</v>
      </c>
      <c r="F186" s="114" cm="1">
        <f t="array" ref="F186">getWeekTotalHours(punch[[#This Row],[Artist]], punch[[#This Row],[WeekNum]])</f>
        <v>0.40902777777955635</v>
      </c>
      <c r="G186" s="226"/>
    </row>
    <row r="187" spans="1:7" ht="23.25" customHeight="1" x14ac:dyDescent="0.25">
      <c r="A187" s="182" t="s">
        <v>18</v>
      </c>
      <c r="B187" s="183">
        <v>45258.352777777778</v>
      </c>
      <c r="C187" s="183">
        <v>45258.894444444442</v>
      </c>
      <c r="D187" s="113">
        <f>IF(punch[[#This Row],[Time Out]]="", "-", punch[[#This Row],[Time Out]]-punch[[#This Row],[Time In]])</f>
        <v>0.54166666666424135</v>
      </c>
      <c r="E187" s="178">
        <f>IF(punch[[#This Row],[Time In]]="", "-", WEEKNUM(punch[[#This Row],[Time In]],15))</f>
        <v>48</v>
      </c>
      <c r="F187" s="114" cm="1">
        <f t="array" ref="F187">getWeekTotalHours(punch[[#This Row],[Artist]], punch[[#This Row],[WeekNum]])</f>
        <v>2.1944444444379769</v>
      </c>
      <c r="G187" s="226"/>
    </row>
    <row r="188" spans="1:7" ht="23.25" customHeight="1" x14ac:dyDescent="0.25">
      <c r="A188" s="182" t="s">
        <v>12</v>
      </c>
      <c r="B188" s="183">
        <v>45258.40347222222</v>
      </c>
      <c r="C188" s="183">
        <v>45258.552083333336</v>
      </c>
      <c r="D188" s="113">
        <f>IF(punch[[#This Row],[Time Out]]="", "-", punch[[#This Row],[Time Out]]-punch[[#This Row],[Time In]])</f>
        <v>0.148611111115315</v>
      </c>
      <c r="E188" s="178">
        <f>IF(punch[[#This Row],[Time In]]="", "-", WEEKNUM(punch[[#This Row],[Time In]],15))</f>
        <v>48</v>
      </c>
      <c r="F188" s="114" cm="1">
        <f t="array" ref="F188">getWeekTotalHours(punch[[#This Row],[Artist]], punch[[#This Row],[WeekNum]])</f>
        <v>0.89027777776937</v>
      </c>
      <c r="G188" s="226"/>
    </row>
    <row r="189" spans="1:7" ht="23.25" customHeight="1" x14ac:dyDescent="0.25">
      <c r="A189" s="182" t="s">
        <v>16</v>
      </c>
      <c r="B189" s="183">
        <v>45258.416666666664</v>
      </c>
      <c r="C189" s="183">
        <v>45258.875</v>
      </c>
      <c r="D189" s="113">
        <f>IF(punch[[#This Row],[Time Out]]="", "-", punch[[#This Row],[Time Out]]-punch[[#This Row],[Time In]])</f>
        <v>0.45833333333575865</v>
      </c>
      <c r="E189" s="178">
        <f>IF(punch[[#This Row],[Time In]]="", "-", WEEKNUM(punch[[#This Row],[Time In]],15))</f>
        <v>48</v>
      </c>
      <c r="F189" s="114" cm="1">
        <f t="array" ref="F189">getWeekTotalHours(punch[[#This Row],[Artist]], punch[[#This Row],[WeekNum]])</f>
        <v>2.3597222222160781</v>
      </c>
      <c r="G189" s="226"/>
    </row>
    <row r="190" spans="1:7" ht="23.25" customHeight="1" x14ac:dyDescent="0.25">
      <c r="A190" s="182" t="s">
        <v>14</v>
      </c>
      <c r="B190" s="183">
        <v>45259.365972222222</v>
      </c>
      <c r="C190" s="183">
        <v>45259.611805555556</v>
      </c>
      <c r="D190" s="113">
        <f>IF(punch[[#This Row],[Time Out]]="", "-", punch[[#This Row],[Time Out]]-punch[[#This Row],[Time In]])</f>
        <v>0.24583333333430346</v>
      </c>
      <c r="E190" s="178">
        <f>IF(punch[[#This Row],[Time In]]="", "-", WEEKNUM(punch[[#This Row],[Time In]],15))</f>
        <v>48</v>
      </c>
      <c r="F190" s="114" cm="1">
        <f t="array" ref="F190">getWeekTotalHours(punch[[#This Row],[Artist]], punch[[#This Row],[WeekNum]])</f>
        <v>0.40902777777955635</v>
      </c>
      <c r="G190" s="226"/>
    </row>
    <row r="191" spans="1:7" ht="23.25" customHeight="1" x14ac:dyDescent="0.25">
      <c r="A191" s="182" t="s">
        <v>18</v>
      </c>
      <c r="B191" s="183">
        <v>45259.37222222222</v>
      </c>
      <c r="C191" s="183">
        <v>45259.621527777781</v>
      </c>
      <c r="D191" s="113">
        <f>IF(punch[[#This Row],[Time Out]]="", "-", punch[[#This Row],[Time Out]]-punch[[#This Row],[Time In]])</f>
        <v>0.24930555556056788</v>
      </c>
      <c r="E191" s="178">
        <f>IF(punch[[#This Row],[Time In]]="", "-", WEEKNUM(punch[[#This Row],[Time In]],15))</f>
        <v>48</v>
      </c>
      <c r="F191" s="114" cm="1">
        <f t="array" ref="F191">getWeekTotalHours(punch[[#This Row],[Artist]], punch[[#This Row],[WeekNum]])</f>
        <v>2.1944444444379769</v>
      </c>
      <c r="G191" s="226"/>
    </row>
    <row r="192" spans="1:7" ht="23.25" customHeight="1" x14ac:dyDescent="0.25">
      <c r="A192" s="182" t="s">
        <v>12</v>
      </c>
      <c r="B192" s="183">
        <v>45259.386805555558</v>
      </c>
      <c r="C192" s="183">
        <v>45259.490972222222</v>
      </c>
      <c r="D192" s="113">
        <f>IF(punch[[#This Row],[Time Out]]="", "-", punch[[#This Row],[Time Out]]-punch[[#This Row],[Time In]])</f>
        <v>0.10416666666424135</v>
      </c>
      <c r="E192" s="178">
        <f>IF(punch[[#This Row],[Time In]]="", "-", WEEKNUM(punch[[#This Row],[Time In]],15))</f>
        <v>48</v>
      </c>
      <c r="F192" s="114" cm="1">
        <f t="array" ref="F192">getWeekTotalHours(punch[[#This Row],[Artist]], punch[[#This Row],[WeekNum]])</f>
        <v>0.89027777776937</v>
      </c>
      <c r="G192" s="226"/>
    </row>
    <row r="193" spans="1:7" ht="23.25" customHeight="1" x14ac:dyDescent="0.25">
      <c r="A193" s="182" t="s">
        <v>12</v>
      </c>
      <c r="B193" s="183">
        <v>45259.684027777781</v>
      </c>
      <c r="C193" s="183">
        <v>45259.729166666664</v>
      </c>
      <c r="D193" s="113">
        <f>IF(punch[[#This Row],[Time Out]]="", "-", punch[[#This Row],[Time Out]]-punch[[#This Row],[Time In]])</f>
        <v>4.5138888883229811E-2</v>
      </c>
      <c r="E193" s="178">
        <f>IF(punch[[#This Row],[Time In]]="", "-", WEEKNUM(punch[[#This Row],[Time In]],15))</f>
        <v>48</v>
      </c>
      <c r="F193" s="114" cm="1">
        <f t="array" ref="F193">getWeekTotalHours(punch[[#This Row],[Artist]], punch[[#This Row],[WeekNum]])</f>
        <v>0.89027777776937</v>
      </c>
      <c r="G193" s="226"/>
    </row>
    <row r="194" spans="1:7" ht="23.25" customHeight="1" x14ac:dyDescent="0.25">
      <c r="A194" s="182" t="s">
        <v>18</v>
      </c>
      <c r="B194" s="183">
        <v>45260.384027777778</v>
      </c>
      <c r="C194" s="183">
        <v>45260.45</v>
      </c>
      <c r="D194" s="113">
        <f>IF(punch[[#This Row],[Time Out]]="", "-", punch[[#This Row],[Time Out]]-punch[[#This Row],[Time In]])</f>
        <v>6.5972222218988463E-2</v>
      </c>
      <c r="E194" s="178">
        <f>IF(punch[[#This Row],[Time In]]="", "-", WEEKNUM(punch[[#This Row],[Time In]],15))</f>
        <v>48</v>
      </c>
      <c r="F194" s="114" cm="1">
        <f t="array" ref="F194">getWeekTotalHours(punch[[#This Row],[Artist]], punch[[#This Row],[WeekNum]])</f>
        <v>2.1944444444379769</v>
      </c>
      <c r="G194" s="226"/>
    </row>
    <row r="195" spans="1:7" ht="23.25" customHeight="1" x14ac:dyDescent="0.25">
      <c r="A195" s="182" t="s">
        <v>16</v>
      </c>
      <c r="B195" s="183">
        <v>45259.458333333336</v>
      </c>
      <c r="C195" s="183">
        <v>45259.958333333336</v>
      </c>
      <c r="D195" s="113">
        <f>IF(punch[[#This Row],[Time Out]]="", "-", punch[[#This Row],[Time Out]]-punch[[#This Row],[Time In]])</f>
        <v>0.5</v>
      </c>
      <c r="E195" s="178">
        <f>IF(punch[[#This Row],[Time In]]="", "-", WEEKNUM(punch[[#This Row],[Time In]],15))</f>
        <v>48</v>
      </c>
      <c r="F195" s="114" cm="1">
        <f t="array" ref="F195">getWeekTotalHours(punch[[#This Row],[Artist]], punch[[#This Row],[WeekNum]])</f>
        <v>2.3597222222160781</v>
      </c>
      <c r="G195" s="226"/>
    </row>
    <row r="196" spans="1:7" ht="23.25" customHeight="1" x14ac:dyDescent="0.25">
      <c r="A196" s="182" t="s">
        <v>16</v>
      </c>
      <c r="B196" s="183">
        <v>45260.854166666664</v>
      </c>
      <c r="C196" s="183">
        <v>45260.885416666664</v>
      </c>
      <c r="D196" s="113">
        <f>IF(punch[[#This Row],[Time Out]]="", "-", punch[[#This Row],[Time Out]]-punch[[#This Row],[Time In]])</f>
        <v>3.125E-2</v>
      </c>
      <c r="E196" s="178">
        <f>IF(punch[[#This Row],[Time In]]="", "-", WEEKNUM(punch[[#This Row],[Time In]],15))</f>
        <v>48</v>
      </c>
      <c r="F196" s="114" cm="1">
        <f t="array" ref="F196">getWeekTotalHours(punch[[#This Row],[Artist]], punch[[#This Row],[WeekNum]])</f>
        <v>2.3597222222160781</v>
      </c>
      <c r="G196" s="226"/>
    </row>
    <row r="197" spans="1:7" ht="23.25" customHeight="1" x14ac:dyDescent="0.25">
      <c r="A197" s="182" t="s">
        <v>12</v>
      </c>
      <c r="B197" s="183">
        <v>45261.404861111114</v>
      </c>
      <c r="C197" s="183">
        <v>45261.666666666664</v>
      </c>
      <c r="D197" s="113">
        <f>IF(punch[[#This Row],[Time Out]]="", "-", punch[[#This Row],[Time Out]]-punch[[#This Row],[Time In]])</f>
        <v>0.26180555555038154</v>
      </c>
      <c r="E197" s="178">
        <f>IF(punch[[#This Row],[Time In]]="", "-", WEEKNUM(punch[[#This Row],[Time In]],15))</f>
        <v>49</v>
      </c>
      <c r="F197" s="114" cm="1">
        <f t="array" ref="F197">getWeekTotalHours(punch[[#This Row],[Artist]], punch[[#This Row],[WeekNum]])</f>
        <v>0.98124999999708962</v>
      </c>
      <c r="G197" s="226"/>
    </row>
    <row r="198" spans="1:7" ht="23.25" customHeight="1" x14ac:dyDescent="0.25">
      <c r="A198" s="182" t="s">
        <v>18</v>
      </c>
      <c r="B198" s="183">
        <v>45261.409722222219</v>
      </c>
      <c r="C198" s="183">
        <v>45261.677083333336</v>
      </c>
      <c r="D198" s="113">
        <f>IF(punch[[#This Row],[Time Out]]="", "-", punch[[#This Row],[Time Out]]-punch[[#This Row],[Time In]])</f>
        <v>0.26736111111677019</v>
      </c>
      <c r="E198" s="178">
        <f>IF(punch[[#This Row],[Time In]]="", "-", WEEKNUM(punch[[#This Row],[Time In]],15))</f>
        <v>49</v>
      </c>
      <c r="F198" s="114" cm="1">
        <f t="array" ref="F198">getWeekTotalHours(punch[[#This Row],[Artist]], punch[[#This Row],[WeekNum]])</f>
        <v>2.0951388888861402</v>
      </c>
      <c r="G198" s="226"/>
    </row>
    <row r="199" spans="1:7" ht="23.25" customHeight="1" x14ac:dyDescent="0.25">
      <c r="A199" s="182" t="s">
        <v>16</v>
      </c>
      <c r="B199" s="183">
        <v>45261.5</v>
      </c>
      <c r="C199" s="183">
        <v>45261.791666666664</v>
      </c>
      <c r="D199" s="113">
        <f>IF(punch[[#This Row],[Time Out]]="", "-", punch[[#This Row],[Time Out]]-punch[[#This Row],[Time In]])</f>
        <v>0.29166666666424135</v>
      </c>
      <c r="E199" s="178">
        <f>IF(punch[[#This Row],[Time In]]="", "-", WEEKNUM(punch[[#This Row],[Time In]],15))</f>
        <v>49</v>
      </c>
      <c r="F199" s="114" cm="1">
        <f t="array" ref="F199">getWeekTotalHours(punch[[#This Row],[Artist]], punch[[#This Row],[WeekNum]])</f>
        <v>1.5340277777868323</v>
      </c>
      <c r="G199" s="226"/>
    </row>
    <row r="200" spans="1:7" ht="23.25" customHeight="1" x14ac:dyDescent="0.25">
      <c r="A200" s="182" t="s">
        <v>18</v>
      </c>
      <c r="B200" s="183">
        <v>45262.363888888889</v>
      </c>
      <c r="C200" s="183">
        <v>45262.690972222219</v>
      </c>
      <c r="D200" s="113">
        <f>IF(punch[[#This Row],[Time Out]]="", "-", punch[[#This Row],[Time Out]]-punch[[#This Row],[Time In]])</f>
        <v>0.32708333332993789</v>
      </c>
      <c r="E200" s="178">
        <f>IF(punch[[#This Row],[Time In]]="", "-", WEEKNUM(punch[[#This Row],[Time In]],15))</f>
        <v>49</v>
      </c>
      <c r="F200" s="114" cm="1">
        <f t="array" ref="F200">getWeekTotalHours(punch[[#This Row],[Artist]], punch[[#This Row],[WeekNum]])</f>
        <v>2.0951388888861402</v>
      </c>
      <c r="G200" s="226"/>
    </row>
    <row r="201" spans="1:7" ht="23.25" customHeight="1" x14ac:dyDescent="0.25">
      <c r="A201" s="182" t="s">
        <v>16</v>
      </c>
      <c r="B201" s="183">
        <v>45262.479166666664</v>
      </c>
      <c r="C201" s="183">
        <v>45262.673611111109</v>
      </c>
      <c r="D201" s="113">
        <f>IF(punch[[#This Row],[Time Out]]="", "-", punch[[#This Row],[Time Out]]-punch[[#This Row],[Time In]])</f>
        <v>0.19444444444525288</v>
      </c>
      <c r="E201" s="178">
        <f>IF(punch[[#This Row],[Time In]]="", "-", WEEKNUM(punch[[#This Row],[Time In]],15))</f>
        <v>49</v>
      </c>
      <c r="F201" s="114" cm="1">
        <f t="array" ref="F201">getWeekTotalHours(punch[[#This Row],[Artist]], punch[[#This Row],[WeekNum]])</f>
        <v>1.5340277777868323</v>
      </c>
      <c r="G201" s="226"/>
    </row>
    <row r="202" spans="1:7" ht="23.25" customHeight="1" x14ac:dyDescent="0.25">
      <c r="A202" s="182" t="s">
        <v>16</v>
      </c>
      <c r="B202" s="183">
        <v>45263.445833333331</v>
      </c>
      <c r="C202" s="183">
        <v>45263.802083333336</v>
      </c>
      <c r="D202" s="113">
        <f>IF(punch[[#This Row],[Time Out]]="", "-", punch[[#This Row],[Time Out]]-punch[[#This Row],[Time In]])</f>
        <v>0.35625000000436557</v>
      </c>
      <c r="E202" s="178">
        <f>IF(punch[[#This Row],[Time In]]="", "-", WEEKNUM(punch[[#This Row],[Time In]],15))</f>
        <v>49</v>
      </c>
      <c r="F202" s="114" cm="1">
        <f t="array" ref="F202">getWeekTotalHours(punch[[#This Row],[Artist]], punch[[#This Row],[WeekNum]])</f>
        <v>1.5340277777868323</v>
      </c>
      <c r="G202" s="226"/>
    </row>
    <row r="203" spans="1:7" ht="23.25" customHeight="1" x14ac:dyDescent="0.25">
      <c r="A203" s="182" t="s">
        <v>18</v>
      </c>
      <c r="B203" s="183">
        <v>45263.477777777778</v>
      </c>
      <c r="C203" s="183">
        <v>45263.745138888888</v>
      </c>
      <c r="D203" s="113">
        <f>IF(punch[[#This Row],[Time Out]]="", "-", punch[[#This Row],[Time Out]]-punch[[#This Row],[Time In]])</f>
        <v>0.26736111110949423</v>
      </c>
      <c r="E203" s="178">
        <f>IF(punch[[#This Row],[Time In]]="", "-", WEEKNUM(punch[[#This Row],[Time In]],15))</f>
        <v>49</v>
      </c>
      <c r="F203" s="114" cm="1">
        <f t="array" ref="F203">getWeekTotalHours(punch[[#This Row],[Artist]], punch[[#This Row],[WeekNum]])</f>
        <v>2.0951388888861402</v>
      </c>
      <c r="G203" s="226"/>
    </row>
    <row r="204" spans="1:7" ht="23.25" customHeight="1" x14ac:dyDescent="0.25">
      <c r="A204" s="182" t="s">
        <v>12</v>
      </c>
      <c r="B204" s="183">
        <v>45263.5625</v>
      </c>
      <c r="C204" s="183">
        <v>45263.75</v>
      </c>
      <c r="D204" s="113">
        <f>IF(punch[[#This Row],[Time Out]]="", "-", punch[[#This Row],[Time Out]]-punch[[#This Row],[Time In]])</f>
        <v>0.1875</v>
      </c>
      <c r="E204" s="178">
        <f>IF(punch[[#This Row],[Time In]]="", "-", WEEKNUM(punch[[#This Row],[Time In]],15))</f>
        <v>49</v>
      </c>
      <c r="F204" s="114" cm="1">
        <f t="array" ref="F204">getWeekTotalHours(punch[[#This Row],[Artist]], punch[[#This Row],[WeekNum]])</f>
        <v>0.98124999999708962</v>
      </c>
      <c r="G204" s="226"/>
    </row>
    <row r="205" spans="1:7" ht="23.25" customHeight="1" x14ac:dyDescent="0.25">
      <c r="A205" s="182" t="s">
        <v>20</v>
      </c>
      <c r="B205" s="183">
        <v>45257.583333333336</v>
      </c>
      <c r="C205" s="183">
        <v>45257.708333333336</v>
      </c>
      <c r="D205" s="113">
        <f>IF(punch[[#This Row],[Time Out]]="", "-", punch[[#This Row],[Time Out]]-punch[[#This Row],[Time In]])</f>
        <v>0.125</v>
      </c>
      <c r="E205" s="178">
        <f>IF(punch[[#This Row],[Time In]]="", "-", WEEKNUM(punch[[#This Row],[Time In]],15))</f>
        <v>48</v>
      </c>
      <c r="F205" s="114" cm="1">
        <f t="array" ref="F205">getWeekTotalHours(punch[[#This Row],[Artist]], punch[[#This Row],[WeekNum]])</f>
        <v>0.41666666665696539</v>
      </c>
      <c r="G205" s="226"/>
    </row>
    <row r="206" spans="1:7" ht="23.25" customHeight="1" x14ac:dyDescent="0.25">
      <c r="A206" s="182" t="s">
        <v>20</v>
      </c>
      <c r="B206" s="183">
        <v>45258.458333333336</v>
      </c>
      <c r="C206" s="183">
        <v>45258.541666666664</v>
      </c>
      <c r="D206" s="113">
        <f>IF(punch[[#This Row],[Time Out]]="", "-", punch[[#This Row],[Time Out]]-punch[[#This Row],[Time In]])</f>
        <v>8.3333333328482695E-2</v>
      </c>
      <c r="E206" s="178">
        <f>IF(punch[[#This Row],[Time In]]="", "-", WEEKNUM(punch[[#This Row],[Time In]],15))</f>
        <v>48</v>
      </c>
      <c r="F206" s="114" cm="1">
        <f t="array" ref="F206">getWeekTotalHours(punch[[#This Row],[Artist]], punch[[#This Row],[WeekNum]])</f>
        <v>0.41666666665696539</v>
      </c>
      <c r="G206" s="226"/>
    </row>
    <row r="207" spans="1:7" ht="23.25" customHeight="1" x14ac:dyDescent="0.25">
      <c r="A207" s="182" t="s">
        <v>20</v>
      </c>
      <c r="B207" s="183">
        <v>45259.458333333336</v>
      </c>
      <c r="C207" s="183">
        <v>45259.666666666664</v>
      </c>
      <c r="D207" s="113">
        <f>IF(punch[[#This Row],[Time Out]]="", "-", punch[[#This Row],[Time Out]]-punch[[#This Row],[Time In]])</f>
        <v>0.20833333332848269</v>
      </c>
      <c r="E207" s="178">
        <f>IF(punch[[#This Row],[Time In]]="", "-", WEEKNUM(punch[[#This Row],[Time In]],15))</f>
        <v>48</v>
      </c>
      <c r="F207" s="114" cm="1">
        <f t="array" ref="F207">getWeekTotalHours(punch[[#This Row],[Artist]], punch[[#This Row],[WeekNum]])</f>
        <v>0.41666666665696539</v>
      </c>
      <c r="G207" s="226"/>
    </row>
    <row r="208" spans="1:7" ht="23.25" customHeight="1" x14ac:dyDescent="0.25">
      <c r="A208" s="182" t="s">
        <v>18</v>
      </c>
      <c r="B208" s="183">
        <v>45264.354861111111</v>
      </c>
      <c r="C208" s="183">
        <v>45264.616666666669</v>
      </c>
      <c r="D208" s="113">
        <f>IF(punch[[#This Row],[Time Out]]="", "-", punch[[#This Row],[Time Out]]-punch[[#This Row],[Time In]])</f>
        <v>0.2618055555576575</v>
      </c>
      <c r="E208" s="178">
        <f>IF(punch[[#This Row],[Time In]]="", "-", WEEKNUM(punch[[#This Row],[Time In]],15))</f>
        <v>49</v>
      </c>
      <c r="F208" s="114" cm="1">
        <f t="array" ref="F208">getWeekTotalHours(punch[[#This Row],[Artist]], punch[[#This Row],[WeekNum]])</f>
        <v>2.0951388888861402</v>
      </c>
      <c r="G208" s="226"/>
    </row>
    <row r="209" spans="1:7" ht="23.25" customHeight="1" x14ac:dyDescent="0.25">
      <c r="A209" s="182" t="s">
        <v>16</v>
      </c>
      <c r="B209" s="183">
        <v>45264.442361111112</v>
      </c>
      <c r="C209" s="183">
        <v>45264.583333333336</v>
      </c>
      <c r="D209" s="113">
        <f>IF(punch[[#This Row],[Time Out]]="", "-", punch[[#This Row],[Time Out]]-punch[[#This Row],[Time In]])</f>
        <v>0.14097222222335404</v>
      </c>
      <c r="E209" s="178">
        <f>IF(punch[[#This Row],[Time In]]="", "-", WEEKNUM(punch[[#This Row],[Time In]],15))</f>
        <v>49</v>
      </c>
      <c r="F209" s="114" cm="1">
        <f t="array" ref="F209">getWeekTotalHours(punch[[#This Row],[Artist]], punch[[#This Row],[WeekNum]])</f>
        <v>1.5340277777868323</v>
      </c>
      <c r="G209" s="226"/>
    </row>
    <row r="210" spans="1:7" ht="23.25" customHeight="1" x14ac:dyDescent="0.25">
      <c r="A210" s="182" t="s">
        <v>18</v>
      </c>
      <c r="B210" s="183">
        <v>45264.797222222223</v>
      </c>
      <c r="C210" s="183">
        <v>45264.868055555555</v>
      </c>
      <c r="D210" s="113">
        <f>IF(punch[[#This Row],[Time Out]]="", "-", punch[[#This Row],[Time Out]]-punch[[#This Row],[Time In]])</f>
        <v>7.0833333331393078E-2</v>
      </c>
      <c r="E210" s="178">
        <f>IF(punch[[#This Row],[Time In]]="", "-", WEEKNUM(punch[[#This Row],[Time In]],15))</f>
        <v>49</v>
      </c>
      <c r="F210" s="114" cm="1">
        <f t="array" ref="F210">getWeekTotalHours(punch[[#This Row],[Artist]], punch[[#This Row],[WeekNum]])</f>
        <v>2.0951388888861402</v>
      </c>
      <c r="G210" s="226"/>
    </row>
    <row r="211" spans="1:7" ht="23.25" customHeight="1" x14ac:dyDescent="0.25">
      <c r="A211" s="182" t="s">
        <v>14</v>
      </c>
      <c r="B211" s="183">
        <v>45264.791666666664</v>
      </c>
      <c r="C211" s="183">
        <v>45264.912499999999</v>
      </c>
      <c r="D211" s="113">
        <f>IF(punch[[#This Row],[Time Out]]="", "-", punch[[#This Row],[Time Out]]-punch[[#This Row],[Time In]])</f>
        <v>0.12083333333430346</v>
      </c>
      <c r="E211" s="178">
        <f>IF(punch[[#This Row],[Time In]]="", "-", WEEKNUM(punch[[#This Row],[Time In]],15))</f>
        <v>49</v>
      </c>
      <c r="F211" s="114" cm="1">
        <f t="array" ref="F211">getWeekTotalHours(punch[[#This Row],[Artist]], punch[[#This Row],[WeekNum]])</f>
        <v>0.54791666666278616</v>
      </c>
      <c r="G211" s="226"/>
    </row>
    <row r="212" spans="1:7" ht="23.25" customHeight="1" x14ac:dyDescent="0.25">
      <c r="A212" s="182" t="s">
        <v>18</v>
      </c>
      <c r="B212" s="183">
        <v>45265.357638888891</v>
      </c>
      <c r="C212" s="183">
        <v>45265.71875</v>
      </c>
      <c r="D212" s="113">
        <f>IF(punch[[#This Row],[Time Out]]="", "-", punch[[#This Row],[Time Out]]-punch[[#This Row],[Time In]])</f>
        <v>0.36111111110949423</v>
      </c>
      <c r="E212" s="178">
        <f>IF(punch[[#This Row],[Time In]]="", "-", WEEKNUM(punch[[#This Row],[Time In]],15))</f>
        <v>49</v>
      </c>
      <c r="F212" s="114" cm="1">
        <f t="array" ref="F212">getWeekTotalHours(punch[[#This Row],[Artist]], punch[[#This Row],[WeekNum]])</f>
        <v>2.0951388888861402</v>
      </c>
      <c r="G212" s="226"/>
    </row>
    <row r="213" spans="1:7" ht="23.25" customHeight="1" x14ac:dyDescent="0.25">
      <c r="A213" s="182" t="s">
        <v>12</v>
      </c>
      <c r="B213" s="183">
        <v>45265.414583333331</v>
      </c>
      <c r="C213" s="183">
        <v>45265.625</v>
      </c>
      <c r="D213" s="113">
        <f>IF(punch[[#This Row],[Time Out]]="", "-", punch[[#This Row],[Time Out]]-punch[[#This Row],[Time In]])</f>
        <v>0.21041666666860692</v>
      </c>
      <c r="E213" s="178">
        <f>IF(punch[[#This Row],[Time In]]="", "-", WEEKNUM(punch[[#This Row],[Time In]],15))</f>
        <v>49</v>
      </c>
      <c r="F213" s="114" cm="1">
        <f t="array" ref="F213">getWeekTotalHours(punch[[#This Row],[Artist]], punch[[#This Row],[WeekNum]])</f>
        <v>0.98124999999708962</v>
      </c>
      <c r="G213" s="226"/>
    </row>
    <row r="214" spans="1:7" ht="23.25" customHeight="1" x14ac:dyDescent="0.25">
      <c r="A214" s="182" t="s">
        <v>16</v>
      </c>
      <c r="B214" s="183">
        <v>45265.416666666664</v>
      </c>
      <c r="C214" s="183">
        <v>45265.967361111114</v>
      </c>
      <c r="D214" s="113">
        <f>IF(punch[[#This Row],[Time Out]]="", "-", punch[[#This Row],[Time Out]]-punch[[#This Row],[Time In]])</f>
        <v>0.55069444444961846</v>
      </c>
      <c r="E214" s="178">
        <f>IF(punch[[#This Row],[Time In]]="", "-", WEEKNUM(punch[[#This Row],[Time In]],15))</f>
        <v>49</v>
      </c>
      <c r="F214" s="114" cm="1">
        <f t="array" ref="F214">getWeekTotalHours(punch[[#This Row],[Artist]], punch[[#This Row],[WeekNum]])</f>
        <v>1.5340277777868323</v>
      </c>
      <c r="G214" s="226"/>
    </row>
    <row r="215" spans="1:7" ht="23.25" customHeight="1" x14ac:dyDescent="0.25">
      <c r="A215" s="182" t="s">
        <v>14</v>
      </c>
      <c r="B215" s="183">
        <v>45265.51666666667</v>
      </c>
      <c r="C215" s="183">
        <v>45265.856944444444</v>
      </c>
      <c r="D215" s="113">
        <f>IF(punch[[#This Row],[Time Out]]="", "-", punch[[#This Row],[Time Out]]-punch[[#This Row],[Time In]])</f>
        <v>0.34027777777373558</v>
      </c>
      <c r="E215" s="178">
        <f>IF(punch[[#This Row],[Time In]]="", "-", WEEKNUM(punch[[#This Row],[Time In]],15))</f>
        <v>49</v>
      </c>
      <c r="F215" s="114" cm="1">
        <f t="array" ref="F215">getWeekTotalHours(punch[[#This Row],[Artist]], punch[[#This Row],[WeekNum]])</f>
        <v>0.54791666666278616</v>
      </c>
      <c r="G215" s="226"/>
    </row>
    <row r="216" spans="1:7" ht="23.25" customHeight="1" x14ac:dyDescent="0.25">
      <c r="A216" s="182" t="s">
        <v>20</v>
      </c>
      <c r="B216" s="183">
        <v>45265.458333333336</v>
      </c>
      <c r="C216" s="183">
        <v>45265.666666666664</v>
      </c>
      <c r="D216" s="113">
        <f>IF(punch[[#This Row],[Time Out]]="", "-", punch[[#This Row],[Time Out]]-punch[[#This Row],[Time In]])</f>
        <v>0.20833333332848269</v>
      </c>
      <c r="E216" s="178">
        <f>IF(punch[[#This Row],[Time In]]="", "-", WEEKNUM(punch[[#This Row],[Time In]],15))</f>
        <v>49</v>
      </c>
      <c r="F216" s="114" cm="1">
        <f t="array" ref="F216">getWeekTotalHours(punch[[#This Row],[Artist]], punch[[#This Row],[WeekNum]])</f>
        <v>0.54166666667151731</v>
      </c>
      <c r="G216" s="226"/>
    </row>
    <row r="217" spans="1:7" ht="23.25" customHeight="1" x14ac:dyDescent="0.25">
      <c r="A217" s="182" t="s">
        <v>18</v>
      </c>
      <c r="B217" s="183">
        <v>45266.427083333336</v>
      </c>
      <c r="C217" s="183">
        <v>45266.824999999997</v>
      </c>
      <c r="D217" s="113">
        <f>IF(punch[[#This Row],[Time Out]]="", "-", punch[[#This Row],[Time Out]]-punch[[#This Row],[Time In]])</f>
        <v>0.39791666666133096</v>
      </c>
      <c r="E217" s="178">
        <f>IF(punch[[#This Row],[Time In]]="", "-", WEEKNUM(punch[[#This Row],[Time In]],15))</f>
        <v>49</v>
      </c>
      <c r="F217" s="114" cm="1">
        <f t="array" ref="F217">getWeekTotalHours(punch[[#This Row],[Artist]], punch[[#This Row],[WeekNum]])</f>
        <v>2.0951388888861402</v>
      </c>
      <c r="G217" s="226"/>
    </row>
    <row r="218" spans="1:7" ht="23.25" customHeight="1" x14ac:dyDescent="0.25">
      <c r="A218" s="182" t="s">
        <v>14</v>
      </c>
      <c r="B218" s="183">
        <v>45266.730555555558</v>
      </c>
      <c r="C218" s="183">
        <v>45266.817361111112</v>
      </c>
      <c r="D218" s="113">
        <f>IF(punch[[#This Row],[Time Out]]="", "-", punch[[#This Row],[Time Out]]-punch[[#This Row],[Time In]])</f>
        <v>8.6805555554747116E-2</v>
      </c>
      <c r="E218" s="178">
        <f>IF(punch[[#This Row],[Time In]]="", "-", WEEKNUM(punch[[#This Row],[Time In]],15))</f>
        <v>49</v>
      </c>
      <c r="F218" s="114" cm="1">
        <f t="array" ref="F218">getWeekTotalHours(punch[[#This Row],[Artist]], punch[[#This Row],[WeekNum]])</f>
        <v>0.54791666666278616</v>
      </c>
      <c r="G218" s="226"/>
    </row>
    <row r="219" spans="1:7" ht="23.25" customHeight="1" x14ac:dyDescent="0.25">
      <c r="A219" s="182" t="s">
        <v>12</v>
      </c>
      <c r="B219" s="183">
        <v>45266.737500000003</v>
      </c>
      <c r="C219" s="183">
        <v>45266.922222222223</v>
      </c>
      <c r="D219" s="113">
        <f>IF(punch[[#This Row],[Time Out]]="", "-", punch[[#This Row],[Time Out]]-punch[[#This Row],[Time In]])</f>
        <v>0.18472222222044365</v>
      </c>
      <c r="E219" s="178">
        <f>IF(punch[[#This Row],[Time In]]="", "-", WEEKNUM(punch[[#This Row],[Time In]],15))</f>
        <v>49</v>
      </c>
      <c r="F219" s="114" cm="1">
        <f t="array" ref="F219">getWeekTotalHours(punch[[#This Row],[Artist]], punch[[#This Row],[WeekNum]])</f>
        <v>0.98124999999708962</v>
      </c>
      <c r="G219" s="226"/>
    </row>
    <row r="220" spans="1:7" ht="23.25" customHeight="1" x14ac:dyDescent="0.25">
      <c r="A220" s="182" t="s">
        <v>20</v>
      </c>
      <c r="B220" s="183">
        <v>45266.541666666664</v>
      </c>
      <c r="C220" s="183">
        <v>45266.708333333336</v>
      </c>
      <c r="D220" s="113">
        <f>IF(punch[[#This Row],[Time Out]]="", "-", punch[[#This Row],[Time Out]]-punch[[#This Row],[Time In]])</f>
        <v>0.16666666667151731</v>
      </c>
      <c r="E220" s="178">
        <f>IF(punch[[#This Row],[Time In]]="", "-", WEEKNUM(punch[[#This Row],[Time In]],15))</f>
        <v>49</v>
      </c>
      <c r="F220" s="114" cm="1">
        <f t="array" ref="F220">getWeekTotalHours(punch[[#This Row],[Artist]], punch[[#This Row],[WeekNum]])</f>
        <v>0.54166666667151731</v>
      </c>
      <c r="G220" s="226"/>
    </row>
    <row r="221" spans="1:7" ht="23.25" customHeight="1" x14ac:dyDescent="0.25">
      <c r="A221" s="182" t="s">
        <v>20</v>
      </c>
      <c r="B221" s="183">
        <v>45266.791666666664</v>
      </c>
      <c r="C221" s="183">
        <v>45266.833333333336</v>
      </c>
      <c r="D221" s="113">
        <f>IF(punch[[#This Row],[Time Out]]="", "-", punch[[#This Row],[Time Out]]-punch[[#This Row],[Time In]])</f>
        <v>4.1666666671517305E-2</v>
      </c>
      <c r="E221" s="178">
        <f>IF(punch[[#This Row],[Time In]]="", "-", WEEKNUM(punch[[#This Row],[Time In]],15))</f>
        <v>49</v>
      </c>
      <c r="F221" s="114" cm="1">
        <f t="array" ref="F221">getWeekTotalHours(punch[[#This Row],[Artist]], punch[[#This Row],[WeekNum]])</f>
        <v>0.54166666667151731</v>
      </c>
      <c r="G221" s="226"/>
    </row>
    <row r="222" spans="1:7" ht="23.25" customHeight="1" x14ac:dyDescent="0.25">
      <c r="A222" s="182" t="s">
        <v>18</v>
      </c>
      <c r="B222" s="183">
        <v>45267.35</v>
      </c>
      <c r="C222" s="183">
        <v>45267.491666666669</v>
      </c>
      <c r="D222" s="113">
        <f>IF(punch[[#This Row],[Time Out]]="", "-", punch[[#This Row],[Time Out]]-punch[[#This Row],[Time In]])</f>
        <v>0.14166666667006211</v>
      </c>
      <c r="E222" s="178">
        <f>IF(punch[[#This Row],[Time In]]="", "-", WEEKNUM(punch[[#This Row],[Time In]],15))</f>
        <v>49</v>
      </c>
      <c r="F222" s="114" cm="1">
        <f t="array" ref="F222">getWeekTotalHours(punch[[#This Row],[Artist]], punch[[#This Row],[WeekNum]])</f>
        <v>2.0951388888861402</v>
      </c>
      <c r="G222" s="226"/>
    </row>
    <row r="223" spans="1:7" ht="23.25" customHeight="1" x14ac:dyDescent="0.25">
      <c r="A223" s="182" t="s">
        <v>20</v>
      </c>
      <c r="B223" s="183">
        <v>45267.354166666664</v>
      </c>
      <c r="C223" s="183">
        <v>45267.479166666664</v>
      </c>
      <c r="D223" s="113">
        <f>IF(punch[[#This Row],[Time Out]]="", "-", punch[[#This Row],[Time Out]]-punch[[#This Row],[Time In]])</f>
        <v>0.125</v>
      </c>
      <c r="E223" s="178">
        <f>IF(punch[[#This Row],[Time In]]="", "-", WEEKNUM(punch[[#This Row],[Time In]],15))</f>
        <v>49</v>
      </c>
      <c r="F223" s="114" cm="1">
        <f t="array" ref="F223">getWeekTotalHours(punch[[#This Row],[Artist]], punch[[#This Row],[WeekNum]])</f>
        <v>0.54166666667151731</v>
      </c>
      <c r="G223" s="226"/>
    </row>
    <row r="224" spans="1:7" ht="23.25" customHeight="1" x14ac:dyDescent="0.25">
      <c r="A224" s="182" t="s">
        <v>12</v>
      </c>
      <c r="B224" s="183">
        <v>45267.813888888886</v>
      </c>
      <c r="C224" s="183">
        <v>45267.950694444444</v>
      </c>
      <c r="D224" s="113">
        <f>IF(punch[[#This Row],[Time Out]]="", "-", punch[[#This Row],[Time Out]]-punch[[#This Row],[Time In]])</f>
        <v>0.1368055555576575</v>
      </c>
      <c r="E224" s="178">
        <f>IF(punch[[#This Row],[Time In]]="", "-", WEEKNUM(punch[[#This Row],[Time In]],15))</f>
        <v>49</v>
      </c>
      <c r="F224" s="114" cm="1">
        <f t="array" ref="F224">getWeekTotalHours(punch[[#This Row],[Artist]], punch[[#This Row],[WeekNum]])</f>
        <v>0.98124999999708962</v>
      </c>
      <c r="G224" s="226"/>
    </row>
    <row r="225" spans="1:7" ht="23.25" customHeight="1" x14ac:dyDescent="0.25">
      <c r="A225" s="182" t="s">
        <v>12</v>
      </c>
      <c r="B225" s="183">
        <v>45268.376388888886</v>
      </c>
      <c r="C225" s="183">
        <v>45268.859027777777</v>
      </c>
      <c r="D225" s="113">
        <f>IF(punch[[#This Row],[Time Out]]="", "-", punch[[#This Row],[Time Out]]-punch[[#This Row],[Time In]])</f>
        <v>0.48263888889050577</v>
      </c>
      <c r="E225" s="178">
        <f>IF(punch[[#This Row],[Time In]]="", "-", WEEKNUM(punch[[#This Row],[Time In]],15))</f>
        <v>50</v>
      </c>
      <c r="F225" s="114" cm="1">
        <f t="array" ref="F225">getWeekTotalHours(punch[[#This Row],[Artist]], punch[[#This Row],[WeekNum]])</f>
        <v>1.5854166666686069</v>
      </c>
      <c r="G225" s="226"/>
    </row>
    <row r="226" spans="1:7" ht="23.25" customHeight="1" x14ac:dyDescent="0.25">
      <c r="A226" s="182" t="s">
        <v>18</v>
      </c>
      <c r="B226" s="183">
        <v>45268.667361111111</v>
      </c>
      <c r="C226" s="183">
        <v>45268.738194444442</v>
      </c>
      <c r="D226" s="113">
        <f>IF(punch[[#This Row],[Time Out]]="", "-", punch[[#This Row],[Time Out]]-punch[[#This Row],[Time In]])</f>
        <v>7.0833333331393078E-2</v>
      </c>
      <c r="E226" s="178">
        <f>IF(punch[[#This Row],[Time In]]="", "-", WEEKNUM(punch[[#This Row],[Time In]],15))</f>
        <v>50</v>
      </c>
      <c r="F226" s="114" cm="1">
        <f t="array" ref="F226">getWeekTotalHours(punch[[#This Row],[Artist]], punch[[#This Row],[WeekNum]])</f>
        <v>2.1673611111109494</v>
      </c>
      <c r="G226" s="226"/>
    </row>
    <row r="227" spans="1:7" ht="23.25" customHeight="1" x14ac:dyDescent="0.25">
      <c r="A227" s="182" t="s">
        <v>18</v>
      </c>
      <c r="B227" s="183">
        <v>45269.468055555553</v>
      </c>
      <c r="C227" s="183">
        <v>45269.568055555559</v>
      </c>
      <c r="D227" s="113">
        <f>IF(punch[[#This Row],[Time Out]]="", "-", punch[[#This Row],[Time Out]]-punch[[#This Row],[Time In]])</f>
        <v>0.10000000000582077</v>
      </c>
      <c r="E227" s="178">
        <f>IF(punch[[#This Row],[Time In]]="", "-", WEEKNUM(punch[[#This Row],[Time In]],15))</f>
        <v>50</v>
      </c>
      <c r="F227" s="114" cm="1">
        <f t="array" ref="F227">getWeekTotalHours(punch[[#This Row],[Artist]], punch[[#This Row],[WeekNum]])</f>
        <v>2.1673611111109494</v>
      </c>
      <c r="G227" s="226"/>
    </row>
    <row r="228" spans="1:7" ht="23.25" customHeight="1" x14ac:dyDescent="0.25">
      <c r="A228" s="182" t="s">
        <v>14</v>
      </c>
      <c r="B228" s="183">
        <v>45269.555555555555</v>
      </c>
      <c r="C228" s="183">
        <v>45269.861805555556</v>
      </c>
      <c r="D228" s="113">
        <f>IF(punch[[#This Row],[Time Out]]="", "-", punch[[#This Row],[Time Out]]-punch[[#This Row],[Time In]])</f>
        <v>0.30625000000145519</v>
      </c>
      <c r="E228" s="178">
        <f>IF(punch[[#This Row],[Time In]]="", "-", WEEKNUM(punch[[#This Row],[Time In]],15))</f>
        <v>50</v>
      </c>
      <c r="F228" s="114" cm="1">
        <f t="array" ref="F228">getWeekTotalHours(punch[[#This Row],[Artist]], punch[[#This Row],[WeekNum]])</f>
        <v>0.63333333333866904</v>
      </c>
      <c r="G228" s="226"/>
    </row>
    <row r="229" spans="1:7" ht="23.25" customHeight="1" x14ac:dyDescent="0.25">
      <c r="A229" s="182" t="s">
        <v>18</v>
      </c>
      <c r="B229" s="183">
        <v>45270.361805555556</v>
      </c>
      <c r="C229" s="183">
        <v>45270.796527777777</v>
      </c>
      <c r="D229" s="113">
        <f>IF(punch[[#This Row],[Time Out]]="", "-", punch[[#This Row],[Time Out]]-punch[[#This Row],[Time In]])</f>
        <v>0.43472222222044365</v>
      </c>
      <c r="E229" s="178">
        <f>IF(punch[[#This Row],[Time In]]="", "-", WEEKNUM(punch[[#This Row],[Time In]],15))</f>
        <v>50</v>
      </c>
      <c r="F229" s="114" cm="1">
        <f t="array" ref="F229">getWeekTotalHours(punch[[#This Row],[Artist]], punch[[#This Row],[WeekNum]])</f>
        <v>2.1673611111109494</v>
      </c>
      <c r="G229" s="226"/>
    </row>
    <row r="230" spans="1:7" ht="23.25" customHeight="1" x14ac:dyDescent="0.25">
      <c r="A230" s="182" t="s">
        <v>16</v>
      </c>
      <c r="B230" s="183">
        <v>45270.568055555559</v>
      </c>
      <c r="C230" s="183">
        <v>45271.029166666667</v>
      </c>
      <c r="D230" s="113">
        <f>IF(punch[[#This Row],[Time Out]]="", "-", punch[[#This Row],[Time Out]]-punch[[#This Row],[Time In]])</f>
        <v>0.46111111110803904</v>
      </c>
      <c r="E230" s="178">
        <f>IF(punch[[#This Row],[Time In]]="", "-", WEEKNUM(punch[[#This Row],[Time In]],15))</f>
        <v>50</v>
      </c>
      <c r="F230" s="114" cm="1">
        <f t="array" ref="F230">getWeekTotalHours(punch[[#This Row],[Artist]], punch[[#This Row],[WeekNum]])</f>
        <v>1.3548611111109494</v>
      </c>
      <c r="G230" s="226"/>
    </row>
    <row r="231" spans="1:7" ht="23.25" customHeight="1" x14ac:dyDescent="0.25">
      <c r="A231" s="182" t="s">
        <v>12</v>
      </c>
      <c r="B231" s="183">
        <v>45270.805555555555</v>
      </c>
      <c r="C231" s="183">
        <v>45270.9375</v>
      </c>
      <c r="D231" s="113">
        <f>IF(punch[[#This Row],[Time Out]]="", "-", punch[[#This Row],[Time Out]]-punch[[#This Row],[Time In]])</f>
        <v>0.13194444444525288</v>
      </c>
      <c r="E231" s="178">
        <f>IF(punch[[#This Row],[Time In]]="", "-", WEEKNUM(punch[[#This Row],[Time In]],15))</f>
        <v>50</v>
      </c>
      <c r="F231" s="114" cm="1">
        <f t="array" ref="F231">getWeekTotalHours(punch[[#This Row],[Artist]], punch[[#This Row],[WeekNum]])</f>
        <v>1.5854166666686069</v>
      </c>
      <c r="G231" s="226"/>
    </row>
    <row r="232" spans="1:7" ht="23.25" customHeight="1" x14ac:dyDescent="0.25">
      <c r="A232" s="182" t="s">
        <v>18</v>
      </c>
      <c r="B232" s="183">
        <v>45271.363888888889</v>
      </c>
      <c r="C232" s="183">
        <v>45271.75</v>
      </c>
      <c r="D232" s="113">
        <f>IF(punch[[#This Row],[Time Out]]="", "-", punch[[#This Row],[Time Out]]-punch[[#This Row],[Time In]])</f>
        <v>0.38611111111094942</v>
      </c>
      <c r="E232" s="178">
        <f>IF(punch[[#This Row],[Time In]]="", "-", WEEKNUM(punch[[#This Row],[Time In]],15))</f>
        <v>50</v>
      </c>
      <c r="F232" s="114" cm="1">
        <f t="array" ref="F232">getWeekTotalHours(punch[[#This Row],[Artist]], punch[[#This Row],[WeekNum]])</f>
        <v>2.1673611111109494</v>
      </c>
      <c r="G232" s="226"/>
    </row>
    <row r="233" spans="1:7" ht="23.25" customHeight="1" x14ac:dyDescent="0.25">
      <c r="A233" s="182" t="s">
        <v>12</v>
      </c>
      <c r="B233" s="183">
        <v>45271.375</v>
      </c>
      <c r="C233" s="183">
        <v>45271.645833333336</v>
      </c>
      <c r="D233" s="113">
        <f>IF(punch[[#This Row],[Time Out]]="", "-", punch[[#This Row],[Time Out]]-punch[[#This Row],[Time In]])</f>
        <v>0.27083333333575865</v>
      </c>
      <c r="E233" s="178">
        <f>IF(punch[[#This Row],[Time In]]="", "-", WEEKNUM(punch[[#This Row],[Time In]],15))</f>
        <v>50</v>
      </c>
      <c r="F233" s="114" cm="1">
        <f t="array" ref="F233">getWeekTotalHours(punch[[#This Row],[Artist]], punch[[#This Row],[WeekNum]])</f>
        <v>1.5854166666686069</v>
      </c>
      <c r="G233" s="226"/>
    </row>
    <row r="234" spans="1:7" ht="23.25" customHeight="1" x14ac:dyDescent="0.25">
      <c r="A234" s="182" t="s">
        <v>14</v>
      </c>
      <c r="B234" s="183">
        <v>45271.4375</v>
      </c>
      <c r="C234" s="183">
        <v>45271.496527777781</v>
      </c>
      <c r="D234" s="113">
        <f>IF(punch[[#This Row],[Time Out]]="", "-", punch[[#This Row],[Time Out]]-punch[[#This Row],[Time In]])</f>
        <v>5.9027777781011537E-2</v>
      </c>
      <c r="E234" s="178">
        <f>IF(punch[[#This Row],[Time In]]="", "-", WEEKNUM(punch[[#This Row],[Time In]],15))</f>
        <v>50</v>
      </c>
      <c r="F234" s="114" cm="1">
        <f t="array" ref="F234">getWeekTotalHours(punch[[#This Row],[Artist]], punch[[#This Row],[WeekNum]])</f>
        <v>0.63333333333866904</v>
      </c>
      <c r="G234" s="226"/>
    </row>
    <row r="235" spans="1:7" ht="23.25" customHeight="1" x14ac:dyDescent="0.25">
      <c r="A235" s="182" t="s">
        <v>16</v>
      </c>
      <c r="B235" s="183">
        <v>45271.4375</v>
      </c>
      <c r="C235" s="183">
        <v>45271.739583333336</v>
      </c>
      <c r="D235" s="113">
        <f>IF(punch[[#This Row],[Time Out]]="", "-", punch[[#This Row],[Time Out]]-punch[[#This Row],[Time In]])</f>
        <v>0.30208333333575865</v>
      </c>
      <c r="E235" s="178">
        <f>IF(punch[[#This Row],[Time In]]="", "-", WEEKNUM(punch[[#This Row],[Time In]],15))</f>
        <v>50</v>
      </c>
      <c r="F235" s="114" cm="1">
        <f t="array" ref="F235">getWeekTotalHours(punch[[#This Row],[Artist]], punch[[#This Row],[WeekNum]])</f>
        <v>1.3548611111109494</v>
      </c>
      <c r="G235" s="226"/>
    </row>
    <row r="236" spans="1:7" ht="23.25" customHeight="1" x14ac:dyDescent="0.25">
      <c r="A236" s="182" t="s">
        <v>18</v>
      </c>
      <c r="B236" s="183">
        <v>45271.79583333333</v>
      </c>
      <c r="C236" s="183">
        <v>45271.87777777778</v>
      </c>
      <c r="D236" s="113">
        <f>IF(punch[[#This Row],[Time Out]]="", "-", punch[[#This Row],[Time Out]]-punch[[#This Row],[Time In]])</f>
        <v>8.1944444449618459E-2</v>
      </c>
      <c r="E236" s="178">
        <f>IF(punch[[#This Row],[Time In]]="", "-", WEEKNUM(punch[[#This Row],[Time In]],15))</f>
        <v>50</v>
      </c>
      <c r="F236" s="114" cm="1">
        <f t="array" ref="F236">getWeekTotalHours(punch[[#This Row],[Artist]], punch[[#This Row],[WeekNum]])</f>
        <v>2.1673611111109494</v>
      </c>
      <c r="G236" s="226"/>
    </row>
    <row r="237" spans="1:7" ht="23.25" customHeight="1" x14ac:dyDescent="0.25">
      <c r="A237" s="182" t="s">
        <v>12</v>
      </c>
      <c r="B237" s="183">
        <v>45271.822916666664</v>
      </c>
      <c r="C237" s="183">
        <v>45271.85833333333</v>
      </c>
      <c r="D237" s="113">
        <f>IF(punch[[#This Row],[Time Out]]="", "-", punch[[#This Row],[Time Out]]-punch[[#This Row],[Time In]])</f>
        <v>3.5416666665696539E-2</v>
      </c>
      <c r="E237" s="178">
        <f>IF(punch[[#This Row],[Time In]]="", "-", WEEKNUM(punch[[#This Row],[Time In]],15))</f>
        <v>50</v>
      </c>
      <c r="F237" s="114" cm="1">
        <f t="array" ref="F237">getWeekTotalHours(punch[[#This Row],[Artist]], punch[[#This Row],[WeekNum]])</f>
        <v>1.5854166666686069</v>
      </c>
      <c r="G237" s="226"/>
    </row>
    <row r="238" spans="1:7" ht="23.25" customHeight="1" x14ac:dyDescent="0.25">
      <c r="A238" s="182" t="s">
        <v>18</v>
      </c>
      <c r="B238" s="183">
        <v>45272.31527777778</v>
      </c>
      <c r="C238" s="183">
        <v>45272.793055555558</v>
      </c>
      <c r="D238" s="113">
        <f>IF(punch[[#This Row],[Time Out]]="", "-", punch[[#This Row],[Time Out]]-punch[[#This Row],[Time In]])</f>
        <v>0.47777777777810115</v>
      </c>
      <c r="E238" s="178">
        <f>IF(punch[[#This Row],[Time In]]="", "-", WEEKNUM(punch[[#This Row],[Time In]],15))</f>
        <v>50</v>
      </c>
      <c r="F238" s="114" cm="1">
        <f t="array" ref="F238">getWeekTotalHours(punch[[#This Row],[Artist]], punch[[#This Row],[WeekNum]])</f>
        <v>2.1673611111109494</v>
      </c>
      <c r="G238" s="226"/>
    </row>
    <row r="239" spans="1:7" ht="23.25" customHeight="1" x14ac:dyDescent="0.25">
      <c r="A239" s="182" t="s">
        <v>16</v>
      </c>
      <c r="B239" s="183">
        <v>45272.416666666664</v>
      </c>
      <c r="C239" s="183">
        <v>45273.008333333331</v>
      </c>
      <c r="D239" s="113">
        <f>IF(punch[[#This Row],[Time Out]]="", "-", punch[[#This Row],[Time Out]]-punch[[#This Row],[Time In]])</f>
        <v>0.59166666666715173</v>
      </c>
      <c r="E239" s="178">
        <f>IF(punch[[#This Row],[Time In]]="", "-", WEEKNUM(punch[[#This Row],[Time In]],15))</f>
        <v>50</v>
      </c>
      <c r="F239" s="114" cm="1">
        <f t="array" ref="F239">getWeekTotalHours(punch[[#This Row],[Artist]], punch[[#This Row],[WeekNum]])</f>
        <v>1.3548611111109494</v>
      </c>
      <c r="G239" s="226"/>
    </row>
    <row r="240" spans="1:7" ht="23.25" customHeight="1" x14ac:dyDescent="0.25">
      <c r="A240" s="182" t="s">
        <v>18</v>
      </c>
      <c r="B240" s="183">
        <v>45273.279861111114</v>
      </c>
      <c r="C240" s="183">
        <v>45273.771527777775</v>
      </c>
      <c r="D240" s="113">
        <f>IF(punch[[#This Row],[Time Out]]="", "-", punch[[#This Row],[Time Out]]-punch[[#This Row],[Time In]])</f>
        <v>0.49166666666133096</v>
      </c>
      <c r="E240" s="178">
        <f>IF(punch[[#This Row],[Time In]]="", "-", WEEKNUM(punch[[#This Row],[Time In]],15))</f>
        <v>50</v>
      </c>
      <c r="F240" s="114" cm="1">
        <f t="array" ref="F240">getWeekTotalHours(punch[[#This Row],[Artist]], punch[[#This Row],[WeekNum]])</f>
        <v>2.1673611111109494</v>
      </c>
      <c r="G240" s="226"/>
    </row>
    <row r="241" spans="1:7" ht="23.25" customHeight="1" x14ac:dyDescent="0.25">
      <c r="A241" s="182" t="s">
        <v>12</v>
      </c>
      <c r="B241" s="183">
        <v>45273.335416666669</v>
      </c>
      <c r="C241" s="183">
        <v>45274</v>
      </c>
      <c r="D241" s="113">
        <f>IF(punch[[#This Row],[Time Out]]="", "-", punch[[#This Row],[Time Out]]-punch[[#This Row],[Time In]])</f>
        <v>0.66458333333139308</v>
      </c>
      <c r="E241" s="178">
        <f>IF(punch[[#This Row],[Time In]]="", "-", WEEKNUM(punch[[#This Row],[Time In]],15))</f>
        <v>50</v>
      </c>
      <c r="F241" s="114" cm="1">
        <f t="array" ref="F241">getWeekTotalHours(punch[[#This Row],[Artist]], punch[[#This Row],[WeekNum]])</f>
        <v>1.5854166666686069</v>
      </c>
      <c r="G241" s="226"/>
    </row>
    <row r="242" spans="1:7" ht="23.25" customHeight="1" x14ac:dyDescent="0.25">
      <c r="A242" s="182" t="s">
        <v>14</v>
      </c>
      <c r="B242" s="183">
        <v>45273.647916666669</v>
      </c>
      <c r="C242" s="183">
        <v>45273.915972222225</v>
      </c>
      <c r="D242" s="113">
        <f>IF(punch[[#This Row],[Time Out]]="", "-", punch[[#This Row],[Time Out]]-punch[[#This Row],[Time In]])</f>
        <v>0.26805555555620231</v>
      </c>
      <c r="E242" s="178">
        <f>IF(punch[[#This Row],[Time In]]="", "-", WEEKNUM(punch[[#This Row],[Time In]],15))</f>
        <v>50</v>
      </c>
      <c r="F242" s="114" cm="1">
        <f t="array" ref="F242">getWeekTotalHours(punch[[#This Row],[Artist]], punch[[#This Row],[WeekNum]])</f>
        <v>0.63333333333866904</v>
      </c>
      <c r="G242" s="226"/>
    </row>
    <row r="243" spans="1:7" ht="23.25" customHeight="1" x14ac:dyDescent="0.25">
      <c r="A243" s="182" t="s">
        <v>18</v>
      </c>
      <c r="B243" s="183">
        <v>45274.875</v>
      </c>
      <c r="C243" s="183">
        <v>45274.999305555553</v>
      </c>
      <c r="D243" s="113">
        <f>IF(punch[[#This Row],[Time Out]]="", "-", punch[[#This Row],[Time Out]]-punch[[#This Row],[Time In]])</f>
        <v>0.12430555555329192</v>
      </c>
      <c r="E243" s="178">
        <f>IF(punch[[#This Row],[Time In]]="", "-", WEEKNUM(punch[[#This Row],[Time In]],15))</f>
        <v>50</v>
      </c>
      <c r="F243" s="114" cm="1">
        <f t="array" ref="F243">getWeekTotalHours(punch[[#This Row],[Artist]], punch[[#This Row],[WeekNum]])</f>
        <v>2.1673611111109494</v>
      </c>
      <c r="G243" s="226"/>
    </row>
    <row r="244" spans="1:7" ht="23.25" customHeight="1" x14ac:dyDescent="0.25">
      <c r="A244" s="182" t="s">
        <v>12</v>
      </c>
      <c r="B244" s="183">
        <v>45275.666666666664</v>
      </c>
      <c r="C244" s="183">
        <v>45275.813194444447</v>
      </c>
      <c r="D244" s="113">
        <f>IF(punch[[#This Row],[Time Out]]="", "-", punch[[#This Row],[Time Out]]-punch[[#This Row],[Time In]])</f>
        <v>0.14652777778246673</v>
      </c>
      <c r="E244" s="178">
        <f>IF(punch[[#This Row],[Time In]]="", "-", WEEKNUM(punch[[#This Row],[Time In]],15))</f>
        <v>51</v>
      </c>
      <c r="F244" s="114" cm="1">
        <f t="array" ref="F244">getWeekTotalHours(punch[[#This Row],[Artist]], punch[[#This Row],[WeekNum]])</f>
        <v>0.20416666667006211</v>
      </c>
      <c r="G244" s="226"/>
    </row>
    <row r="245" spans="1:7" ht="23.25" customHeight="1" x14ac:dyDescent="0.25">
      <c r="A245" s="182" t="s">
        <v>12</v>
      </c>
      <c r="B245" s="183">
        <v>45276.395833333336</v>
      </c>
      <c r="C245" s="183">
        <v>45276.453472222223</v>
      </c>
      <c r="D245" s="113">
        <f>IF(punch[[#This Row],[Time Out]]="", "-", punch[[#This Row],[Time Out]]-punch[[#This Row],[Time In]])</f>
        <v>5.7638888887595385E-2</v>
      </c>
      <c r="E245" s="178">
        <f>IF(punch[[#This Row],[Time In]]="", "-", WEEKNUM(punch[[#This Row],[Time In]],15))</f>
        <v>51</v>
      </c>
      <c r="F245" s="114" cm="1">
        <f t="array" ref="F245">getWeekTotalHours(punch[[#This Row],[Artist]], punch[[#This Row],[WeekNum]])</f>
        <v>0.20416666667006211</v>
      </c>
      <c r="G245" s="226"/>
    </row>
    <row r="246" spans="1:7" ht="23.25" customHeight="1" x14ac:dyDescent="0.25">
      <c r="A246" s="182" t="s">
        <v>18</v>
      </c>
      <c r="B246" s="183">
        <v>45296.444444444445</v>
      </c>
      <c r="C246" s="183">
        <v>45296.486111111109</v>
      </c>
      <c r="D246" s="113">
        <f>IF(punch[[#This Row],[Time Out]]="", "-", punch[[#This Row],[Time Out]]-punch[[#This Row],[Time In]])</f>
        <v>4.1666666664241347E-2</v>
      </c>
      <c r="E246" s="178">
        <f>IF(punch[[#This Row],[Time In]]="", "-", WEEKNUM(punch[[#This Row],[Time In]],15))</f>
        <v>2</v>
      </c>
      <c r="F246" s="114" cm="1">
        <f t="array" ref="F246">getWeekTotalHours(punch[[#This Row],[Artist]], punch[[#This Row],[WeekNum]])</f>
        <v>0.46736111110658385</v>
      </c>
      <c r="G246" s="226"/>
    </row>
    <row r="247" spans="1:7" ht="23.25" customHeight="1" x14ac:dyDescent="0.25">
      <c r="A247" s="224" t="s">
        <v>18</v>
      </c>
      <c r="B247" s="183">
        <v>45297.42083333333</v>
      </c>
      <c r="C247" s="183">
        <v>45297.463194444441</v>
      </c>
      <c r="D247" s="113">
        <f>IF(punch[[#This Row],[Time Out]]="", "-", punch[[#This Row],[Time Out]]-punch[[#This Row],[Time In]])</f>
        <v>4.2361111110949423E-2</v>
      </c>
      <c r="E247" s="178">
        <f>IF(punch[[#This Row],[Time In]]="", "-", WEEKNUM(punch[[#This Row],[Time In]],15))</f>
        <v>2</v>
      </c>
      <c r="F247" s="114" cm="1">
        <f t="array" ref="F247">getWeekTotalHours(punch[[#This Row],[Artist]], punch[[#This Row],[WeekNum]])</f>
        <v>0.46736111110658385</v>
      </c>
      <c r="G247" s="226"/>
    </row>
    <row r="248" spans="1:7" ht="23.25" customHeight="1" x14ac:dyDescent="0.25">
      <c r="A248" s="182" t="s">
        <v>18</v>
      </c>
      <c r="B248" s="183">
        <v>45297.594444444447</v>
      </c>
      <c r="C248" s="183">
        <v>45297.682638888888</v>
      </c>
      <c r="D248" s="113">
        <f>IF(punch[[#This Row],[Time Out]]="", "-", punch[[#This Row],[Time Out]]-punch[[#This Row],[Time In]])</f>
        <v>8.819444444088731E-2</v>
      </c>
      <c r="E248" s="178">
        <f>IF(punch[[#This Row],[Time In]]="", "-", WEEKNUM(punch[[#This Row],[Time In]],15))</f>
        <v>2</v>
      </c>
      <c r="F248" s="114" cm="1">
        <f t="array" ref="F248">getWeekTotalHours(punch[[#This Row],[Artist]], punch[[#This Row],[WeekNum]])</f>
        <v>0.46736111110658385</v>
      </c>
      <c r="G248" s="226"/>
    </row>
    <row r="249" spans="1:7" ht="23.25" customHeight="1" x14ac:dyDescent="0.25">
      <c r="A249" s="182" t="s">
        <v>18</v>
      </c>
      <c r="B249" s="183">
        <v>45298.451388888891</v>
      </c>
      <c r="C249" s="183">
        <v>45298.482638888891</v>
      </c>
      <c r="D249" s="113">
        <f>IF(punch[[#This Row],[Time Out]]="", "-", punch[[#This Row],[Time Out]]-punch[[#This Row],[Time In]])</f>
        <v>3.125E-2</v>
      </c>
      <c r="E249" s="178">
        <f>IF(punch[[#This Row],[Time In]]="", "-", WEEKNUM(punch[[#This Row],[Time In]],15))</f>
        <v>2</v>
      </c>
      <c r="F249" s="114" cm="1">
        <f t="array" ref="F249">getWeekTotalHours(punch[[#This Row],[Artist]], punch[[#This Row],[WeekNum]])</f>
        <v>0.46736111110658385</v>
      </c>
      <c r="G249" s="226"/>
    </row>
    <row r="250" spans="1:7" ht="23.25" customHeight="1" x14ac:dyDescent="0.25">
      <c r="A250" s="182" t="s">
        <v>18</v>
      </c>
      <c r="B250" s="183">
        <v>45299.470833333333</v>
      </c>
      <c r="C250" s="183">
        <v>45299.510416666664</v>
      </c>
      <c r="D250" s="113">
        <f>IF(punch[[#This Row],[Time Out]]="", "-", punch[[#This Row],[Time Out]]-punch[[#This Row],[Time In]])</f>
        <v>3.9583333331393078E-2</v>
      </c>
      <c r="E250" s="178">
        <f>IF(punch[[#This Row],[Time In]]="", "-", WEEKNUM(punch[[#This Row],[Time In]],15))</f>
        <v>2</v>
      </c>
      <c r="F250" s="114" cm="1">
        <f t="array" ref="F250">getWeekTotalHours(punch[[#This Row],[Artist]], punch[[#This Row],[WeekNum]])</f>
        <v>0.46736111110658385</v>
      </c>
      <c r="G250" s="226"/>
    </row>
    <row r="251" spans="1:7" ht="23.25" customHeight="1" x14ac:dyDescent="0.25">
      <c r="A251" s="182" t="s">
        <v>18</v>
      </c>
      <c r="B251" s="183">
        <v>45299.557638888888</v>
      </c>
      <c r="C251" s="183">
        <v>45299.67083333333</v>
      </c>
      <c r="D251" s="113">
        <f>IF(punch[[#This Row],[Time Out]]="", "-", punch[[#This Row],[Time Out]]-punch[[#This Row],[Time In]])</f>
        <v>0.1131944444423425</v>
      </c>
      <c r="E251" s="178">
        <f>IF(punch[[#This Row],[Time In]]="", "-", WEEKNUM(punch[[#This Row],[Time In]],15))</f>
        <v>2</v>
      </c>
      <c r="F251" s="114" cm="1">
        <f t="array" ref="F251">getWeekTotalHours(punch[[#This Row],[Artist]], punch[[#This Row],[WeekNum]])</f>
        <v>0.46736111110658385</v>
      </c>
      <c r="G251" s="226"/>
    </row>
    <row r="252" spans="1:7" ht="23.25" customHeight="1" x14ac:dyDescent="0.25">
      <c r="A252" s="182" t="s">
        <v>18</v>
      </c>
      <c r="B252" s="183">
        <v>45301.436805555553</v>
      </c>
      <c r="C252" s="183">
        <v>45301.54791666667</v>
      </c>
      <c r="D252" s="113">
        <f>IF(punch[[#This Row],[Time Out]]="", "-", punch[[#This Row],[Time Out]]-punch[[#This Row],[Time In]])</f>
        <v>0.11111111111677019</v>
      </c>
      <c r="E252" s="178">
        <f>IF(punch[[#This Row],[Time In]]="", "-", WEEKNUM(punch[[#This Row],[Time In]],15))</f>
        <v>2</v>
      </c>
      <c r="F252" s="114" cm="1">
        <f t="array" ref="F252">getWeekTotalHours(punch[[#This Row],[Artist]], punch[[#This Row],[WeekNum]])</f>
        <v>0.46736111110658385</v>
      </c>
      <c r="G252" s="226"/>
    </row>
    <row r="253" spans="1:7" ht="23.25" customHeight="1" x14ac:dyDescent="0.25">
      <c r="A253" s="182" t="s">
        <v>16</v>
      </c>
      <c r="B253" s="183">
        <v>45302.479166666664</v>
      </c>
      <c r="C253" s="183">
        <v>45302.597222222219</v>
      </c>
      <c r="D253" s="113">
        <f>IF(punch[[#This Row],[Time Out]]="", "-", punch[[#This Row],[Time Out]]-punch[[#This Row],[Time In]])</f>
        <v>0.11805555555474712</v>
      </c>
      <c r="E253" s="178">
        <f>IF(punch[[#This Row],[Time In]]="", "-", WEEKNUM(punch[[#This Row],[Time In]],15))</f>
        <v>2</v>
      </c>
      <c r="F253" s="114" cm="1">
        <f t="array" ref="F253">getWeekTotalHours(punch[[#This Row],[Artist]], punch[[#This Row],[WeekNum]])</f>
        <v>0.11805555555474712</v>
      </c>
      <c r="G253" s="226"/>
    </row>
    <row r="254" spans="1:7" ht="23.25" customHeight="1" x14ac:dyDescent="0.25">
      <c r="A254" s="182" t="s">
        <v>16</v>
      </c>
      <c r="B254" s="183">
        <v>45303.5</v>
      </c>
      <c r="C254" s="183">
        <v>45303.661805555559</v>
      </c>
      <c r="D254" s="113">
        <f>IF(punch[[#This Row],[Time Out]]="", "-", punch[[#This Row],[Time Out]]-punch[[#This Row],[Time In]])</f>
        <v>0.16180555555911269</v>
      </c>
      <c r="E254" s="178">
        <f>IF(punch[[#This Row],[Time In]]="", "-", WEEKNUM(punch[[#This Row],[Time In]],15))</f>
        <v>3</v>
      </c>
      <c r="F254" s="114" cm="1">
        <f t="array" ref="F254">getWeekTotalHours(punch[[#This Row],[Artist]], punch[[#This Row],[WeekNum]])</f>
        <v>1.4569444444496185</v>
      </c>
      <c r="G254" s="226"/>
    </row>
    <row r="255" spans="1:7" ht="23.25" customHeight="1" x14ac:dyDescent="0.25">
      <c r="A255" s="182" t="s">
        <v>18</v>
      </c>
      <c r="B255" s="183">
        <v>45303.55972222222</v>
      </c>
      <c r="C255" s="183">
        <v>45303.652777777781</v>
      </c>
      <c r="D255" s="113">
        <f>IF(punch[[#This Row],[Time Out]]="", "-", punch[[#This Row],[Time Out]]-punch[[#This Row],[Time In]])</f>
        <v>9.3055555560567882E-2</v>
      </c>
      <c r="E255" s="178">
        <f>IF(punch[[#This Row],[Time In]]="", "-", WEEKNUM(punch[[#This Row],[Time In]],15))</f>
        <v>3</v>
      </c>
      <c r="F255" s="114" cm="1">
        <f t="array" ref="F255">getWeekTotalHours(punch[[#This Row],[Artist]], punch[[#This Row],[WeekNum]])</f>
        <v>0.74861111112841172</v>
      </c>
      <c r="G255" s="226"/>
    </row>
    <row r="256" spans="1:7" ht="23.25" customHeight="1" x14ac:dyDescent="0.25">
      <c r="A256" s="182" t="s">
        <v>18</v>
      </c>
      <c r="B256" s="183">
        <v>45305.4</v>
      </c>
      <c r="C256" s="183">
        <v>45305.465277777781</v>
      </c>
      <c r="D256" s="113">
        <f>IF(punch[[#This Row],[Time Out]]="", "-", punch[[#This Row],[Time Out]]-punch[[#This Row],[Time In]])</f>
        <v>6.5277777779556345E-2</v>
      </c>
      <c r="E256" s="178">
        <f>IF(punch[[#This Row],[Time In]]="", "-", WEEKNUM(punch[[#This Row],[Time In]],15))</f>
        <v>3</v>
      </c>
      <c r="F256" s="114" cm="1">
        <f t="array" ref="F256">getWeekTotalHours(punch[[#This Row],[Artist]], punch[[#This Row],[WeekNum]])</f>
        <v>0.74861111112841172</v>
      </c>
      <c r="G256" s="226"/>
    </row>
    <row r="257" spans="1:7" ht="23.25" customHeight="1" x14ac:dyDescent="0.25">
      <c r="A257" s="182" t="s">
        <v>12</v>
      </c>
      <c r="B257" s="183">
        <v>45305.493055555555</v>
      </c>
      <c r="C257" s="183">
        <v>45305.688194444447</v>
      </c>
      <c r="D257" s="113">
        <f>IF(punch[[#This Row],[Time Out]]="", "-", punch[[#This Row],[Time Out]]-punch[[#This Row],[Time In]])</f>
        <v>0.19513888889196096</v>
      </c>
      <c r="E257" s="178">
        <f>IF(punch[[#This Row],[Time In]]="", "-", WEEKNUM(punch[[#This Row],[Time In]],15))</f>
        <v>3</v>
      </c>
      <c r="F257" s="114" cm="1">
        <f t="array" ref="F257">getWeekTotalHours(punch[[#This Row],[Artist]], punch[[#This Row],[WeekNum]])</f>
        <v>0.56666666666569654</v>
      </c>
      <c r="G257" s="226"/>
    </row>
    <row r="258" spans="1:7" ht="23.25" customHeight="1" x14ac:dyDescent="0.25">
      <c r="A258" s="182" t="s">
        <v>16</v>
      </c>
      <c r="B258" s="183">
        <v>45305.520833333336</v>
      </c>
      <c r="C258" s="183">
        <v>45305.717361111114</v>
      </c>
      <c r="D258" s="113">
        <f>IF(punch[[#This Row],[Time Out]]="", "-", punch[[#This Row],[Time Out]]-punch[[#This Row],[Time In]])</f>
        <v>0.19652777777810115</v>
      </c>
      <c r="E258" s="178">
        <f>IF(punch[[#This Row],[Time In]]="", "-", WEEKNUM(punch[[#This Row],[Time In]],15))</f>
        <v>3</v>
      </c>
      <c r="F258" s="114" cm="1">
        <f t="array" ref="F258">getWeekTotalHours(punch[[#This Row],[Artist]], punch[[#This Row],[WeekNum]])</f>
        <v>1.4569444444496185</v>
      </c>
      <c r="G258" s="226"/>
    </row>
    <row r="259" spans="1:7" ht="23.25" customHeight="1" x14ac:dyDescent="0.25">
      <c r="A259" s="182" t="s">
        <v>14</v>
      </c>
      <c r="B259" s="183">
        <v>45305.536111111112</v>
      </c>
      <c r="C259" s="183">
        <v>45305.871527777781</v>
      </c>
      <c r="D259" s="113">
        <f>IF(punch[[#This Row],[Time Out]]="", "-", punch[[#This Row],[Time Out]]-punch[[#This Row],[Time In]])</f>
        <v>0.33541666666860692</v>
      </c>
      <c r="E259" s="178">
        <f>IF(punch[[#This Row],[Time In]]="", "-", WEEKNUM(punch[[#This Row],[Time In]],15))</f>
        <v>3</v>
      </c>
      <c r="F259" s="114" cm="1">
        <f t="array" ref="F259">getWeekTotalHours(punch[[#This Row],[Artist]], punch[[#This Row],[WeekNum]])</f>
        <v>0.98124999998981366</v>
      </c>
      <c r="G259" s="226"/>
    </row>
    <row r="260" spans="1:7" ht="23.25" customHeight="1" x14ac:dyDescent="0.25">
      <c r="A260" s="182" t="s">
        <v>14</v>
      </c>
      <c r="B260" s="183">
        <v>45306.520833333336</v>
      </c>
      <c r="C260" s="183">
        <v>45306.744444444441</v>
      </c>
      <c r="D260" s="113">
        <f>IF(punch[[#This Row],[Time Out]]="", "-", punch[[#This Row],[Time Out]]-punch[[#This Row],[Time In]])</f>
        <v>0.22361111110512866</v>
      </c>
      <c r="E260" s="178">
        <f>IF(punch[[#This Row],[Time In]]="", "-", WEEKNUM(punch[[#This Row],[Time In]],15))</f>
        <v>3</v>
      </c>
      <c r="F260" s="114" cm="1">
        <f t="array" ref="F260">getWeekTotalHours(punch[[#This Row],[Artist]], punch[[#This Row],[WeekNum]])</f>
        <v>0.98124999998981366</v>
      </c>
      <c r="G260" s="226"/>
    </row>
    <row r="261" spans="1:7" ht="23.25" customHeight="1" x14ac:dyDescent="0.25">
      <c r="A261" s="182" t="s">
        <v>16</v>
      </c>
      <c r="B261" s="183">
        <v>45306.625</v>
      </c>
      <c r="C261" s="183">
        <v>45306.708333333336</v>
      </c>
      <c r="D261" s="113">
        <f>IF(punch[[#This Row],[Time Out]]="", "-", punch[[#This Row],[Time Out]]-punch[[#This Row],[Time In]])</f>
        <v>8.3333333335758653E-2</v>
      </c>
      <c r="E261" s="178">
        <f>IF(punch[[#This Row],[Time In]]="", "-", WEEKNUM(punch[[#This Row],[Time In]],15))</f>
        <v>3</v>
      </c>
      <c r="F261" s="114" cm="1">
        <f t="array" ref="F261">getWeekTotalHours(punch[[#This Row],[Artist]], punch[[#This Row],[WeekNum]])</f>
        <v>1.4569444444496185</v>
      </c>
      <c r="G261" s="226"/>
    </row>
    <row r="262" spans="1:7" ht="23.25" customHeight="1" x14ac:dyDescent="0.25">
      <c r="A262" s="182" t="s">
        <v>12</v>
      </c>
      <c r="B262" s="183">
        <v>45306.605555555558</v>
      </c>
      <c r="C262" s="183">
        <v>45306.647222222222</v>
      </c>
      <c r="D262" s="113">
        <f>IF(punch[[#This Row],[Time Out]]="", "-", punch[[#This Row],[Time Out]]-punch[[#This Row],[Time In]])</f>
        <v>4.1666666664241347E-2</v>
      </c>
      <c r="E262" s="178">
        <f>IF(punch[[#This Row],[Time In]]="", "-", WEEKNUM(punch[[#This Row],[Time In]],15))</f>
        <v>3</v>
      </c>
      <c r="F262" s="114" cm="1">
        <f t="array" ref="F262">getWeekTotalHours(punch[[#This Row],[Artist]], punch[[#This Row],[WeekNum]])</f>
        <v>0.56666666666569654</v>
      </c>
      <c r="G262" s="226"/>
    </row>
    <row r="263" spans="1:7" ht="23.25" customHeight="1" x14ac:dyDescent="0.25">
      <c r="A263" s="182" t="s">
        <v>18</v>
      </c>
      <c r="B263" s="183">
        <v>45307.356944444444</v>
      </c>
      <c r="C263" s="183">
        <v>45307.402777777781</v>
      </c>
      <c r="D263" s="113">
        <f>IF(punch[[#This Row],[Time Out]]="", "-", punch[[#This Row],[Time Out]]-punch[[#This Row],[Time In]])</f>
        <v>4.5833333337213844E-2</v>
      </c>
      <c r="E263" s="178">
        <f>IF(punch[[#This Row],[Time In]]="", "-", WEEKNUM(punch[[#This Row],[Time In]],15))</f>
        <v>3</v>
      </c>
      <c r="F263" s="114" cm="1">
        <f t="array" ref="F263">getWeekTotalHours(punch[[#This Row],[Artist]], punch[[#This Row],[WeekNum]])</f>
        <v>0.74861111112841172</v>
      </c>
      <c r="G263" s="226"/>
    </row>
    <row r="264" spans="1:7" ht="23.25" customHeight="1" x14ac:dyDescent="0.25">
      <c r="A264" s="182" t="s">
        <v>16</v>
      </c>
      <c r="B264" s="183">
        <v>45307.416666666664</v>
      </c>
      <c r="C264" s="183">
        <v>45307.753472222219</v>
      </c>
      <c r="D264" s="113">
        <f>IF(punch[[#This Row],[Time Out]]="", "-", punch[[#This Row],[Time Out]]-punch[[#This Row],[Time In]])</f>
        <v>0.33680555555474712</v>
      </c>
      <c r="E264" s="178">
        <f>IF(punch[[#This Row],[Time In]]="", "-", WEEKNUM(punch[[#This Row],[Time In]],15))</f>
        <v>3</v>
      </c>
      <c r="F264" s="114" cm="1">
        <f t="array" ref="F264">getWeekTotalHours(punch[[#This Row],[Artist]], punch[[#This Row],[WeekNum]])</f>
        <v>1.4569444444496185</v>
      </c>
      <c r="G264" s="226"/>
    </row>
    <row r="265" spans="1:7" ht="23.25" customHeight="1" x14ac:dyDescent="0.25">
      <c r="A265" s="182" t="s">
        <v>18</v>
      </c>
      <c r="B265" s="183">
        <v>45307.522916666669</v>
      </c>
      <c r="C265" s="183">
        <v>45307.643750000003</v>
      </c>
      <c r="D265" s="113">
        <f>IF(punch[[#This Row],[Time Out]]="", "-", punch[[#This Row],[Time Out]]-punch[[#This Row],[Time In]])</f>
        <v>0.12083333333430346</v>
      </c>
      <c r="E265" s="178">
        <f>IF(punch[[#This Row],[Time In]]="", "-", WEEKNUM(punch[[#This Row],[Time In]],15))</f>
        <v>3</v>
      </c>
      <c r="F265" s="114" cm="1">
        <f t="array" ref="F265">getWeekTotalHours(punch[[#This Row],[Artist]], punch[[#This Row],[WeekNum]])</f>
        <v>0.74861111112841172</v>
      </c>
      <c r="G265" s="226"/>
    </row>
    <row r="266" spans="1:7" ht="23.25" customHeight="1" x14ac:dyDescent="0.25">
      <c r="A266" s="182" t="s">
        <v>14</v>
      </c>
      <c r="B266" s="183">
        <v>45307.55</v>
      </c>
      <c r="C266" s="183">
        <v>45307.861805555556</v>
      </c>
      <c r="D266" s="113">
        <f>IF(punch[[#This Row],[Time Out]]="", "-", punch[[#This Row],[Time Out]]-punch[[#This Row],[Time In]])</f>
        <v>0.31180555555329192</v>
      </c>
      <c r="E266" s="178">
        <f>IF(punch[[#This Row],[Time In]]="", "-", WEEKNUM(punch[[#This Row],[Time In]],15))</f>
        <v>3</v>
      </c>
      <c r="F266" s="114" cm="1">
        <f t="array" ref="F266">getWeekTotalHours(punch[[#This Row],[Artist]], punch[[#This Row],[WeekNum]])</f>
        <v>0.98124999998981366</v>
      </c>
      <c r="G266" s="226"/>
    </row>
    <row r="267" spans="1:7" ht="23.25" customHeight="1" x14ac:dyDescent="0.25">
      <c r="A267" s="182" t="s">
        <v>16</v>
      </c>
      <c r="B267" s="183">
        <v>45308.4375</v>
      </c>
      <c r="C267" s="183">
        <v>45308.739583333336</v>
      </c>
      <c r="D267" s="113">
        <f>IF(punch[[#This Row],[Time Out]]="", "-", punch[[#This Row],[Time Out]]-punch[[#This Row],[Time In]])</f>
        <v>0.30208333333575865</v>
      </c>
      <c r="E267" s="178">
        <f>IF(punch[[#This Row],[Time In]]="", "-", WEEKNUM(punch[[#This Row],[Time In]],15))</f>
        <v>3</v>
      </c>
      <c r="F267" s="114" cm="1">
        <f t="array" ref="F267">getWeekTotalHours(punch[[#This Row],[Artist]], punch[[#This Row],[WeekNum]])</f>
        <v>1.4569444444496185</v>
      </c>
      <c r="G267" s="226"/>
    </row>
    <row r="268" spans="1:7" ht="23.25" customHeight="1" x14ac:dyDescent="0.25">
      <c r="A268" s="182" t="s">
        <v>18</v>
      </c>
      <c r="B268" s="183">
        <v>45308.461111111108</v>
      </c>
      <c r="C268" s="183">
        <v>45308.538888888892</v>
      </c>
      <c r="D268" s="113">
        <f>IF(punch[[#This Row],[Time Out]]="", "-", punch[[#This Row],[Time Out]]-punch[[#This Row],[Time In]])</f>
        <v>7.777777778392192E-2</v>
      </c>
      <c r="E268" s="178">
        <f>IF(punch[[#This Row],[Time In]]="", "-", WEEKNUM(punch[[#This Row],[Time In]],15))</f>
        <v>3</v>
      </c>
      <c r="F268" s="114" cm="1">
        <f t="array" ref="F268">getWeekTotalHours(punch[[#This Row],[Artist]], punch[[#This Row],[WeekNum]])</f>
        <v>0.74861111112841172</v>
      </c>
      <c r="G268" s="226"/>
    </row>
    <row r="269" spans="1:7" ht="23.25" customHeight="1" x14ac:dyDescent="0.25">
      <c r="A269" s="182" t="s">
        <v>12</v>
      </c>
      <c r="B269" s="183">
        <v>45308.463888888888</v>
      </c>
      <c r="C269" s="183">
        <v>45308.793749999997</v>
      </c>
      <c r="D269" s="113">
        <f>IF(punch[[#This Row],[Time Out]]="", "-", punch[[#This Row],[Time Out]]-punch[[#This Row],[Time In]])</f>
        <v>0.32986111110949423</v>
      </c>
      <c r="E269" s="178">
        <f>IF(punch[[#This Row],[Time In]]="", "-", WEEKNUM(punch[[#This Row],[Time In]],15))</f>
        <v>3</v>
      </c>
      <c r="F269" s="114" cm="1">
        <f t="array" ref="F269">getWeekTotalHours(punch[[#This Row],[Artist]], punch[[#This Row],[WeekNum]])</f>
        <v>0.56666666666569654</v>
      </c>
      <c r="G269" s="226"/>
    </row>
    <row r="270" spans="1:7" ht="23.25" customHeight="1" x14ac:dyDescent="0.25">
      <c r="A270" s="182" t="s">
        <v>18</v>
      </c>
      <c r="B270" s="183">
        <v>45308.565972222219</v>
      </c>
      <c r="C270" s="183">
        <v>45308.700694444444</v>
      </c>
      <c r="D270" s="113">
        <f>IF(punch[[#This Row],[Time Out]]="", "-", punch[[#This Row],[Time Out]]-punch[[#This Row],[Time In]])</f>
        <v>0.13472222222480923</v>
      </c>
      <c r="E270" s="178">
        <f>IF(punch[[#This Row],[Time In]]="", "-", WEEKNUM(punch[[#This Row],[Time In]],15))</f>
        <v>3</v>
      </c>
      <c r="F270" s="114" cm="1">
        <f t="array" ref="F270">getWeekTotalHours(punch[[#This Row],[Artist]], punch[[#This Row],[WeekNum]])</f>
        <v>0.74861111112841172</v>
      </c>
      <c r="G270" s="226"/>
    </row>
    <row r="271" spans="1:7" ht="23.25" customHeight="1" x14ac:dyDescent="0.25">
      <c r="A271" s="182" t="s">
        <v>14</v>
      </c>
      <c r="B271" s="183">
        <v>45308.520833333336</v>
      </c>
      <c r="C271" s="183">
        <v>45308.631249999999</v>
      </c>
      <c r="D271" s="113">
        <f>IF(punch[[#This Row],[Time Out]]="", "-", punch[[#This Row],[Time Out]]-punch[[#This Row],[Time In]])</f>
        <v>0.11041666666278616</v>
      </c>
      <c r="E271" s="178">
        <f>IF(punch[[#This Row],[Time In]]="", "-", WEEKNUM(punch[[#This Row],[Time In]],15))</f>
        <v>3</v>
      </c>
      <c r="F271" s="114" cm="1">
        <f t="array" ref="F271">getWeekTotalHours(punch[[#This Row],[Artist]], punch[[#This Row],[WeekNum]])</f>
        <v>0.98124999998981366</v>
      </c>
      <c r="G271" s="226"/>
    </row>
    <row r="272" spans="1:7" ht="23.25" customHeight="1" x14ac:dyDescent="0.25">
      <c r="A272" s="182" t="s">
        <v>18</v>
      </c>
      <c r="B272" s="183">
        <v>45309.411111111112</v>
      </c>
      <c r="C272" s="183">
        <v>45309.517361111109</v>
      </c>
      <c r="D272" s="113">
        <f>IF(punch[[#This Row],[Time Out]]="", "-", punch[[#This Row],[Time Out]]-punch[[#This Row],[Time In]])</f>
        <v>0.10624999999708962</v>
      </c>
      <c r="E272" s="178">
        <f>IF(punch[[#This Row],[Time In]]="", "-", WEEKNUM(punch[[#This Row],[Time In]],15))</f>
        <v>3</v>
      </c>
      <c r="F272" s="114" cm="1">
        <f t="array" ref="F272">getWeekTotalHours(punch[[#This Row],[Artist]], punch[[#This Row],[WeekNum]])</f>
        <v>0.74861111112841172</v>
      </c>
      <c r="G272" s="226"/>
    </row>
    <row r="273" spans="1:7" ht="23.25" customHeight="1" x14ac:dyDescent="0.25">
      <c r="A273" s="182" t="s">
        <v>18</v>
      </c>
      <c r="B273" s="183">
        <v>45309.55972222222</v>
      </c>
      <c r="C273" s="183">
        <v>45309.664583333331</v>
      </c>
      <c r="D273" s="113">
        <f>IF(punch[[#This Row],[Time Out]]="", "-", punch[[#This Row],[Time Out]]-punch[[#This Row],[Time In]])</f>
        <v>0.10486111111094942</v>
      </c>
      <c r="E273" s="178">
        <f>IF(punch[[#This Row],[Time In]]="", "-", WEEKNUM(punch[[#This Row],[Time In]],15))</f>
        <v>3</v>
      </c>
      <c r="F273" s="114" cm="1">
        <f t="array" ref="F273">getWeekTotalHours(punch[[#This Row],[Artist]], punch[[#This Row],[WeekNum]])</f>
        <v>0.74861111112841172</v>
      </c>
      <c r="G273" s="226"/>
    </row>
    <row r="274" spans="1:7" ht="23.25" customHeight="1" x14ac:dyDescent="0.25">
      <c r="A274" s="182" t="s">
        <v>16</v>
      </c>
      <c r="B274" s="183">
        <v>45309.477777777778</v>
      </c>
      <c r="C274" s="183">
        <v>45309.854166666664</v>
      </c>
      <c r="D274" s="113">
        <f>IF(punch[[#This Row],[Time Out]]="", "-", punch[[#This Row],[Time Out]]-punch[[#This Row],[Time In]])</f>
        <v>0.37638888888614019</v>
      </c>
      <c r="E274" s="178">
        <f>IF(punch[[#This Row],[Time In]]="", "-", WEEKNUM(punch[[#This Row],[Time In]],15))</f>
        <v>3</v>
      </c>
      <c r="F274" s="114" cm="1">
        <f t="array" ref="F274">getWeekTotalHours(punch[[#This Row],[Artist]], punch[[#This Row],[WeekNum]])</f>
        <v>1.4569444444496185</v>
      </c>
      <c r="G274" s="226"/>
    </row>
    <row r="275" spans="1:7" ht="23.25" customHeight="1" x14ac:dyDescent="0.25">
      <c r="A275" s="182" t="s">
        <v>20</v>
      </c>
      <c r="B275" s="183">
        <v>45309.583333333336</v>
      </c>
      <c r="C275" s="183">
        <v>45309.75</v>
      </c>
      <c r="D275" s="113">
        <f>IF(punch[[#This Row],[Time Out]]="", "-", punch[[#This Row],[Time Out]]-punch[[#This Row],[Time In]])</f>
        <v>0.16666666666424135</v>
      </c>
      <c r="E275" s="178">
        <f>IF(punch[[#This Row],[Time In]]="", "-", WEEKNUM(punch[[#This Row],[Time In]],15))</f>
        <v>3</v>
      </c>
      <c r="F275" s="114" cm="1">
        <f t="array" ref="F275">getWeekTotalHours(punch[[#This Row],[Artist]], punch[[#This Row],[WeekNum]])</f>
        <v>0.31249999999272404</v>
      </c>
      <c r="G275" s="226"/>
    </row>
    <row r="276" spans="1:7" ht="23.25" customHeight="1" x14ac:dyDescent="0.25">
      <c r="A276" s="182" t="s">
        <v>20</v>
      </c>
      <c r="B276" s="183">
        <v>45308.458333333336</v>
      </c>
      <c r="C276" s="183">
        <v>45308.541666666664</v>
      </c>
      <c r="D276" s="113">
        <f>IF(punch[[#This Row],[Time Out]]="", "-", punch[[#This Row],[Time Out]]-punch[[#This Row],[Time In]])</f>
        <v>8.3333333328482695E-2</v>
      </c>
      <c r="E276" s="178">
        <f>IF(punch[[#This Row],[Time In]]="", "-", WEEKNUM(punch[[#This Row],[Time In]],15))</f>
        <v>3</v>
      </c>
      <c r="F276" s="114" cm="1">
        <f t="array" ref="F276">getWeekTotalHours(punch[[#This Row],[Artist]], punch[[#This Row],[WeekNum]])</f>
        <v>0.31249999999272404</v>
      </c>
      <c r="G276" s="226"/>
    </row>
    <row r="277" spans="1:7" ht="23.25" customHeight="1" x14ac:dyDescent="0.25">
      <c r="A277" s="182" t="s">
        <v>20</v>
      </c>
      <c r="B277" s="183">
        <v>45308.625</v>
      </c>
      <c r="C277" s="183">
        <v>45308.6875</v>
      </c>
      <c r="D277" s="113">
        <f>IF(punch[[#This Row],[Time Out]]="", "-", punch[[#This Row],[Time Out]]-punch[[#This Row],[Time In]])</f>
        <v>6.25E-2</v>
      </c>
      <c r="E277" s="178">
        <f>IF(punch[[#This Row],[Time In]]="", "-", WEEKNUM(punch[[#This Row],[Time In]],15))</f>
        <v>3</v>
      </c>
      <c r="F277" s="114" cm="1">
        <f t="array" ref="F277">getWeekTotalHours(punch[[#This Row],[Artist]], punch[[#This Row],[WeekNum]])</f>
        <v>0.31249999999272404</v>
      </c>
      <c r="G277" s="226"/>
    </row>
    <row r="278" spans="1:7" ht="23.25" customHeight="1" x14ac:dyDescent="0.25">
      <c r="A278" s="182" t="s">
        <v>20</v>
      </c>
      <c r="B278" s="183">
        <v>45310.713888888888</v>
      </c>
      <c r="C278" s="183">
        <v>45310.755555555559</v>
      </c>
      <c r="D278" s="113">
        <f>IF(punch[[#This Row],[Time Out]]="", "-", punch[[#This Row],[Time Out]]-punch[[#This Row],[Time In]])</f>
        <v>4.1666666671517305E-2</v>
      </c>
      <c r="E278" s="178">
        <f>IF(punch[[#This Row],[Time In]]="", "-", WEEKNUM(punch[[#This Row],[Time In]],15))</f>
        <v>4</v>
      </c>
      <c r="F278" s="114" cm="1">
        <f t="array" ref="F278">getWeekTotalHours(punch[[#This Row],[Artist]], punch[[#This Row],[WeekNum]])</f>
        <v>1.3416666666817036</v>
      </c>
      <c r="G278" s="226"/>
    </row>
    <row r="279" spans="1:7" ht="23.25" customHeight="1" x14ac:dyDescent="0.25">
      <c r="A279" s="182" t="s">
        <v>12</v>
      </c>
      <c r="B279" s="183">
        <v>45310.708333333336</v>
      </c>
      <c r="C279" s="183">
        <v>45310.747916666667</v>
      </c>
      <c r="D279" s="113">
        <f>IF(punch[[#This Row],[Time Out]]="", "-", punch[[#This Row],[Time Out]]-punch[[#This Row],[Time In]])</f>
        <v>3.9583333331393078E-2</v>
      </c>
      <c r="E279" s="178">
        <f>IF(punch[[#This Row],[Time In]]="", "-", WEEKNUM(punch[[#This Row],[Time In]],15))</f>
        <v>4</v>
      </c>
      <c r="F279" s="114" cm="1">
        <f t="array" ref="F279">getWeekTotalHours(punch[[#This Row],[Artist]], punch[[#This Row],[WeekNum]])</f>
        <v>1.1868055555532919</v>
      </c>
      <c r="G279" s="226"/>
    </row>
    <row r="280" spans="1:7" ht="23.25" customHeight="1" x14ac:dyDescent="0.25">
      <c r="A280" s="182" t="s">
        <v>12</v>
      </c>
      <c r="B280" s="183">
        <v>45310.784722222219</v>
      </c>
      <c r="C280" s="183">
        <v>45310.826388888891</v>
      </c>
      <c r="D280" s="113">
        <f>IF(punch[[#This Row],[Time Out]]="", "-", punch[[#This Row],[Time Out]]-punch[[#This Row],[Time In]])</f>
        <v>4.1666666671517305E-2</v>
      </c>
      <c r="E280" s="178">
        <f>IF(punch[[#This Row],[Time In]]="", "-", WEEKNUM(punch[[#This Row],[Time In]],15))</f>
        <v>4</v>
      </c>
      <c r="F280" s="114" cm="1">
        <f t="array" ref="F280">getWeekTotalHours(punch[[#This Row],[Artist]], punch[[#This Row],[WeekNum]])</f>
        <v>1.1868055555532919</v>
      </c>
      <c r="G280" s="226"/>
    </row>
    <row r="281" spans="1:7" ht="23.25" customHeight="1" x14ac:dyDescent="0.25">
      <c r="A281" s="182" t="s">
        <v>20</v>
      </c>
      <c r="B281" s="183">
        <v>45310.8125</v>
      </c>
      <c r="C281" s="183">
        <v>45310.940972222219</v>
      </c>
      <c r="D281" s="113">
        <f>IF(punch[[#This Row],[Time Out]]="", "-", punch[[#This Row],[Time Out]]-punch[[#This Row],[Time In]])</f>
        <v>0.12847222221898846</v>
      </c>
      <c r="E281" s="178">
        <f>IF(punch[[#This Row],[Time In]]="", "-", WEEKNUM(punch[[#This Row],[Time In]],15))</f>
        <v>4</v>
      </c>
      <c r="F281" s="114" cm="1">
        <f t="array" ref="F281">getWeekTotalHours(punch[[#This Row],[Artist]], punch[[#This Row],[WeekNum]])</f>
        <v>1.3416666666817036</v>
      </c>
      <c r="G281" s="226"/>
    </row>
    <row r="282" spans="1:7" ht="23.25" customHeight="1" x14ac:dyDescent="0.25">
      <c r="A282" s="182" t="s">
        <v>14</v>
      </c>
      <c r="B282" s="183">
        <v>45311.586111111108</v>
      </c>
      <c r="C282" s="183">
        <v>45311.720833333333</v>
      </c>
      <c r="D282" s="113">
        <f>IF(punch[[#This Row],[Time Out]]="", "-", punch[[#This Row],[Time Out]]-punch[[#This Row],[Time In]])</f>
        <v>0.13472222222480923</v>
      </c>
      <c r="E282" s="178">
        <f>IF(punch[[#This Row],[Time In]]="", "-", WEEKNUM(punch[[#This Row],[Time In]],15))</f>
        <v>4</v>
      </c>
      <c r="F282" s="114" cm="1">
        <f t="array" ref="F282">getWeekTotalHours(punch[[#This Row],[Artist]], punch[[#This Row],[WeekNum]])</f>
        <v>1.3027777777751908</v>
      </c>
      <c r="G282" s="226"/>
    </row>
    <row r="283" spans="1:7" ht="23.25" customHeight="1" x14ac:dyDescent="0.25">
      <c r="A283" s="182" t="s">
        <v>14</v>
      </c>
      <c r="B283" s="183">
        <v>45311.804166666669</v>
      </c>
      <c r="C283" s="183">
        <v>45311.961111111108</v>
      </c>
      <c r="D283" s="113">
        <f>IF(punch[[#This Row],[Time Out]]="", "-", punch[[#This Row],[Time Out]]-punch[[#This Row],[Time In]])</f>
        <v>0.15694444443943212</v>
      </c>
      <c r="E283" s="178">
        <f>IF(punch[[#This Row],[Time In]]="", "-", WEEKNUM(punch[[#This Row],[Time In]],15))</f>
        <v>4</v>
      </c>
      <c r="F283" s="114" cm="1">
        <f t="array" ref="F283">getWeekTotalHours(punch[[#This Row],[Artist]], punch[[#This Row],[WeekNum]])</f>
        <v>1.3027777777751908</v>
      </c>
      <c r="G283" s="226"/>
    </row>
    <row r="284" spans="1:7" ht="23.25" customHeight="1" x14ac:dyDescent="0.25">
      <c r="A284" s="182" t="s">
        <v>12</v>
      </c>
      <c r="B284" s="183">
        <v>45311.803472222222</v>
      </c>
      <c r="C284" s="183">
        <v>45311.87222222222</v>
      </c>
      <c r="D284" s="113">
        <f>IF(punch[[#This Row],[Time Out]]="", "-", punch[[#This Row],[Time Out]]-punch[[#This Row],[Time In]])</f>
        <v>6.8749999998544808E-2</v>
      </c>
      <c r="E284" s="178">
        <f>IF(punch[[#This Row],[Time In]]="", "-", WEEKNUM(punch[[#This Row],[Time In]],15))</f>
        <v>4</v>
      </c>
      <c r="F284" s="114" cm="1">
        <f t="array" ref="F284">getWeekTotalHours(punch[[#This Row],[Artist]], punch[[#This Row],[WeekNum]])</f>
        <v>1.1868055555532919</v>
      </c>
      <c r="G284" s="226"/>
    </row>
    <row r="285" spans="1:7" ht="23.25" customHeight="1" x14ac:dyDescent="0.25">
      <c r="A285" s="182" t="s">
        <v>12</v>
      </c>
      <c r="B285" s="183">
        <v>45312.356249999997</v>
      </c>
      <c r="C285" s="183">
        <v>45312.405555555553</v>
      </c>
      <c r="D285" s="113">
        <f>IF(punch[[#This Row],[Time Out]]="", "-", punch[[#This Row],[Time Out]]-punch[[#This Row],[Time In]])</f>
        <v>4.9305555556202307E-2</v>
      </c>
      <c r="E285" s="178">
        <f>IF(punch[[#This Row],[Time In]]="", "-", WEEKNUM(punch[[#This Row],[Time In]],15))</f>
        <v>4</v>
      </c>
      <c r="F285" s="114" cm="1">
        <f t="array" ref="F285">getWeekTotalHours(punch[[#This Row],[Artist]], punch[[#This Row],[WeekNum]])</f>
        <v>1.1868055555532919</v>
      </c>
      <c r="G285" s="226"/>
    </row>
    <row r="286" spans="1:7" ht="23.25" customHeight="1" x14ac:dyDescent="0.25">
      <c r="A286" s="182" t="s">
        <v>18</v>
      </c>
      <c r="B286" s="183">
        <v>45312.354166666664</v>
      </c>
      <c r="C286" s="183">
        <v>45312.622916666667</v>
      </c>
      <c r="D286" s="113">
        <f>IF(punch[[#This Row],[Time Out]]="", "-", punch[[#This Row],[Time Out]]-punch[[#This Row],[Time In]])</f>
        <v>0.26875000000291038</v>
      </c>
      <c r="E286" s="178">
        <f>IF(punch[[#This Row],[Time In]]="", "-", WEEKNUM(punch[[#This Row],[Time In]],15))</f>
        <v>4</v>
      </c>
      <c r="F286" s="114" cm="1">
        <f t="array" ref="F286">getWeekTotalHours(punch[[#This Row],[Artist]], punch[[#This Row],[WeekNum]])</f>
        <v>1.6993055555649335</v>
      </c>
      <c r="G286" s="226"/>
    </row>
    <row r="287" spans="1:7" ht="23.25" customHeight="1" x14ac:dyDescent="0.25">
      <c r="A287" s="182" t="s">
        <v>16</v>
      </c>
      <c r="B287" s="183">
        <v>45311.6875</v>
      </c>
      <c r="C287" s="183">
        <v>45311.711805555555</v>
      </c>
      <c r="D287" s="113">
        <f>IF(punch[[#This Row],[Time Out]]="", "-", punch[[#This Row],[Time Out]]-punch[[#This Row],[Time In]])</f>
        <v>2.4305555554747116E-2</v>
      </c>
      <c r="E287" s="178">
        <f>IF(punch[[#This Row],[Time In]]="", "-", WEEKNUM(punch[[#This Row],[Time In]],15))</f>
        <v>4</v>
      </c>
      <c r="F287" s="114" cm="1">
        <f t="array" ref="F287">getWeekTotalHours(punch[[#This Row],[Artist]], punch[[#This Row],[WeekNum]])</f>
        <v>1.960416666661331</v>
      </c>
      <c r="G287" s="226"/>
    </row>
    <row r="288" spans="1:7" ht="23.25" customHeight="1" x14ac:dyDescent="0.25">
      <c r="A288" s="182" t="s">
        <v>16</v>
      </c>
      <c r="B288" s="183">
        <v>45312.493055555555</v>
      </c>
      <c r="C288" s="183">
        <v>45312.875</v>
      </c>
      <c r="D288" s="113">
        <f>IF(punch[[#This Row],[Time Out]]="", "-", punch[[#This Row],[Time Out]]-punch[[#This Row],[Time In]])</f>
        <v>0.38194444444525288</v>
      </c>
      <c r="E288" s="178">
        <f>IF(punch[[#This Row],[Time In]]="", "-", WEEKNUM(punch[[#This Row],[Time In]],15))</f>
        <v>4</v>
      </c>
      <c r="F288" s="114" cm="1">
        <f t="array" ref="F288">getWeekTotalHours(punch[[#This Row],[Artist]], punch[[#This Row],[WeekNum]])</f>
        <v>1.960416666661331</v>
      </c>
      <c r="G288" s="226"/>
    </row>
    <row r="289" spans="1:8" ht="23.25" customHeight="1" x14ac:dyDescent="0.25">
      <c r="A289" s="182" t="s">
        <v>12</v>
      </c>
      <c r="B289" s="183">
        <v>45312.813888888886</v>
      </c>
      <c r="C289" s="183">
        <v>45312.93472222222</v>
      </c>
      <c r="D289" s="113">
        <f>IF(punch[[#This Row],[Time Out]]="", "-", punch[[#This Row],[Time Out]]-punch[[#This Row],[Time In]])</f>
        <v>0.12083333333430346</v>
      </c>
      <c r="E289" s="178">
        <f>IF(punch[[#This Row],[Time In]]="", "-", WEEKNUM(punch[[#This Row],[Time In]],15))</f>
        <v>4</v>
      </c>
      <c r="F289" s="114" cm="1">
        <f t="array" ref="F289">getWeekTotalHours(punch[[#This Row],[Artist]], punch[[#This Row],[WeekNum]])</f>
        <v>1.1868055555532919</v>
      </c>
      <c r="G289" s="226"/>
      <c r="H289" s="76" t="s">
        <v>5</v>
      </c>
    </row>
    <row r="290" spans="1:8" ht="23.25" customHeight="1" x14ac:dyDescent="0.25">
      <c r="A290" s="224" t="s">
        <v>18</v>
      </c>
      <c r="B290" s="183">
        <v>45313.315972222219</v>
      </c>
      <c r="C290" s="183">
        <v>45313.507638888892</v>
      </c>
      <c r="D290" s="113">
        <f>IF(punch[[#This Row],[Time Out]]="", "-", punch[[#This Row],[Time Out]]-punch[[#This Row],[Time In]])</f>
        <v>0.1916666666729725</v>
      </c>
      <c r="E290" s="178">
        <f>IF(punch[[#This Row],[Time In]]="", "-", WEEKNUM(punch[[#This Row],[Time In]],15))</f>
        <v>4</v>
      </c>
      <c r="F290" s="114" cm="1">
        <f t="array" ref="F290">getWeekTotalHours(punch[[#This Row],[Artist]], punch[[#This Row],[WeekNum]])</f>
        <v>1.6993055555649335</v>
      </c>
      <c r="G290" s="226"/>
    </row>
    <row r="291" spans="1:8" ht="23.25" customHeight="1" x14ac:dyDescent="0.25">
      <c r="A291" s="182" t="s">
        <v>12</v>
      </c>
      <c r="B291" s="183">
        <v>45313.390277777777</v>
      </c>
      <c r="C291" s="183">
        <v>45313.411111111112</v>
      </c>
      <c r="D291" s="113">
        <f>IF(punch[[#This Row],[Time Out]]="", "-", punch[[#This Row],[Time Out]]-punch[[#This Row],[Time In]])</f>
        <v>2.0833333335758653E-2</v>
      </c>
      <c r="E291" s="178">
        <f>IF(punch[[#This Row],[Time In]]="", "-", WEEKNUM(punch[[#This Row],[Time In]],15))</f>
        <v>4</v>
      </c>
      <c r="F291" s="114" cm="1">
        <f t="array" ref="F291">getWeekTotalHours(punch[[#This Row],[Artist]], punch[[#This Row],[WeekNum]])</f>
        <v>1.1868055555532919</v>
      </c>
      <c r="G291" s="226"/>
    </row>
    <row r="292" spans="1:8" ht="23.25" customHeight="1" x14ac:dyDescent="0.25">
      <c r="A292" s="182" t="s">
        <v>14</v>
      </c>
      <c r="B292" s="183">
        <v>45313.390277777777</v>
      </c>
      <c r="C292" s="183">
        <v>45313.75</v>
      </c>
      <c r="D292" s="113">
        <f>IF(punch[[#This Row],[Time Out]]="", "-", punch[[#This Row],[Time Out]]-punch[[#This Row],[Time In]])</f>
        <v>0.35972222222335404</v>
      </c>
      <c r="E292" s="178">
        <f>IF(punch[[#This Row],[Time In]]="", "-", WEEKNUM(punch[[#This Row],[Time In]],15))</f>
        <v>4</v>
      </c>
      <c r="F292" s="114" cm="1">
        <f t="array" ref="F292">getWeekTotalHours(punch[[#This Row],[Artist]], punch[[#This Row],[WeekNum]])</f>
        <v>1.3027777777751908</v>
      </c>
      <c r="G292" s="226"/>
    </row>
    <row r="293" spans="1:8" ht="23.25" customHeight="1" x14ac:dyDescent="0.25">
      <c r="A293" s="182" t="s">
        <v>18</v>
      </c>
      <c r="B293" s="183">
        <v>45313.547222222223</v>
      </c>
      <c r="C293" s="183">
        <v>45313.724999999999</v>
      </c>
      <c r="D293" s="113">
        <f>IF(punch[[#This Row],[Time Out]]="", "-", punch[[#This Row],[Time Out]]-punch[[#This Row],[Time In]])</f>
        <v>0.17777777777519077</v>
      </c>
      <c r="E293" s="178">
        <f>IF(punch[[#This Row],[Time In]]="", "-", WEEKNUM(punch[[#This Row],[Time In]],15))</f>
        <v>4</v>
      </c>
      <c r="F293" s="114" cm="1">
        <f t="array" ref="F293">getWeekTotalHours(punch[[#This Row],[Artist]], punch[[#This Row],[WeekNum]])</f>
        <v>1.6993055555649335</v>
      </c>
      <c r="G293" s="226"/>
    </row>
    <row r="294" spans="1:8" ht="23.25" customHeight="1" x14ac:dyDescent="0.25">
      <c r="A294" s="182" t="s">
        <v>16</v>
      </c>
      <c r="B294" s="183">
        <v>45313.744444444441</v>
      </c>
      <c r="C294" s="183">
        <v>45313.928472222222</v>
      </c>
      <c r="D294" s="113">
        <f>IF(punch[[#This Row],[Time Out]]="", "-", punch[[#This Row],[Time Out]]-punch[[#This Row],[Time In]])</f>
        <v>0.18402777778101154</v>
      </c>
      <c r="E294" s="178">
        <f>IF(punch[[#This Row],[Time In]]="", "-", WEEKNUM(punch[[#This Row],[Time In]],15))</f>
        <v>4</v>
      </c>
      <c r="F294" s="114" cm="1">
        <f t="array" ref="F294">getWeekTotalHours(punch[[#This Row],[Artist]], punch[[#This Row],[WeekNum]])</f>
        <v>1.960416666661331</v>
      </c>
      <c r="G294" s="226"/>
    </row>
    <row r="295" spans="1:8" ht="23.25" customHeight="1" x14ac:dyDescent="0.25">
      <c r="A295" s="182" t="s">
        <v>18</v>
      </c>
      <c r="B295" s="183">
        <v>45314.292361111111</v>
      </c>
      <c r="C295" s="183">
        <v>45314.482638888891</v>
      </c>
      <c r="D295" s="113">
        <f>IF(punch[[#This Row],[Time Out]]="", "-", punch[[#This Row],[Time Out]]-punch[[#This Row],[Time In]])</f>
        <v>0.19027777777955635</v>
      </c>
      <c r="E295" s="178">
        <f>IF(punch[[#This Row],[Time In]]="", "-", WEEKNUM(punch[[#This Row],[Time In]],15))</f>
        <v>4</v>
      </c>
      <c r="F295" s="114" cm="1">
        <f t="array" ref="F295">getWeekTotalHours(punch[[#This Row],[Artist]], punch[[#This Row],[WeekNum]])</f>
        <v>1.6993055555649335</v>
      </c>
      <c r="G295" s="226"/>
    </row>
    <row r="296" spans="1:8" ht="23.25" customHeight="1" x14ac:dyDescent="0.25">
      <c r="A296" s="182" t="s">
        <v>14</v>
      </c>
      <c r="B296" s="183">
        <v>45314.409722222219</v>
      </c>
      <c r="C296" s="183">
        <v>45314.470138888886</v>
      </c>
      <c r="D296" s="113">
        <f>IF(punch[[#This Row],[Time Out]]="", "-", punch[[#This Row],[Time Out]]-punch[[#This Row],[Time In]])</f>
        <v>6.0416666667151731E-2</v>
      </c>
      <c r="E296" s="178">
        <f>IF(punch[[#This Row],[Time In]]="", "-", WEEKNUM(punch[[#This Row],[Time In]],15))</f>
        <v>4</v>
      </c>
      <c r="F296" s="114" cm="1">
        <f t="array" ref="F296">getWeekTotalHours(punch[[#This Row],[Artist]], punch[[#This Row],[WeekNum]])</f>
        <v>1.3027777777751908</v>
      </c>
      <c r="G296" s="226"/>
    </row>
    <row r="297" spans="1:8" ht="23.25" customHeight="1" x14ac:dyDescent="0.25">
      <c r="A297" s="182" t="s">
        <v>12</v>
      </c>
      <c r="B297" s="183">
        <v>45314.409722222219</v>
      </c>
      <c r="C297" s="183">
        <v>45314.470138888886</v>
      </c>
      <c r="D297" s="113">
        <f>IF(punch[[#This Row],[Time Out]]="", "-", punch[[#This Row],[Time Out]]-punch[[#This Row],[Time In]])</f>
        <v>6.0416666667151731E-2</v>
      </c>
      <c r="E297" s="178">
        <f>IF(punch[[#This Row],[Time In]]="", "-", WEEKNUM(punch[[#This Row],[Time In]],15))</f>
        <v>4</v>
      </c>
      <c r="F297" s="114" cm="1">
        <f t="array" ref="F297">getWeekTotalHours(punch[[#This Row],[Artist]], punch[[#This Row],[WeekNum]])</f>
        <v>1.1868055555532919</v>
      </c>
      <c r="G297" s="226"/>
    </row>
    <row r="298" spans="1:8" ht="23.25" customHeight="1" x14ac:dyDescent="0.25">
      <c r="A298" s="182" t="s">
        <v>14</v>
      </c>
      <c r="B298" s="183">
        <v>45314.513888888891</v>
      </c>
      <c r="C298" s="183">
        <v>45314.79583333333</v>
      </c>
      <c r="D298" s="113">
        <f>IF(punch[[#This Row],[Time Out]]="", "-", punch[[#This Row],[Time Out]]-punch[[#This Row],[Time In]])</f>
        <v>0.28194444443943212</v>
      </c>
      <c r="E298" s="178">
        <f>IF(punch[[#This Row],[Time In]]="", "-", WEEKNUM(punch[[#This Row],[Time In]],15))</f>
        <v>4</v>
      </c>
      <c r="F298" s="114" cm="1">
        <f t="array" ref="F298">getWeekTotalHours(punch[[#This Row],[Artist]], punch[[#This Row],[WeekNum]])</f>
        <v>1.3027777777751908</v>
      </c>
      <c r="G298" s="226"/>
    </row>
    <row r="299" spans="1:8" ht="23.25" customHeight="1" x14ac:dyDescent="0.25">
      <c r="A299" s="182" t="s">
        <v>16</v>
      </c>
      <c r="B299" s="183">
        <v>45314.489583333336</v>
      </c>
      <c r="C299" s="183">
        <v>45314.8125</v>
      </c>
      <c r="D299" s="113">
        <f>IF(punch[[#This Row],[Time Out]]="", "-", punch[[#This Row],[Time Out]]-punch[[#This Row],[Time In]])</f>
        <v>0.32291666666424135</v>
      </c>
      <c r="E299" s="178">
        <f>IF(punch[[#This Row],[Time In]]="", "-", WEEKNUM(punch[[#This Row],[Time In]],15))</f>
        <v>4</v>
      </c>
      <c r="F299" s="114" cm="1">
        <f t="array" ref="F299">getWeekTotalHours(punch[[#This Row],[Artist]], punch[[#This Row],[WeekNum]])</f>
        <v>1.960416666661331</v>
      </c>
      <c r="G299" s="226"/>
    </row>
    <row r="300" spans="1:8" ht="23.25" customHeight="1" x14ac:dyDescent="0.25">
      <c r="A300" s="182" t="s">
        <v>18</v>
      </c>
      <c r="B300" s="183">
        <v>45314.564583333333</v>
      </c>
      <c r="C300" s="183">
        <v>45314.686805555553</v>
      </c>
      <c r="D300" s="113">
        <f>IF(punch[[#This Row],[Time Out]]="", "-", punch[[#This Row],[Time Out]]-punch[[#This Row],[Time In]])</f>
        <v>0.12222222222044365</v>
      </c>
      <c r="E300" s="178">
        <f>IF(punch[[#This Row],[Time In]]="", "-", WEEKNUM(punch[[#This Row],[Time In]],15))</f>
        <v>4</v>
      </c>
      <c r="F300" s="114" cm="1">
        <f t="array" ref="F300">getWeekTotalHours(punch[[#This Row],[Artist]], punch[[#This Row],[WeekNum]])</f>
        <v>1.6993055555649335</v>
      </c>
      <c r="G300" s="226"/>
    </row>
    <row r="301" spans="1:8" ht="23.25" customHeight="1" x14ac:dyDescent="0.25">
      <c r="A301" s="182" t="s">
        <v>12</v>
      </c>
      <c r="B301" s="183">
        <v>45314.583333333336</v>
      </c>
      <c r="C301" s="183">
        <v>45314.686805555553</v>
      </c>
      <c r="D301" s="113">
        <f>IF(punch[[#This Row],[Time Out]]="", "-", punch[[#This Row],[Time Out]]-punch[[#This Row],[Time In]])</f>
        <v>0.10347222221753327</v>
      </c>
      <c r="E301" s="178">
        <f>IF(punch[[#This Row],[Time In]]="", "-", WEEKNUM(punch[[#This Row],[Time In]],15))</f>
        <v>4</v>
      </c>
      <c r="F301" s="114" cm="1">
        <f t="array" ref="F301">getWeekTotalHours(punch[[#This Row],[Artist]], punch[[#This Row],[WeekNum]])</f>
        <v>1.1868055555532919</v>
      </c>
      <c r="G301" s="226"/>
    </row>
    <row r="302" spans="1:8" ht="23.25" customHeight="1" x14ac:dyDescent="0.25">
      <c r="A302" s="182" t="s">
        <v>18</v>
      </c>
      <c r="B302" s="183">
        <v>45315.375</v>
      </c>
      <c r="C302" s="183">
        <v>45315.736805555556</v>
      </c>
      <c r="D302" s="113">
        <f>IF(punch[[#This Row],[Time Out]]="", "-", punch[[#This Row],[Time Out]]-punch[[#This Row],[Time In]])</f>
        <v>0.36180555555620231</v>
      </c>
      <c r="E302" s="178">
        <f>IF(punch[[#This Row],[Time In]]="", "-", WEEKNUM(punch[[#This Row],[Time In]],15))</f>
        <v>4</v>
      </c>
      <c r="F302" s="114" cm="1">
        <f t="array" ref="F302">getWeekTotalHours(punch[[#This Row],[Artist]], punch[[#This Row],[WeekNum]])</f>
        <v>1.6993055555649335</v>
      </c>
      <c r="G302" s="226"/>
    </row>
    <row r="303" spans="1:8" ht="23.25" customHeight="1" x14ac:dyDescent="0.25">
      <c r="A303" s="182" t="s">
        <v>12</v>
      </c>
      <c r="B303" s="183">
        <v>45315.395833333336</v>
      </c>
      <c r="C303" s="183">
        <v>45315.775694444441</v>
      </c>
      <c r="D303" s="113">
        <f>IF(punch[[#This Row],[Time Out]]="", "-", punch[[#This Row],[Time Out]]-punch[[#This Row],[Time In]])</f>
        <v>0.37986111110512866</v>
      </c>
      <c r="E303" s="178">
        <f>IF(punch[[#This Row],[Time In]]="", "-", WEEKNUM(punch[[#This Row],[Time In]],15))</f>
        <v>4</v>
      </c>
      <c r="F303" s="114" cm="1">
        <f t="array" ref="F303">getWeekTotalHours(punch[[#This Row],[Artist]], punch[[#This Row],[WeekNum]])</f>
        <v>1.1868055555532919</v>
      </c>
      <c r="G303" s="226"/>
    </row>
    <row r="304" spans="1:8" ht="23.25" customHeight="1" x14ac:dyDescent="0.25">
      <c r="A304" s="182" t="s">
        <v>16</v>
      </c>
      <c r="B304" s="183">
        <v>45315.416666666664</v>
      </c>
      <c r="C304" s="183">
        <v>45315.972222222219</v>
      </c>
      <c r="D304" s="113">
        <f>IF(punch[[#This Row],[Time Out]]="", "-", punch[[#This Row],[Time Out]]-punch[[#This Row],[Time In]])</f>
        <v>0.55555555555474712</v>
      </c>
      <c r="E304" s="178">
        <f>IF(punch[[#This Row],[Time In]]="", "-", WEEKNUM(punch[[#This Row],[Time In]],15))</f>
        <v>4</v>
      </c>
      <c r="F304" s="114" cm="1">
        <f t="array" ref="F304">getWeekTotalHours(punch[[#This Row],[Artist]], punch[[#This Row],[WeekNum]])</f>
        <v>1.960416666661331</v>
      </c>
      <c r="G304" s="226"/>
    </row>
    <row r="305" spans="1:11" ht="23.25" customHeight="1" x14ac:dyDescent="0.25">
      <c r="A305" s="182" t="s">
        <v>14</v>
      </c>
      <c r="B305" s="183">
        <v>45315.541666666664</v>
      </c>
      <c r="C305" s="183">
        <v>45315.568055555559</v>
      </c>
      <c r="D305" s="113">
        <f>IF(punch[[#This Row],[Time Out]]="", "-", punch[[#This Row],[Time Out]]-punch[[#This Row],[Time In]])</f>
        <v>2.6388888894871343E-2</v>
      </c>
      <c r="E305" s="178">
        <f>IF(punch[[#This Row],[Time In]]="", "-", WEEKNUM(punch[[#This Row],[Time In]],15))</f>
        <v>4</v>
      </c>
      <c r="F305" s="114" cm="1">
        <f t="array" ref="F305">getWeekTotalHours(punch[[#This Row],[Artist]], punch[[#This Row],[WeekNum]])</f>
        <v>1.3027777777751908</v>
      </c>
      <c r="G305" s="226"/>
    </row>
    <row r="306" spans="1:11" ht="23.25" customHeight="1" x14ac:dyDescent="0.25">
      <c r="A306" s="182" t="s">
        <v>14</v>
      </c>
      <c r="B306" s="183">
        <v>45315.590277777781</v>
      </c>
      <c r="C306" s="183">
        <v>45315.872916666667</v>
      </c>
      <c r="D306" s="113">
        <f>IF(punch[[#This Row],[Time Out]]="", "-", punch[[#This Row],[Time Out]]-punch[[#This Row],[Time In]])</f>
        <v>0.28263888888614019</v>
      </c>
      <c r="E306" s="178">
        <f>IF(punch[[#This Row],[Time In]]="", "-", WEEKNUM(punch[[#This Row],[Time In]],15))</f>
        <v>4</v>
      </c>
      <c r="F306" s="114" cm="1">
        <f t="array" ref="F306">getWeekTotalHours(punch[[#This Row],[Artist]], punch[[#This Row],[WeekNum]])</f>
        <v>1.3027777777751908</v>
      </c>
      <c r="G306" s="226"/>
    </row>
    <row r="307" spans="1:11" ht="23.25" customHeight="1" x14ac:dyDescent="0.25">
      <c r="A307" s="182" t="s">
        <v>12</v>
      </c>
      <c r="B307" s="183">
        <v>45315.863194444442</v>
      </c>
      <c r="C307" s="183">
        <v>45315.932638888888</v>
      </c>
      <c r="D307" s="113">
        <f>IF(punch[[#This Row],[Time Out]]="", "-", punch[[#This Row],[Time Out]]-punch[[#This Row],[Time In]])</f>
        <v>6.9444444445252884E-2</v>
      </c>
      <c r="E307" s="178">
        <f>IF(punch[[#This Row],[Time In]]="", "-", WEEKNUM(punch[[#This Row],[Time In]],15))</f>
        <v>4</v>
      </c>
      <c r="F307" s="114" cm="1">
        <f t="array" ref="F307">getWeekTotalHours(punch[[#This Row],[Artist]], punch[[#This Row],[WeekNum]])</f>
        <v>1.1868055555532919</v>
      </c>
      <c r="G307" s="226"/>
    </row>
    <row r="308" spans="1:11" ht="23.25" customHeight="1" x14ac:dyDescent="0.25">
      <c r="A308" s="182" t="s">
        <v>20</v>
      </c>
      <c r="B308" s="183">
        <v>45313.416666666664</v>
      </c>
      <c r="C308" s="183">
        <v>45313.5</v>
      </c>
      <c r="D308" s="113">
        <f>IF(punch[[#This Row],[Time Out]]="", "-", punch[[#This Row],[Time Out]]-punch[[#This Row],[Time In]])</f>
        <v>8.3333333335758653E-2</v>
      </c>
      <c r="E308" s="178">
        <f>IF(punch[[#This Row],[Time In]]="", "-", WEEKNUM(punch[[#This Row],[Time In]],15))</f>
        <v>4</v>
      </c>
      <c r="F308" s="114" cm="1">
        <f t="array" ref="F308">getWeekTotalHours(punch[[#This Row],[Artist]], punch[[#This Row],[WeekNum]])</f>
        <v>1.3416666666817036</v>
      </c>
      <c r="G308" s="226"/>
    </row>
    <row r="309" spans="1:11" ht="23.25" customHeight="1" x14ac:dyDescent="0.25">
      <c r="A309" s="182" t="s">
        <v>20</v>
      </c>
      <c r="B309" s="183">
        <v>45313.541666666664</v>
      </c>
      <c r="C309" s="183">
        <v>45313.625</v>
      </c>
      <c r="D309" s="113">
        <f>IF(punch[[#This Row],[Time Out]]="", "-", punch[[#This Row],[Time Out]]-punch[[#This Row],[Time In]])</f>
        <v>8.3333333335758653E-2</v>
      </c>
      <c r="E309" s="178">
        <f>IF(punch[[#This Row],[Time In]]="", "-", WEEKNUM(punch[[#This Row],[Time In]],15))</f>
        <v>4</v>
      </c>
      <c r="F309" s="114" cm="1">
        <f t="array" ref="F309">getWeekTotalHours(punch[[#This Row],[Artist]], punch[[#This Row],[WeekNum]])</f>
        <v>1.3416666666817036</v>
      </c>
      <c r="G309" s="226"/>
    </row>
    <row r="310" spans="1:11" ht="23.25" customHeight="1" x14ac:dyDescent="0.25">
      <c r="A310" s="182" t="s">
        <v>20</v>
      </c>
      <c r="B310" s="183">
        <v>45311.541666666664</v>
      </c>
      <c r="C310" s="183">
        <v>45311.708333333336</v>
      </c>
      <c r="D310" s="113">
        <f>IF(punch[[#This Row],[Time Out]]="", "-", punch[[#This Row],[Time Out]]-punch[[#This Row],[Time In]])</f>
        <v>0.16666666667151731</v>
      </c>
      <c r="E310" s="178">
        <f>IF(punch[[#This Row],[Time In]]="", "-", WEEKNUM(punch[[#This Row],[Time In]],15))</f>
        <v>4</v>
      </c>
      <c r="F310" s="114" cm="1">
        <f t="array" ref="F310">getWeekTotalHours(punch[[#This Row],[Artist]], punch[[#This Row],[WeekNum]])</f>
        <v>1.3416666666817036</v>
      </c>
      <c r="G310" s="226"/>
    </row>
    <row r="311" spans="1:11" ht="23.25" customHeight="1" x14ac:dyDescent="0.25">
      <c r="A311" s="182" t="s">
        <v>20</v>
      </c>
      <c r="B311" s="183">
        <v>45314.416666666664</v>
      </c>
      <c r="C311" s="183">
        <v>45314.5</v>
      </c>
      <c r="D311" s="113">
        <f>IF(punch[[#This Row],[Time Out]]="", "-", punch[[#This Row],[Time Out]]-punch[[#This Row],[Time In]])</f>
        <v>8.3333333335758653E-2</v>
      </c>
      <c r="E311" s="178">
        <f>IF(punch[[#This Row],[Time In]]="", "-", WEEKNUM(punch[[#This Row],[Time In]],15))</f>
        <v>4</v>
      </c>
      <c r="F311" s="114" cm="1">
        <f t="array" ref="F311">getWeekTotalHours(punch[[#This Row],[Artist]], punch[[#This Row],[WeekNum]])</f>
        <v>1.3416666666817036</v>
      </c>
      <c r="G311" s="226"/>
    </row>
    <row r="312" spans="1:11" ht="23.25" customHeight="1" x14ac:dyDescent="0.25">
      <c r="A312" s="182" t="s">
        <v>20</v>
      </c>
      <c r="B312" s="183">
        <v>45314.583333333336</v>
      </c>
      <c r="C312" s="183">
        <v>45314.708333333336</v>
      </c>
      <c r="D312" s="113">
        <f>IF(punch[[#This Row],[Time Out]]="", "-", punch[[#This Row],[Time Out]]-punch[[#This Row],[Time In]])</f>
        <v>0.125</v>
      </c>
      <c r="E312" s="178">
        <f>IF(punch[[#This Row],[Time In]]="", "-", WEEKNUM(punch[[#This Row],[Time In]],15))</f>
        <v>4</v>
      </c>
      <c r="F312" s="114" cm="1">
        <f t="array" ref="F312">getWeekTotalHours(punch[[#This Row],[Artist]], punch[[#This Row],[WeekNum]])</f>
        <v>1.3416666666817036</v>
      </c>
      <c r="G312" s="226"/>
    </row>
    <row r="313" spans="1:11" ht="23.25" customHeight="1" x14ac:dyDescent="0.25">
      <c r="A313" s="182" t="s">
        <v>20</v>
      </c>
      <c r="B313" s="183">
        <v>45315.479166666664</v>
      </c>
      <c r="C313" s="183">
        <v>45315.520833333336</v>
      </c>
      <c r="D313" s="113">
        <f>IF(punch[[#This Row],[Time Out]]="", "-", punch[[#This Row],[Time Out]]-punch[[#This Row],[Time In]])</f>
        <v>4.1666666671517305E-2</v>
      </c>
      <c r="E313" s="178">
        <f>IF(punch[[#This Row],[Time In]]="", "-", WEEKNUM(punch[[#This Row],[Time In]],15))</f>
        <v>4</v>
      </c>
      <c r="F313" s="114" cm="1">
        <f t="array" ref="F313">getWeekTotalHours(punch[[#This Row],[Artist]], punch[[#This Row],[WeekNum]])</f>
        <v>1.3416666666817036</v>
      </c>
      <c r="G313" s="226"/>
    </row>
    <row r="314" spans="1:11" ht="23.25" customHeight="1" x14ac:dyDescent="0.25">
      <c r="A314" s="182" t="s">
        <v>20</v>
      </c>
      <c r="B314" s="183">
        <v>45315.604166666664</v>
      </c>
      <c r="C314" s="183">
        <v>45315.729166666664</v>
      </c>
      <c r="D314" s="113">
        <f>IF(punch[[#This Row],[Time Out]]="", "-", punch[[#This Row],[Time Out]]-punch[[#This Row],[Time In]])</f>
        <v>0.125</v>
      </c>
      <c r="E314" s="178">
        <f>IF(punch[[#This Row],[Time In]]="", "-", WEEKNUM(punch[[#This Row],[Time In]],15))</f>
        <v>4</v>
      </c>
      <c r="F314" s="114" cm="1">
        <f t="array" ref="F314">getWeekTotalHours(punch[[#This Row],[Artist]], punch[[#This Row],[WeekNum]])</f>
        <v>1.3416666666817036</v>
      </c>
      <c r="G314" s="226"/>
    </row>
    <row r="315" spans="1:11" ht="23.25" customHeight="1" x14ac:dyDescent="0.25">
      <c r="A315" s="182" t="s">
        <v>20</v>
      </c>
      <c r="B315" s="183">
        <v>45315.8125</v>
      </c>
      <c r="C315" s="183">
        <v>45315.979166666664</v>
      </c>
      <c r="D315" s="113">
        <f>IF(punch[[#This Row],[Time Out]]="", "-", punch[[#This Row],[Time Out]]-punch[[#This Row],[Time In]])</f>
        <v>0.16666666666424135</v>
      </c>
      <c r="E315" s="178">
        <f>IF(punch[[#This Row],[Time In]]="", "-", WEEKNUM(punch[[#This Row],[Time In]],15))</f>
        <v>4</v>
      </c>
      <c r="F315" s="114" cm="1">
        <f t="array" ref="F315">getWeekTotalHours(punch[[#This Row],[Artist]], punch[[#This Row],[WeekNum]])</f>
        <v>1.3416666666817036</v>
      </c>
      <c r="G315" s="226"/>
      <c r="K315" s="228"/>
    </row>
    <row r="316" spans="1:11" ht="23.25" customHeight="1" x14ac:dyDescent="0.25">
      <c r="A316" s="182" t="s">
        <v>18</v>
      </c>
      <c r="B316" s="183">
        <v>45316.324999999997</v>
      </c>
      <c r="C316" s="183">
        <v>45316.711805555555</v>
      </c>
      <c r="D316" s="113">
        <f>IF(punch[[#This Row],[Time Out]]="", "-", punch[[#This Row],[Time Out]]-punch[[#This Row],[Time In]])</f>
        <v>0.3868055555576575</v>
      </c>
      <c r="E316" s="178">
        <f>IF(punch[[#This Row],[Time In]]="", "-", WEEKNUM(punch[[#This Row],[Time In]],15))</f>
        <v>4</v>
      </c>
      <c r="F316" s="114" cm="1">
        <f t="array" ref="F316">getWeekTotalHours(punch[[#This Row],[Artist]], punch[[#This Row],[WeekNum]])</f>
        <v>1.6993055555649335</v>
      </c>
      <c r="G316" s="226"/>
      <c r="K316" s="228"/>
    </row>
    <row r="317" spans="1:11" ht="23.25" customHeight="1" x14ac:dyDescent="0.25">
      <c r="A317" s="182" t="s">
        <v>20</v>
      </c>
      <c r="B317" s="183">
        <v>45316.454861111109</v>
      </c>
      <c r="C317" s="183">
        <v>45316.555555555555</v>
      </c>
      <c r="D317" s="113">
        <f>IF(punch[[#This Row],[Time Out]]="", "-", punch[[#This Row],[Time Out]]-punch[[#This Row],[Time In]])</f>
        <v>0.10069444444525288</v>
      </c>
      <c r="E317" s="178">
        <f>IF(punch[[#This Row],[Time In]]="", "-", WEEKNUM(punch[[#This Row],[Time In]],15))</f>
        <v>4</v>
      </c>
      <c r="F317" s="114" cm="1">
        <f t="array" ref="F317">getWeekTotalHours(punch[[#This Row],[Artist]], punch[[#This Row],[WeekNum]])</f>
        <v>1.3416666666817036</v>
      </c>
      <c r="G317" s="226"/>
      <c r="K317" s="228"/>
    </row>
    <row r="318" spans="1:11" ht="23.25" customHeight="1" x14ac:dyDescent="0.25">
      <c r="A318" s="182" t="s">
        <v>16</v>
      </c>
      <c r="B318" s="183">
        <v>45316.465277777781</v>
      </c>
      <c r="C318" s="183">
        <v>45316.956944444442</v>
      </c>
      <c r="D318" s="113">
        <f>IF(punch[[#This Row],[Time Out]]="", "-", punch[[#This Row],[Time Out]]-punch[[#This Row],[Time In]])</f>
        <v>0.49166666666133096</v>
      </c>
      <c r="E318" s="178">
        <f>IF(punch[[#This Row],[Time In]]="", "-", WEEKNUM(punch[[#This Row],[Time In]],15))</f>
        <v>4</v>
      </c>
      <c r="F318" s="114" cm="1">
        <f t="array" ref="F318">getWeekTotalHours(punch[[#This Row],[Artist]], punch[[#This Row],[WeekNum]])</f>
        <v>1.960416666661331</v>
      </c>
      <c r="G318" s="226"/>
      <c r="K318" s="228"/>
    </row>
    <row r="319" spans="1:11" ht="23.25" customHeight="1" x14ac:dyDescent="0.25">
      <c r="A319" s="182" t="s">
        <v>12</v>
      </c>
      <c r="B319" s="183">
        <v>45316.591666666667</v>
      </c>
      <c r="C319" s="183">
        <v>45316.758333333331</v>
      </c>
      <c r="D319" s="113">
        <f>IF(punch[[#This Row],[Time Out]]="", "-", punch[[#This Row],[Time Out]]-punch[[#This Row],[Time In]])</f>
        <v>0.16666666666424135</v>
      </c>
      <c r="E319" s="178">
        <f>IF(punch[[#This Row],[Time In]]="", "-", WEEKNUM(punch[[#This Row],[Time In]],15))</f>
        <v>4</v>
      </c>
      <c r="F319" s="114" cm="1">
        <f t="array" ref="F319">getWeekTotalHours(punch[[#This Row],[Artist]], punch[[#This Row],[WeekNum]])</f>
        <v>1.1868055555532919</v>
      </c>
      <c r="G319" s="226"/>
      <c r="K319" s="228"/>
    </row>
    <row r="320" spans="1:11" ht="23.25" customHeight="1" x14ac:dyDescent="0.25">
      <c r="A320" s="182" t="s">
        <v>20</v>
      </c>
      <c r="B320" s="183">
        <v>45316.714583333334</v>
      </c>
      <c r="C320" s="183">
        <v>45316.806250000001</v>
      </c>
      <c r="D320" s="113">
        <f>IF(punch[[#This Row],[Time Out]]="", "-", punch[[#This Row],[Time Out]]-punch[[#This Row],[Time In]])</f>
        <v>9.1666666667151731E-2</v>
      </c>
      <c r="E320" s="178">
        <f>IF(punch[[#This Row],[Time In]]="", "-", WEEKNUM(punch[[#This Row],[Time In]],15))</f>
        <v>4</v>
      </c>
      <c r="F320" s="114" cm="1">
        <f t="array" ref="F320">getWeekTotalHours(punch[[#This Row],[Artist]], punch[[#This Row],[WeekNum]])</f>
        <v>1.3416666666817036</v>
      </c>
      <c r="G320" s="226"/>
    </row>
    <row r="321" spans="1:8" ht="23.25" customHeight="1" x14ac:dyDescent="0.25">
      <c r="A321" s="182" t="s">
        <v>12</v>
      </c>
      <c r="B321" s="183">
        <v>45316.784722222219</v>
      </c>
      <c r="C321" s="183">
        <v>45316.850694444445</v>
      </c>
      <c r="D321" s="113">
        <f>IF(punch[[#This Row],[Time Out]]="", "-", punch[[#This Row],[Time Out]]-punch[[#This Row],[Time In]])</f>
        <v>6.5972222226264421E-2</v>
      </c>
      <c r="E321" s="178">
        <f>IF(punch[[#This Row],[Time In]]="", "-", WEEKNUM(punch[[#This Row],[Time In]],15))</f>
        <v>4</v>
      </c>
      <c r="F321" s="114" cm="1">
        <f t="array" ref="F321">getWeekTotalHours(punch[[#This Row],[Artist]], punch[[#This Row],[WeekNum]])</f>
        <v>1.1868055555532919</v>
      </c>
      <c r="G321" s="226"/>
    </row>
    <row r="322" spans="1:8" ht="23.25" customHeight="1" x14ac:dyDescent="0.25">
      <c r="A322" s="182" t="s">
        <v>20</v>
      </c>
      <c r="B322" s="183">
        <v>45316.833333333336</v>
      </c>
      <c r="C322" s="183">
        <v>45316.9375</v>
      </c>
      <c r="D322" s="113">
        <f>IF(punch[[#This Row],[Time Out]]="", "-", punch[[#This Row],[Time Out]]-punch[[#This Row],[Time In]])</f>
        <v>0.10416666666424135</v>
      </c>
      <c r="E322" s="178">
        <f>IF(punch[[#This Row],[Time In]]="", "-", WEEKNUM(punch[[#This Row],[Time In]],15))</f>
        <v>4</v>
      </c>
      <c r="F322" s="114" cm="1">
        <f t="array" ref="F322">getWeekTotalHours(punch[[#This Row],[Artist]], punch[[#This Row],[WeekNum]])</f>
        <v>1.3416666666817036</v>
      </c>
      <c r="G322" s="226"/>
    </row>
    <row r="323" spans="1:8" ht="23.25" customHeight="1" x14ac:dyDescent="0.25">
      <c r="A323" s="182" t="s">
        <v>20</v>
      </c>
      <c r="B323" s="183">
        <v>45317.395833333336</v>
      </c>
      <c r="C323" s="183">
        <v>45317.505555555559</v>
      </c>
      <c r="D323" s="113">
        <f>IF(punch[[#This Row],[Time Out]]="", "-", punch[[#This Row],[Time Out]]-punch[[#This Row],[Time In]])</f>
        <v>0.10972222222335404</v>
      </c>
      <c r="E323" s="178">
        <f>IF(punch[[#This Row],[Time In]]="", "-", WEEKNUM(punch[[#This Row],[Time In]],15))</f>
        <v>5</v>
      </c>
      <c r="F323" s="114" cm="1">
        <f t="array" ref="F323">getWeekTotalHours(punch[[#This Row],[Artist]], punch[[#This Row],[WeekNum]])</f>
        <v>1.60972222223063</v>
      </c>
      <c r="G323" s="226" t="s">
        <v>62</v>
      </c>
    </row>
    <row r="324" spans="1:8" ht="23.25" customHeight="1" x14ac:dyDescent="0.25">
      <c r="A324" s="182" t="s">
        <v>20</v>
      </c>
      <c r="B324" s="183">
        <v>45317.541666666664</v>
      </c>
      <c r="C324" s="183">
        <v>45317.625</v>
      </c>
      <c r="D324" s="113">
        <f>IF(punch[[#This Row],[Time Out]]="", "-", punch[[#This Row],[Time Out]]-punch[[#This Row],[Time In]])</f>
        <v>8.3333333335758653E-2</v>
      </c>
      <c r="E324" s="178">
        <f>IF(punch[[#This Row],[Time In]]="", "-", WEEKNUM(punch[[#This Row],[Time In]],15))</f>
        <v>5</v>
      </c>
      <c r="F324" s="114" cm="1">
        <f t="array" ref="F324">getWeekTotalHours(punch[[#This Row],[Artist]], punch[[#This Row],[WeekNum]])</f>
        <v>1.60972222223063</v>
      </c>
      <c r="G324" s="226" t="s">
        <v>62</v>
      </c>
    </row>
    <row r="325" spans="1:8" ht="23.25" customHeight="1" x14ac:dyDescent="0.25">
      <c r="A325" s="182" t="s">
        <v>18</v>
      </c>
      <c r="B325" s="183">
        <v>45317.560416666667</v>
      </c>
      <c r="C325" s="183">
        <v>45317.651388888888</v>
      </c>
      <c r="D325" s="113">
        <f>IF(punch[[#This Row],[Time Out]]="", "-", punch[[#This Row],[Time Out]]-punch[[#This Row],[Time In]])</f>
        <v>9.0972222220443655E-2</v>
      </c>
      <c r="E325" s="178">
        <f>IF(punch[[#This Row],[Time In]]="", "-", WEEKNUM(punch[[#This Row],[Time In]],15))</f>
        <v>5</v>
      </c>
      <c r="F325" s="114" cm="1">
        <f t="array" ref="F325">getWeekTotalHours(punch[[#This Row],[Artist]], punch[[#This Row],[WeekNum]])</f>
        <v>2.5215277777897427</v>
      </c>
      <c r="G325" s="226" t="s">
        <v>63</v>
      </c>
    </row>
    <row r="326" spans="1:8" ht="23.25" customHeight="1" x14ac:dyDescent="0.25">
      <c r="A326" s="182" t="s">
        <v>18</v>
      </c>
      <c r="B326" s="183">
        <v>45318.377083333333</v>
      </c>
      <c r="C326" s="183">
        <v>45318.445833333331</v>
      </c>
      <c r="D326" s="113">
        <f>IF(punch[[#This Row],[Time Out]]="", "-", punch[[#This Row],[Time Out]]-punch[[#This Row],[Time In]])</f>
        <v>6.8749999998544808E-2</v>
      </c>
      <c r="E326" s="178">
        <f>IF(punch[[#This Row],[Time In]]="", "-", WEEKNUM(punch[[#This Row],[Time In]],15))</f>
        <v>5</v>
      </c>
      <c r="F326" s="114" cm="1">
        <f t="array" ref="F326">getWeekTotalHours(punch[[#This Row],[Artist]], punch[[#This Row],[WeekNum]])</f>
        <v>2.5215277777897427</v>
      </c>
      <c r="G326" s="226" t="s">
        <v>64</v>
      </c>
    </row>
    <row r="327" spans="1:8" ht="23.25" customHeight="1" x14ac:dyDescent="0.25">
      <c r="A327" s="182" t="s">
        <v>20</v>
      </c>
      <c r="B327" s="183">
        <v>45318.576388888891</v>
      </c>
      <c r="C327" s="183">
        <v>45318.627083333333</v>
      </c>
      <c r="D327" s="113">
        <f>IF(punch[[#This Row],[Time Out]]="", "-", punch[[#This Row],[Time Out]]-punch[[#This Row],[Time In]])</f>
        <v>5.0694444442342501E-2</v>
      </c>
      <c r="E327" s="178">
        <f>IF(punch[[#This Row],[Time In]]="", "-", WEEKNUM(punch[[#This Row],[Time In]],15))</f>
        <v>5</v>
      </c>
      <c r="F327" s="114" cm="1">
        <f t="array" ref="F327">getWeekTotalHours(punch[[#This Row],[Artist]], punch[[#This Row],[WeekNum]])</f>
        <v>1.60972222223063</v>
      </c>
      <c r="G327" s="226" t="s">
        <v>62</v>
      </c>
    </row>
    <row r="328" spans="1:8" ht="23.25" customHeight="1" x14ac:dyDescent="0.25">
      <c r="A328" s="182" t="s">
        <v>18</v>
      </c>
      <c r="B328" s="183">
        <v>45319.365277777775</v>
      </c>
      <c r="C328" s="183">
        <v>45319.507638888892</v>
      </c>
      <c r="D328" s="113">
        <f>IF(punch[[#This Row],[Time Out]]="", "-", punch[[#This Row],[Time Out]]-punch[[#This Row],[Time In]])</f>
        <v>0.14236111111677019</v>
      </c>
      <c r="E328" s="178">
        <f>IF(punch[[#This Row],[Time In]]="", "-", WEEKNUM(punch[[#This Row],[Time In]],15))</f>
        <v>5</v>
      </c>
      <c r="F328" s="114" cm="1">
        <f t="array" ref="F328">getWeekTotalHours(punch[[#This Row],[Artist]], punch[[#This Row],[WeekNum]])</f>
        <v>2.5215277777897427</v>
      </c>
      <c r="G328" s="226" t="s">
        <v>65</v>
      </c>
    </row>
    <row r="329" spans="1:8" ht="23.25" customHeight="1" x14ac:dyDescent="0.25">
      <c r="A329" s="182" t="s">
        <v>16</v>
      </c>
      <c r="B329" s="183">
        <v>45318.479861111111</v>
      </c>
      <c r="C329" s="183">
        <v>45318.659722222219</v>
      </c>
      <c r="D329" s="113">
        <f>IF(punch[[#This Row],[Time Out]]="", "-", punch[[#This Row],[Time Out]]-punch[[#This Row],[Time In]])</f>
        <v>0.17986111110803904</v>
      </c>
      <c r="E329" s="178">
        <f>IF(punch[[#This Row],[Time In]]="", "-", WEEKNUM(punch[[#This Row],[Time In]],15))</f>
        <v>5</v>
      </c>
      <c r="F329" s="114" cm="1">
        <f t="array" ref="F329">getWeekTotalHours(punch[[#This Row],[Artist]], punch[[#This Row],[WeekNum]])</f>
        <v>2.9500000000043656</v>
      </c>
      <c r="G329" s="226" t="s">
        <v>66</v>
      </c>
    </row>
    <row r="330" spans="1:8" ht="23.25" customHeight="1" x14ac:dyDescent="0.25">
      <c r="A330" s="182" t="s">
        <v>16</v>
      </c>
      <c r="B330" s="183">
        <v>45319.385416666664</v>
      </c>
      <c r="C330" s="183">
        <v>45319.737500000003</v>
      </c>
      <c r="D330" s="113">
        <f>IF(punch[[#This Row],[Time Out]]="", "-", punch[[#This Row],[Time Out]]-punch[[#This Row],[Time In]])</f>
        <v>0.35208333333866904</v>
      </c>
      <c r="E330" s="178">
        <f>IF(punch[[#This Row],[Time In]]="", "-", WEEKNUM(punch[[#This Row],[Time In]],15))</f>
        <v>5</v>
      </c>
      <c r="F330" s="114" cm="1">
        <f t="array" ref="F330">getWeekTotalHours(punch[[#This Row],[Artist]], punch[[#This Row],[WeekNum]])</f>
        <v>2.9500000000043656</v>
      </c>
      <c r="G330" s="226" t="s">
        <v>67</v>
      </c>
      <c r="H330" s="232"/>
    </row>
    <row r="331" spans="1:8" ht="23.25" customHeight="1" x14ac:dyDescent="0.25">
      <c r="A331" s="182" t="s">
        <v>18</v>
      </c>
      <c r="B331" s="183">
        <v>45319.534722222219</v>
      </c>
      <c r="C331" s="183">
        <v>45319.729166666664</v>
      </c>
      <c r="D331" s="113">
        <f>IF(punch[[#This Row],[Time Out]]="", "-", punch[[#This Row],[Time Out]]-punch[[#This Row],[Time In]])</f>
        <v>0.19444444444525288</v>
      </c>
      <c r="E331" s="178">
        <f>IF(punch[[#This Row],[Time In]]="", "-", WEEKNUM(punch[[#This Row],[Time In]],15))</f>
        <v>5</v>
      </c>
      <c r="F331" s="114" cm="1">
        <f t="array" ref="F331">getWeekTotalHours(punch[[#This Row],[Artist]], punch[[#This Row],[WeekNum]])</f>
        <v>2.5215277777897427</v>
      </c>
      <c r="G331" s="226" t="s">
        <v>68</v>
      </c>
    </row>
    <row r="332" spans="1:8" ht="23.25" customHeight="1" x14ac:dyDescent="0.25">
      <c r="A332" s="182" t="s">
        <v>20</v>
      </c>
      <c r="B332" s="183">
        <v>45319.604166666664</v>
      </c>
      <c r="C332" s="183">
        <v>45319.747916666667</v>
      </c>
      <c r="D332" s="113">
        <f>IF(punch[[#This Row],[Time Out]]="", "-", punch[[#This Row],[Time Out]]-punch[[#This Row],[Time In]])</f>
        <v>0.14375000000291038</v>
      </c>
      <c r="E332" s="178">
        <f>IF(punch[[#This Row],[Time In]]="", "-", WEEKNUM(punch[[#This Row],[Time In]],15))</f>
        <v>5</v>
      </c>
      <c r="F332" s="114" cm="1">
        <f t="array" ref="F332">getWeekTotalHours(punch[[#This Row],[Artist]], punch[[#This Row],[WeekNum]])</f>
        <v>1.60972222223063</v>
      </c>
      <c r="G332" s="226" t="s">
        <v>62</v>
      </c>
    </row>
    <row r="333" spans="1:8" ht="23.25" customHeight="1" x14ac:dyDescent="0.25">
      <c r="A333" s="182" t="s">
        <v>14</v>
      </c>
      <c r="B333" s="183">
        <v>45319.614583333336</v>
      </c>
      <c r="C333" s="183">
        <v>45319.699305555558</v>
      </c>
      <c r="D333" s="113">
        <f>IF(punch[[#This Row],[Time Out]]="", "-", punch[[#This Row],[Time Out]]-punch[[#This Row],[Time In]])</f>
        <v>8.4722222221898846E-2</v>
      </c>
      <c r="E333" s="178">
        <f>IF(punch[[#This Row],[Time In]]="", "-", WEEKNUM(punch[[#This Row],[Time In]],15))</f>
        <v>5</v>
      </c>
      <c r="F333" s="114" cm="1">
        <f t="array" ref="F333">getWeekTotalHours(punch[[#This Row],[Artist]], punch[[#This Row],[WeekNum]])</f>
        <v>1.1229166666598758</v>
      </c>
      <c r="G333" s="226" t="s">
        <v>69</v>
      </c>
    </row>
    <row r="334" spans="1:8" ht="23.25" customHeight="1" x14ac:dyDescent="0.25">
      <c r="A334" s="182" t="s">
        <v>16</v>
      </c>
      <c r="B334" s="183">
        <v>45319.805555555555</v>
      </c>
      <c r="C334" s="183">
        <v>45320.029861111114</v>
      </c>
      <c r="D334" s="113">
        <f>IF(punch[[#This Row],[Time Out]]="", "-", punch[[#This Row],[Time Out]]-punch[[#This Row],[Time In]])</f>
        <v>0.22430555555911269</v>
      </c>
      <c r="E334" s="178">
        <f>IF(punch[[#This Row],[Time In]]="", "-", WEEKNUM(punch[[#This Row],[Time In]],15))</f>
        <v>5</v>
      </c>
      <c r="F334" s="114" cm="1">
        <f t="array" ref="F334">getWeekTotalHours(punch[[#This Row],[Artist]], punch[[#This Row],[WeekNum]])</f>
        <v>2.9500000000043656</v>
      </c>
      <c r="G334" s="226" t="s">
        <v>70</v>
      </c>
    </row>
    <row r="335" spans="1:8" ht="23.25" customHeight="1" x14ac:dyDescent="0.25">
      <c r="A335" s="182" t="s">
        <v>14</v>
      </c>
      <c r="B335" s="183">
        <v>45320.373611111114</v>
      </c>
      <c r="C335" s="183">
        <v>45320.761805555558</v>
      </c>
      <c r="D335" s="113">
        <f>IF(punch[[#This Row],[Time Out]]="", "-", punch[[#This Row],[Time Out]]-punch[[#This Row],[Time In]])</f>
        <v>0.38819444444379769</v>
      </c>
      <c r="E335" s="178">
        <f>IF(punch[[#This Row],[Time In]]="", "-", WEEKNUM(punch[[#This Row],[Time In]],15))</f>
        <v>5</v>
      </c>
      <c r="F335" s="114" cm="1">
        <f t="array" ref="F335">getWeekTotalHours(punch[[#This Row],[Artist]], punch[[#This Row],[WeekNum]])</f>
        <v>1.1229166666598758</v>
      </c>
      <c r="G335" s="226" t="s">
        <v>71</v>
      </c>
    </row>
    <row r="336" spans="1:8" ht="23.25" customHeight="1" x14ac:dyDescent="0.25">
      <c r="A336" s="182" t="s">
        <v>18</v>
      </c>
      <c r="B336" s="183">
        <v>45320.34375</v>
      </c>
      <c r="C336" s="183">
        <v>45320.75</v>
      </c>
      <c r="D336" s="113">
        <f>IF(punch[[#This Row],[Time Out]]="", "-", punch[[#This Row],[Time Out]]-punch[[#This Row],[Time In]])</f>
        <v>0.40625</v>
      </c>
      <c r="E336" s="178">
        <f>IF(punch[[#This Row],[Time In]]="", "-", WEEKNUM(punch[[#This Row],[Time In]],15))</f>
        <v>5</v>
      </c>
      <c r="F336" s="114" cm="1">
        <f t="array" ref="F336">getWeekTotalHours(punch[[#This Row],[Artist]], punch[[#This Row],[WeekNum]])</f>
        <v>2.5215277777897427</v>
      </c>
      <c r="G336" s="226" t="s">
        <v>72</v>
      </c>
    </row>
    <row r="337" spans="1:7" ht="23.25" customHeight="1" x14ac:dyDescent="0.25">
      <c r="A337" s="182" t="s">
        <v>12</v>
      </c>
      <c r="B337" s="183">
        <v>45320.444444444445</v>
      </c>
      <c r="C337" s="183">
        <v>45320.593055555553</v>
      </c>
      <c r="D337" s="113">
        <f>IF(punch[[#This Row],[Time Out]]="", "-", punch[[#This Row],[Time Out]]-punch[[#This Row],[Time In]])</f>
        <v>0.14861111110803904</v>
      </c>
      <c r="E337" s="178">
        <f>IF(punch[[#This Row],[Time In]]="", "-", WEEKNUM(punch[[#This Row],[Time In]],15))</f>
        <v>5</v>
      </c>
      <c r="F337" s="114" cm="1">
        <f t="array" ref="F337">getWeekTotalHours(punch[[#This Row],[Artist]], punch[[#This Row],[WeekNum]])</f>
        <v>0.98611111110221827</v>
      </c>
      <c r="G337" s="226" t="s">
        <v>73</v>
      </c>
    </row>
    <row r="338" spans="1:7" ht="23.25" customHeight="1" x14ac:dyDescent="0.25">
      <c r="A338" s="182" t="s">
        <v>16</v>
      </c>
      <c r="B338" s="183">
        <v>45320.493055555555</v>
      </c>
      <c r="C338" s="183">
        <v>45320.979166666664</v>
      </c>
      <c r="D338" s="113">
        <f>IF(punch[[#This Row],[Time Out]]="", "-", punch[[#This Row],[Time Out]]-punch[[#This Row],[Time In]])</f>
        <v>0.48611111110949423</v>
      </c>
      <c r="E338" s="178">
        <f>IF(punch[[#This Row],[Time In]]="", "-", WEEKNUM(punch[[#This Row],[Time In]],15))</f>
        <v>5</v>
      </c>
      <c r="F338" s="114" cm="1">
        <f t="array" ref="F338">getWeekTotalHours(punch[[#This Row],[Artist]], punch[[#This Row],[WeekNum]])</f>
        <v>2.9500000000043656</v>
      </c>
      <c r="G338" s="226" t="s">
        <v>74</v>
      </c>
    </row>
    <row r="339" spans="1:7" ht="23.25" customHeight="1" x14ac:dyDescent="0.25">
      <c r="A339" s="182" t="s">
        <v>18</v>
      </c>
      <c r="B339" s="183">
        <v>45320.789583333331</v>
      </c>
      <c r="C339" s="183">
        <v>45320.845833333333</v>
      </c>
      <c r="D339" s="113">
        <f>IF(punch[[#This Row],[Time Out]]="", "-", punch[[#This Row],[Time Out]]-punch[[#This Row],[Time In]])</f>
        <v>5.6250000001455192E-2</v>
      </c>
      <c r="E339" s="178">
        <f>IF(punch[[#This Row],[Time In]]="", "-", WEEKNUM(punch[[#This Row],[Time In]],15))</f>
        <v>5</v>
      </c>
      <c r="F339" s="114" cm="1">
        <f t="array" ref="F339">getWeekTotalHours(punch[[#This Row],[Artist]], punch[[#This Row],[WeekNum]])</f>
        <v>2.5215277777897427</v>
      </c>
      <c r="G339" s="226" t="s">
        <v>75</v>
      </c>
    </row>
    <row r="340" spans="1:7" ht="23.25" customHeight="1" x14ac:dyDescent="0.25">
      <c r="A340" s="182" t="s">
        <v>20</v>
      </c>
      <c r="B340" s="183">
        <v>45320.541666666664</v>
      </c>
      <c r="C340" s="183">
        <v>45320.729166666664</v>
      </c>
      <c r="D340" s="113">
        <f>IF(punch[[#This Row],[Time Out]]="", "-", punch[[#This Row],[Time Out]]-punch[[#This Row],[Time In]])</f>
        <v>0.1875</v>
      </c>
      <c r="E340" s="178">
        <f>IF(punch[[#This Row],[Time In]]="", "-", WEEKNUM(punch[[#This Row],[Time In]],15))</f>
        <v>5</v>
      </c>
      <c r="F340" s="114" cm="1">
        <f t="array" ref="F340">getWeekTotalHours(punch[[#This Row],[Artist]], punch[[#This Row],[WeekNum]])</f>
        <v>1.60972222223063</v>
      </c>
      <c r="G340" s="226" t="s">
        <v>76</v>
      </c>
    </row>
    <row r="341" spans="1:7" ht="23.25" customHeight="1" x14ac:dyDescent="0.25">
      <c r="A341" s="182" t="s">
        <v>18</v>
      </c>
      <c r="B341" s="183">
        <v>45321.295138888891</v>
      </c>
      <c r="C341" s="183">
        <v>45321.677083333336</v>
      </c>
      <c r="D341" s="113">
        <f>IF(punch[[#This Row],[Time Out]]="", "-", punch[[#This Row],[Time Out]]-punch[[#This Row],[Time In]])</f>
        <v>0.38194444444525288</v>
      </c>
      <c r="E341" s="178">
        <f>IF(punch[[#This Row],[Time In]]="", "-", WEEKNUM(punch[[#This Row],[Time In]],15))</f>
        <v>5</v>
      </c>
      <c r="F341" s="114" cm="1">
        <f t="array" ref="F341">getWeekTotalHours(punch[[#This Row],[Artist]], punch[[#This Row],[WeekNum]])</f>
        <v>2.5215277777897427</v>
      </c>
      <c r="G341" s="226" t="s">
        <v>77</v>
      </c>
    </row>
    <row r="342" spans="1:7" ht="23.25" customHeight="1" x14ac:dyDescent="0.25">
      <c r="A342" s="182" t="s">
        <v>14</v>
      </c>
      <c r="B342" s="183">
        <v>45321.375694444447</v>
      </c>
      <c r="C342" s="183">
        <v>45321.859027777777</v>
      </c>
      <c r="D342" s="113">
        <f>IF(punch[[#This Row],[Time Out]]="", "-", punch[[#This Row],[Time Out]]-punch[[#This Row],[Time In]])</f>
        <v>0.48333333332993789</v>
      </c>
      <c r="E342" s="178">
        <f>IF(punch[[#This Row],[Time In]]="", "-", WEEKNUM(punch[[#This Row],[Time In]],15))</f>
        <v>5</v>
      </c>
      <c r="F342" s="114" cm="1">
        <f t="array" ref="F342">getWeekTotalHours(punch[[#This Row],[Artist]], punch[[#This Row],[WeekNum]])</f>
        <v>1.1229166666598758</v>
      </c>
      <c r="G342" s="226" t="s">
        <v>78</v>
      </c>
    </row>
    <row r="343" spans="1:7" ht="23.25" customHeight="1" x14ac:dyDescent="0.25">
      <c r="A343" s="182" t="s">
        <v>16</v>
      </c>
      <c r="B343" s="183">
        <v>45321.438888888886</v>
      </c>
      <c r="C343" s="183">
        <v>45321.819444444445</v>
      </c>
      <c r="D343" s="113">
        <f>IF(punch[[#This Row],[Time Out]]="", "-", punch[[#This Row],[Time Out]]-punch[[#This Row],[Time In]])</f>
        <v>0.38055555555911269</v>
      </c>
      <c r="E343" s="178">
        <f>IF(punch[[#This Row],[Time In]]="", "-", WEEKNUM(punch[[#This Row],[Time In]],15))</f>
        <v>5</v>
      </c>
      <c r="F343" s="114" cm="1">
        <f t="array" ref="F343">getWeekTotalHours(punch[[#This Row],[Artist]], punch[[#This Row],[WeekNum]])</f>
        <v>2.9500000000043656</v>
      </c>
      <c r="G343" s="226" t="s">
        <v>79</v>
      </c>
    </row>
    <row r="344" spans="1:7" ht="23.25" customHeight="1" x14ac:dyDescent="0.25">
      <c r="A344" s="182" t="s">
        <v>20</v>
      </c>
      <c r="B344" s="183">
        <v>45321.541666666664</v>
      </c>
      <c r="C344" s="183">
        <v>45321.583333333336</v>
      </c>
      <c r="D344" s="113">
        <f>IF(punch[[#This Row],[Time Out]]="", "-", punch[[#This Row],[Time Out]]-punch[[#This Row],[Time In]])</f>
        <v>4.1666666671517305E-2</v>
      </c>
      <c r="E344" s="178">
        <f>IF(punch[[#This Row],[Time In]]="", "-", WEEKNUM(punch[[#This Row],[Time In]],15))</f>
        <v>5</v>
      </c>
      <c r="F344" s="114" cm="1">
        <f t="array" ref="F344">getWeekTotalHours(punch[[#This Row],[Artist]], punch[[#This Row],[WeekNum]])</f>
        <v>1.60972222223063</v>
      </c>
      <c r="G344" s="226" t="s">
        <v>80</v>
      </c>
    </row>
    <row r="345" spans="1:7" ht="23.25" customHeight="1" x14ac:dyDescent="0.25">
      <c r="A345" s="182" t="s">
        <v>20</v>
      </c>
      <c r="B345" s="183">
        <v>45321.625</v>
      </c>
      <c r="C345" s="183">
        <v>45321.75</v>
      </c>
      <c r="D345" s="113">
        <f>IF(punch[[#This Row],[Time Out]]="", "-", punch[[#This Row],[Time Out]]-punch[[#This Row],[Time In]])</f>
        <v>0.125</v>
      </c>
      <c r="E345" s="178">
        <f>IF(punch[[#This Row],[Time In]]="", "-", WEEKNUM(punch[[#This Row],[Time In]],15))</f>
        <v>5</v>
      </c>
      <c r="F345" s="114" cm="1">
        <f t="array" ref="F345">getWeekTotalHours(punch[[#This Row],[Artist]], punch[[#This Row],[WeekNum]])</f>
        <v>1.60972222223063</v>
      </c>
      <c r="G345" s="226" t="s">
        <v>80</v>
      </c>
    </row>
    <row r="346" spans="1:7" ht="23.25" customHeight="1" x14ac:dyDescent="0.25">
      <c r="A346" s="182" t="s">
        <v>18</v>
      </c>
      <c r="B346" s="183">
        <v>45321.706944444442</v>
      </c>
      <c r="C346" s="183">
        <v>45321.769444444442</v>
      </c>
      <c r="D346" s="113">
        <f>IF(punch[[#This Row],[Time Out]]="", "-", punch[[#This Row],[Time Out]]-punch[[#This Row],[Time In]])</f>
        <v>6.25E-2</v>
      </c>
      <c r="E346" s="178">
        <f>IF(punch[[#This Row],[Time In]]="", "-", WEEKNUM(punch[[#This Row],[Time In]],15))</f>
        <v>5</v>
      </c>
      <c r="F346" s="114" cm="1">
        <f t="array" ref="F346">getWeekTotalHours(punch[[#This Row],[Artist]], punch[[#This Row],[WeekNum]])</f>
        <v>2.5215277777897427</v>
      </c>
      <c r="G346" s="226" t="s">
        <v>81</v>
      </c>
    </row>
    <row r="347" spans="1:7" ht="23.25" customHeight="1" x14ac:dyDescent="0.25">
      <c r="A347" s="182" t="s">
        <v>20</v>
      </c>
      <c r="B347" s="183">
        <v>45321.916666666664</v>
      </c>
      <c r="C347" s="183">
        <v>45321.958333333336</v>
      </c>
      <c r="D347" s="113">
        <f>IF(punch[[#This Row],[Time Out]]="", "-", punch[[#This Row],[Time Out]]-punch[[#This Row],[Time In]])</f>
        <v>4.1666666671517305E-2</v>
      </c>
      <c r="E347" s="178">
        <f>IF(punch[[#This Row],[Time In]]="", "-", WEEKNUM(punch[[#This Row],[Time In]],15))</f>
        <v>5</v>
      </c>
      <c r="F347" s="114" cm="1">
        <f t="array" ref="F347">getWeekTotalHours(punch[[#This Row],[Artist]], punch[[#This Row],[WeekNum]])</f>
        <v>1.60972222223063</v>
      </c>
      <c r="G347" s="226" t="s">
        <v>80</v>
      </c>
    </row>
    <row r="348" spans="1:7" ht="23.25" customHeight="1" x14ac:dyDescent="0.25">
      <c r="A348" s="182" t="s">
        <v>12</v>
      </c>
      <c r="B348" s="183">
        <v>45321.82916666667</v>
      </c>
      <c r="C348" s="183">
        <v>45321.868750000001</v>
      </c>
      <c r="D348" s="113">
        <f>IF(punch[[#This Row],[Time Out]]="", "-", punch[[#This Row],[Time Out]]-punch[[#This Row],[Time In]])</f>
        <v>3.9583333331393078E-2</v>
      </c>
      <c r="E348" s="178">
        <f>IF(punch[[#This Row],[Time In]]="", "-", WEEKNUM(punch[[#This Row],[Time In]],15))</f>
        <v>5</v>
      </c>
      <c r="F348" s="114" cm="1">
        <f t="array" ref="F348">getWeekTotalHours(punch[[#This Row],[Artist]], punch[[#This Row],[WeekNum]])</f>
        <v>0.98611111110221827</v>
      </c>
      <c r="G348" s="226" t="s">
        <v>82</v>
      </c>
    </row>
    <row r="349" spans="1:7" ht="23.25" customHeight="1" x14ac:dyDescent="0.25">
      <c r="A349" s="182" t="s">
        <v>16</v>
      </c>
      <c r="B349" s="183">
        <v>45321.921527777777</v>
      </c>
      <c r="C349" s="183">
        <v>45322.056944444441</v>
      </c>
      <c r="D349" s="113">
        <f>IF(punch[[#This Row],[Time Out]]="", "-", punch[[#This Row],[Time Out]]-punch[[#This Row],[Time In]])</f>
        <v>0.13541666666424135</v>
      </c>
      <c r="E349" s="178">
        <f>IF(punch[[#This Row],[Time In]]="", "-", WEEKNUM(punch[[#This Row],[Time In]],15))</f>
        <v>5</v>
      </c>
      <c r="F349" s="114" cm="1">
        <f t="array" ref="F349">getWeekTotalHours(punch[[#This Row],[Artist]], punch[[#This Row],[WeekNum]])</f>
        <v>2.9500000000043656</v>
      </c>
      <c r="G349" s="226"/>
    </row>
    <row r="350" spans="1:7" ht="23.25" customHeight="1" x14ac:dyDescent="0.25">
      <c r="A350" s="182" t="s">
        <v>18</v>
      </c>
      <c r="B350" s="183">
        <v>45322.331250000003</v>
      </c>
      <c r="C350" s="183">
        <v>45322.412499999999</v>
      </c>
      <c r="D350" s="113">
        <f>IF(punch[[#This Row],[Time Out]]="", "-", punch[[#This Row],[Time Out]]-punch[[#This Row],[Time In]])</f>
        <v>8.1249999995634425E-2</v>
      </c>
      <c r="E350" s="178">
        <f>IF(punch[[#This Row],[Time In]]="", "-", WEEKNUM(punch[[#This Row],[Time In]],15))</f>
        <v>5</v>
      </c>
      <c r="F350" s="114" cm="1">
        <f t="array" ref="F350">getWeekTotalHours(punch[[#This Row],[Artist]], punch[[#This Row],[WeekNum]])</f>
        <v>2.5215277777897427</v>
      </c>
      <c r="G350" s="226" t="s">
        <v>83</v>
      </c>
    </row>
    <row r="351" spans="1:7" ht="23.25" customHeight="1" x14ac:dyDescent="0.25">
      <c r="A351" s="182" t="s">
        <v>12</v>
      </c>
      <c r="B351" s="183">
        <v>45322.350694444445</v>
      </c>
      <c r="C351" s="183">
        <v>45322.736111111109</v>
      </c>
      <c r="D351" s="113">
        <f>IF(punch[[#This Row],[Time Out]]="", "-", punch[[#This Row],[Time Out]]-punch[[#This Row],[Time In]])</f>
        <v>0.38541666666424135</v>
      </c>
      <c r="E351" s="178">
        <f>IF(punch[[#This Row],[Time In]]="", "-", WEEKNUM(punch[[#This Row],[Time In]],15))</f>
        <v>5</v>
      </c>
      <c r="F351" s="114" cm="1">
        <f t="array" ref="F351">getWeekTotalHours(punch[[#This Row],[Artist]], punch[[#This Row],[WeekNum]])</f>
        <v>0.98611111110221827</v>
      </c>
      <c r="G351" s="226" t="s">
        <v>84</v>
      </c>
    </row>
    <row r="352" spans="1:7" ht="23.25" customHeight="1" x14ac:dyDescent="0.25">
      <c r="A352" s="182" t="s">
        <v>20</v>
      </c>
      <c r="B352" s="183">
        <v>45322.368055555555</v>
      </c>
      <c r="C352" s="183">
        <v>45322.416666666664</v>
      </c>
      <c r="D352" s="113">
        <f>IF(punch[[#This Row],[Time Out]]="", "-", punch[[#This Row],[Time Out]]-punch[[#This Row],[Time In]])</f>
        <v>4.8611111109494232E-2</v>
      </c>
      <c r="E352" s="178">
        <f>IF(punch[[#This Row],[Time In]]="", "-", WEEKNUM(punch[[#This Row],[Time In]],15))</f>
        <v>5</v>
      </c>
      <c r="F352" s="114" cm="1">
        <f t="array" ref="F352">getWeekTotalHours(punch[[#This Row],[Artist]], punch[[#This Row],[WeekNum]])</f>
        <v>1.60972222223063</v>
      </c>
      <c r="G352" s="226"/>
    </row>
    <row r="353" spans="1:7" ht="23.25" customHeight="1" x14ac:dyDescent="0.25">
      <c r="A353" s="182" t="s">
        <v>16</v>
      </c>
      <c r="B353" s="183">
        <v>45322.416666666664</v>
      </c>
      <c r="C353" s="183">
        <v>45323.041666666664</v>
      </c>
      <c r="D353" s="113">
        <f>IF(punch[[#This Row],[Time Out]]="", "-", punch[[#This Row],[Time Out]]-punch[[#This Row],[Time In]])</f>
        <v>0.625</v>
      </c>
      <c r="E353" s="178">
        <f>IF(punch[[#This Row],[Time In]]="", "-", WEEKNUM(punch[[#This Row],[Time In]],15))</f>
        <v>5</v>
      </c>
      <c r="F353" s="114" cm="1">
        <f t="array" ref="F353">getWeekTotalHours(punch[[#This Row],[Artist]], punch[[#This Row],[WeekNum]])</f>
        <v>2.9500000000043656</v>
      </c>
      <c r="G353" s="226"/>
    </row>
    <row r="354" spans="1:7" ht="23.25" customHeight="1" x14ac:dyDescent="0.25">
      <c r="A354" s="182" t="s">
        <v>18</v>
      </c>
      <c r="B354" s="183">
        <v>45322.479166666664</v>
      </c>
      <c r="C354" s="183">
        <v>45322.89166666667</v>
      </c>
      <c r="D354" s="113">
        <f>IF(punch[[#This Row],[Time Out]]="", "-", punch[[#This Row],[Time Out]]-punch[[#This Row],[Time In]])</f>
        <v>0.41250000000582077</v>
      </c>
      <c r="E354" s="178">
        <f>IF(punch[[#This Row],[Time In]]="", "-", WEEKNUM(punch[[#This Row],[Time In]],15))</f>
        <v>5</v>
      </c>
      <c r="F354" s="114" cm="1">
        <f t="array" ref="F354">getWeekTotalHours(punch[[#This Row],[Artist]], punch[[#This Row],[WeekNum]])</f>
        <v>2.5215277777897427</v>
      </c>
      <c r="G354" s="226" t="s">
        <v>85</v>
      </c>
    </row>
    <row r="355" spans="1:7" ht="23.25" customHeight="1" x14ac:dyDescent="0.25">
      <c r="A355" s="182" t="s">
        <v>20</v>
      </c>
      <c r="B355" s="183">
        <v>45322.458333333336</v>
      </c>
      <c r="C355" s="183">
        <v>45322.5</v>
      </c>
      <c r="D355" s="113">
        <f>IF(punch[[#This Row],[Time Out]]="", "-", punch[[#This Row],[Time Out]]-punch[[#This Row],[Time In]])</f>
        <v>4.1666666664241347E-2</v>
      </c>
      <c r="E355" s="178">
        <f>IF(punch[[#This Row],[Time In]]="", "-", WEEKNUM(punch[[#This Row],[Time In]],15))</f>
        <v>5</v>
      </c>
      <c r="F355" s="114" cm="1">
        <f t="array" ref="F355">getWeekTotalHours(punch[[#This Row],[Artist]], punch[[#This Row],[WeekNum]])</f>
        <v>1.60972222223063</v>
      </c>
      <c r="G355" s="226"/>
    </row>
    <row r="356" spans="1:7" ht="23.25" customHeight="1" x14ac:dyDescent="0.25">
      <c r="A356" s="182" t="s">
        <v>20</v>
      </c>
      <c r="B356" s="183">
        <v>45322.541666666664</v>
      </c>
      <c r="C356" s="183">
        <v>45322.694444444445</v>
      </c>
      <c r="D356" s="113">
        <f>IF(punch[[#This Row],[Time Out]]="", "-", punch[[#This Row],[Time Out]]-punch[[#This Row],[Time In]])</f>
        <v>0.15277777778101154</v>
      </c>
      <c r="E356" s="178">
        <f>IF(punch[[#This Row],[Time In]]="", "-", WEEKNUM(punch[[#This Row],[Time In]],15))</f>
        <v>5</v>
      </c>
      <c r="F356" s="114" cm="1">
        <f t="array" ref="F356">getWeekTotalHours(punch[[#This Row],[Artist]], punch[[#This Row],[WeekNum]])</f>
        <v>1.60972222223063</v>
      </c>
      <c r="G356" s="226"/>
    </row>
    <row r="357" spans="1:7" ht="23.25" customHeight="1" x14ac:dyDescent="0.25">
      <c r="A357" s="182" t="s">
        <v>14</v>
      </c>
      <c r="B357" s="183">
        <v>45322.53125</v>
      </c>
      <c r="C357" s="183">
        <v>45322.697916666664</v>
      </c>
      <c r="D357" s="113">
        <f>IF(punch[[#This Row],[Time Out]]="", "-", punch[[#This Row],[Time Out]]-punch[[#This Row],[Time In]])</f>
        <v>0.16666666666424135</v>
      </c>
      <c r="E357" s="178">
        <f>IF(punch[[#This Row],[Time In]]="", "-", WEEKNUM(punch[[#This Row],[Time In]],15))</f>
        <v>5</v>
      </c>
      <c r="F357" s="114" cm="1">
        <f t="array" ref="F357">getWeekTotalHours(punch[[#This Row],[Artist]], punch[[#This Row],[WeekNum]])</f>
        <v>1.1229166666598758</v>
      </c>
      <c r="G357" s="226" t="s">
        <v>86</v>
      </c>
    </row>
    <row r="358" spans="1:7" ht="23.25" customHeight="1" x14ac:dyDescent="0.25">
      <c r="A358" s="182" t="s">
        <v>18</v>
      </c>
      <c r="B358" s="183">
        <v>45323.311805555553</v>
      </c>
      <c r="C358" s="183">
        <v>45323.706944444442</v>
      </c>
      <c r="D358" s="113">
        <f>IF(punch[[#This Row],[Time Out]]="", "-", punch[[#This Row],[Time Out]]-punch[[#This Row],[Time In]])</f>
        <v>0.39513888888905058</v>
      </c>
      <c r="E358" s="178">
        <f>IF(punch[[#This Row],[Time In]]="", "-", WEEKNUM(punch[[#This Row],[Time In]],15))</f>
        <v>5</v>
      </c>
      <c r="F358" s="114" cm="1">
        <f t="array" ref="F358">getWeekTotalHours(punch[[#This Row],[Artist]], punch[[#This Row],[WeekNum]])</f>
        <v>2.5215277777897427</v>
      </c>
      <c r="G358" s="226" t="s">
        <v>87</v>
      </c>
    </row>
    <row r="359" spans="1:7" ht="23.25" customHeight="1" x14ac:dyDescent="0.25">
      <c r="A359" s="182" t="s">
        <v>12</v>
      </c>
      <c r="B359" s="183">
        <v>45323.575694444444</v>
      </c>
      <c r="C359" s="183">
        <v>45323.988194444442</v>
      </c>
      <c r="D359" s="113">
        <f>IF(punch[[#This Row],[Time Out]]="", "-", punch[[#This Row],[Time Out]]-punch[[#This Row],[Time In]])</f>
        <v>0.41249999999854481</v>
      </c>
      <c r="E359" s="178">
        <f>IF(punch[[#This Row],[Time In]]="", "-", WEEKNUM(punch[[#This Row],[Time In]],15))</f>
        <v>5</v>
      </c>
      <c r="F359" s="114" cm="1">
        <f t="array" ref="F359">getWeekTotalHours(punch[[#This Row],[Artist]], punch[[#This Row],[WeekNum]])</f>
        <v>0.98611111110221827</v>
      </c>
      <c r="G359" s="226" t="s">
        <v>88</v>
      </c>
    </row>
    <row r="360" spans="1:7" ht="23.25" customHeight="1" x14ac:dyDescent="0.25">
      <c r="A360" s="182" t="s">
        <v>16</v>
      </c>
      <c r="B360" s="183">
        <v>45323.422222222223</v>
      </c>
      <c r="C360" s="183">
        <v>45323.988888888889</v>
      </c>
      <c r="D360" s="113">
        <f>IF(punch[[#This Row],[Time Out]]="", "-", punch[[#This Row],[Time Out]]-punch[[#This Row],[Time In]])</f>
        <v>0.56666666666569654</v>
      </c>
      <c r="E360" s="178">
        <f>IF(punch[[#This Row],[Time In]]="", "-", WEEKNUM(punch[[#This Row],[Time In]],15))</f>
        <v>5</v>
      </c>
      <c r="F360" s="114" cm="1">
        <f t="array" ref="F360">getWeekTotalHours(punch[[#This Row],[Artist]], punch[[#This Row],[WeekNum]])</f>
        <v>2.9500000000043656</v>
      </c>
      <c r="G360" s="226" t="s">
        <v>89</v>
      </c>
    </row>
    <row r="361" spans="1:7" ht="23.25" customHeight="1" x14ac:dyDescent="0.25">
      <c r="A361" s="182" t="s">
        <v>18</v>
      </c>
      <c r="B361" s="183">
        <v>45323.736111111109</v>
      </c>
      <c r="C361" s="183">
        <v>45323.965277777781</v>
      </c>
      <c r="D361" s="113">
        <f>IF(punch[[#This Row],[Time Out]]="", "-", punch[[#This Row],[Time Out]]-punch[[#This Row],[Time In]])</f>
        <v>0.22916666667151731</v>
      </c>
      <c r="E361" s="178">
        <f>IF(punch[[#This Row],[Time In]]="", "-", WEEKNUM(punch[[#This Row],[Time In]],15))</f>
        <v>5</v>
      </c>
      <c r="F361" s="114" cm="1">
        <f t="array" ref="F361">getWeekTotalHours(punch[[#This Row],[Artist]], punch[[#This Row],[WeekNum]])</f>
        <v>2.5215277777897427</v>
      </c>
      <c r="G361" s="226" t="s">
        <v>90</v>
      </c>
    </row>
    <row r="362" spans="1:7" ht="23.25" customHeight="1" x14ac:dyDescent="0.25">
      <c r="A362" s="182" t="s">
        <v>20</v>
      </c>
      <c r="B362" s="183">
        <v>45322.864583333336</v>
      </c>
      <c r="C362" s="183">
        <v>45322.947916666664</v>
      </c>
      <c r="D362" s="113">
        <f>IF(punch[[#This Row],[Time Out]]="", "-", punch[[#This Row],[Time Out]]-punch[[#This Row],[Time In]])</f>
        <v>8.3333333328482695E-2</v>
      </c>
      <c r="E362" s="178">
        <f>IF(punch[[#This Row],[Time In]]="", "-", WEEKNUM(punch[[#This Row],[Time In]],15))</f>
        <v>5</v>
      </c>
      <c r="F362" s="114" cm="1">
        <f t="array" ref="F362">getWeekTotalHours(punch[[#This Row],[Artist]], punch[[#This Row],[WeekNum]])</f>
        <v>1.60972222223063</v>
      </c>
      <c r="G362" s="226" t="s">
        <v>91</v>
      </c>
    </row>
    <row r="363" spans="1:7" ht="23.25" customHeight="1" x14ac:dyDescent="0.25">
      <c r="A363" s="182" t="s">
        <v>20</v>
      </c>
      <c r="B363" s="183">
        <v>45323.416666666664</v>
      </c>
      <c r="C363" s="183">
        <v>45323.916666666664</v>
      </c>
      <c r="D363" s="113">
        <f>IF(punch[[#This Row],[Time Out]]="", "-", punch[[#This Row],[Time Out]]-punch[[#This Row],[Time In]])</f>
        <v>0.5</v>
      </c>
      <c r="E363" s="178">
        <f>IF(punch[[#This Row],[Time In]]="", "-", WEEKNUM(punch[[#This Row],[Time In]],15))</f>
        <v>5</v>
      </c>
      <c r="F363" s="114" cm="1">
        <f t="array" ref="F363">getWeekTotalHours(punch[[#This Row],[Artist]], punch[[#This Row],[WeekNum]])</f>
        <v>1.60972222223063</v>
      </c>
      <c r="G363" s="226" t="s">
        <v>92</v>
      </c>
    </row>
    <row r="364" spans="1:7" ht="23.25" customHeight="1" x14ac:dyDescent="0.25">
      <c r="A364" s="182" t="s">
        <v>12</v>
      </c>
      <c r="B364" s="183">
        <v>45326.385416666664</v>
      </c>
      <c r="C364" s="183">
        <v>45326.493055555555</v>
      </c>
      <c r="D364" s="113">
        <f>IF(punch[[#This Row],[Time Out]]="", "-", punch[[#This Row],[Time Out]]-punch[[#This Row],[Time In]])</f>
        <v>0.10763888889050577</v>
      </c>
      <c r="E364" s="178">
        <f>IF(punch[[#This Row],[Time In]]="", "-", WEEKNUM(punch[[#This Row],[Time In]],15))</f>
        <v>6</v>
      </c>
      <c r="F364" s="114" cm="1">
        <f t="array" ref="F364">getWeekTotalHours(punch[[#This Row],[Artist]], punch[[#This Row],[WeekNum]])</f>
        <v>0.64722222223645076</v>
      </c>
      <c r="G364" s="226" t="s">
        <v>93</v>
      </c>
    </row>
    <row r="365" spans="1:7" ht="23.25" customHeight="1" x14ac:dyDescent="0.25">
      <c r="A365" s="182" t="s">
        <v>18</v>
      </c>
      <c r="B365" s="183">
        <v>45326.395138888889</v>
      </c>
      <c r="C365" s="183">
        <v>45326.669444444444</v>
      </c>
      <c r="D365" s="113">
        <f>IF(punch[[#This Row],[Time Out]]="", "-", punch[[#This Row],[Time Out]]-punch[[#This Row],[Time In]])</f>
        <v>0.27430555555474712</v>
      </c>
      <c r="E365" s="178">
        <f>IF(punch[[#This Row],[Time In]]="", "-", WEEKNUM(punch[[#This Row],[Time In]],15))</f>
        <v>6</v>
      </c>
      <c r="F365" s="114" cm="1">
        <f t="array" ref="F365">getWeekTotalHours(punch[[#This Row],[Artist]], punch[[#This Row],[WeekNum]])</f>
        <v>1.4784722222102573</v>
      </c>
      <c r="G365" s="226" t="s">
        <v>94</v>
      </c>
    </row>
    <row r="366" spans="1:7" ht="23.25" customHeight="1" x14ac:dyDescent="0.25">
      <c r="A366" s="182" t="s">
        <v>16</v>
      </c>
      <c r="B366" s="183">
        <v>45326.416666666664</v>
      </c>
      <c r="C366" s="183">
        <v>45326.472222222219</v>
      </c>
      <c r="D366" s="113">
        <f>IF(punch[[#This Row],[Time Out]]="", "-", punch[[#This Row],[Time Out]]-punch[[#This Row],[Time In]])</f>
        <v>5.5555555554747116E-2</v>
      </c>
      <c r="E366" s="178">
        <f>IF(punch[[#This Row],[Time In]]="", "-", WEEKNUM(punch[[#This Row],[Time In]],15))</f>
        <v>6</v>
      </c>
      <c r="F366" s="114" cm="1">
        <f t="array" ref="F366">getWeekTotalHours(punch[[#This Row],[Artist]], punch[[#This Row],[WeekNum]])</f>
        <v>1.2062499999956344</v>
      </c>
      <c r="G366" s="226" t="s">
        <v>95</v>
      </c>
    </row>
    <row r="367" spans="1:7" ht="23.25" customHeight="1" x14ac:dyDescent="0.25">
      <c r="A367" s="182" t="s">
        <v>12</v>
      </c>
      <c r="B367" s="183">
        <v>45326.818749999999</v>
      </c>
      <c r="C367" s="183">
        <v>45326.875694444447</v>
      </c>
      <c r="D367" s="113">
        <f>IF(punch[[#This Row],[Time Out]]="", "-", punch[[#This Row],[Time Out]]-punch[[#This Row],[Time In]])</f>
        <v>5.6944444448163267E-2</v>
      </c>
      <c r="E367" s="178">
        <f>IF(punch[[#This Row],[Time In]]="", "-", WEEKNUM(punch[[#This Row],[Time In]],15))</f>
        <v>6</v>
      </c>
      <c r="F367" s="114" cm="1">
        <f t="array" ref="F367">getWeekTotalHours(punch[[#This Row],[Artist]], punch[[#This Row],[WeekNum]])</f>
        <v>0.64722222223645076</v>
      </c>
      <c r="G367" s="226" t="s">
        <v>96</v>
      </c>
    </row>
    <row r="368" spans="1:7" ht="23.25" customHeight="1" x14ac:dyDescent="0.25">
      <c r="A368" s="182" t="s">
        <v>20</v>
      </c>
      <c r="B368" s="183">
        <v>45326.818749999999</v>
      </c>
      <c r="C368" s="183">
        <v>45326.875694444447</v>
      </c>
      <c r="D368" s="113">
        <f>IF(punch[[#This Row],[Time Out]]="", "-", punch[[#This Row],[Time Out]]-punch[[#This Row],[Time In]])</f>
        <v>5.6944444448163267E-2</v>
      </c>
      <c r="E368" s="178">
        <f>IF(punch[[#This Row],[Time In]]="", "-", WEEKNUM(punch[[#This Row],[Time In]],15))</f>
        <v>6</v>
      </c>
      <c r="F368" s="114" cm="1">
        <f t="array" ref="F368">getWeekTotalHours(punch[[#This Row],[Artist]], punch[[#This Row],[WeekNum]])</f>
        <v>5.6944444448163267E-2</v>
      </c>
      <c r="G368" s="226" t="s">
        <v>97</v>
      </c>
    </row>
    <row r="369" spans="1:7" ht="23.25" customHeight="1" x14ac:dyDescent="0.25">
      <c r="A369" s="182" t="s">
        <v>14</v>
      </c>
      <c r="B369" s="183">
        <v>45327.430555555555</v>
      </c>
      <c r="C369" s="183">
        <v>45327.770833333336</v>
      </c>
      <c r="D369" s="113">
        <f>IF(punch[[#This Row],[Time Out]]="", "-", punch[[#This Row],[Time Out]]-punch[[#This Row],[Time In]])</f>
        <v>0.34027777778101154</v>
      </c>
      <c r="E369" s="178">
        <f>IF(punch[[#This Row],[Time In]]="", "-", WEEKNUM(punch[[#This Row],[Time In]],15))</f>
        <v>6</v>
      </c>
      <c r="F369" s="114" cm="1">
        <f t="array" ref="F369">getWeekTotalHours(punch[[#This Row],[Artist]], punch[[#This Row],[WeekNum]])</f>
        <v>0.63472222222480923</v>
      </c>
      <c r="G369" s="226" t="s">
        <v>98</v>
      </c>
    </row>
    <row r="370" spans="1:7" ht="23.25" customHeight="1" x14ac:dyDescent="0.25">
      <c r="A370" s="182" t="s">
        <v>18</v>
      </c>
      <c r="B370" s="183">
        <v>45327.443749999999</v>
      </c>
      <c r="C370" s="183">
        <v>45327.675694444442</v>
      </c>
      <c r="D370" s="113">
        <f>IF(punch[[#This Row],[Time Out]]="", "-", punch[[#This Row],[Time Out]]-punch[[#This Row],[Time In]])</f>
        <v>0.23194444444379769</v>
      </c>
      <c r="E370" s="178">
        <f>IF(punch[[#This Row],[Time In]]="", "-", WEEKNUM(punch[[#This Row],[Time In]],15))</f>
        <v>6</v>
      </c>
      <c r="F370" s="114" cm="1">
        <f t="array" ref="F370">getWeekTotalHours(punch[[#This Row],[Artist]], punch[[#This Row],[WeekNum]])</f>
        <v>1.4784722222102573</v>
      </c>
      <c r="G370" s="226" t="s">
        <v>99</v>
      </c>
    </row>
    <row r="371" spans="1:7" ht="23.25" customHeight="1" x14ac:dyDescent="0.25">
      <c r="A371" s="182" t="s">
        <v>16</v>
      </c>
      <c r="B371" s="183">
        <v>45327.515972222223</v>
      </c>
      <c r="C371" s="183">
        <v>45327.792361111111</v>
      </c>
      <c r="D371" s="113">
        <f>IF(punch[[#This Row],[Time Out]]="", "-", punch[[#This Row],[Time Out]]-punch[[#This Row],[Time In]])</f>
        <v>0.27638888888759539</v>
      </c>
      <c r="E371" s="178">
        <f>IF(punch[[#This Row],[Time In]]="", "-", WEEKNUM(punch[[#This Row],[Time In]],15))</f>
        <v>6</v>
      </c>
      <c r="F371" s="114" cm="1">
        <f t="array" ref="F371">getWeekTotalHours(punch[[#This Row],[Artist]], punch[[#This Row],[WeekNum]])</f>
        <v>1.2062499999956344</v>
      </c>
      <c r="G371" s="226" t="s">
        <v>100</v>
      </c>
    </row>
    <row r="372" spans="1:7" ht="23.25" customHeight="1" x14ac:dyDescent="0.25">
      <c r="A372" s="182" t="s">
        <v>16</v>
      </c>
      <c r="B372" s="183">
        <v>45327.836805555555</v>
      </c>
      <c r="C372" s="183">
        <v>45327.941666666666</v>
      </c>
      <c r="D372" s="113">
        <f>IF(punch[[#This Row],[Time Out]]="", "-", punch[[#This Row],[Time Out]]-punch[[#This Row],[Time In]])</f>
        <v>0.10486111111094942</v>
      </c>
      <c r="E372" s="178">
        <f>IF(punch[[#This Row],[Time In]]="", "-", WEEKNUM(punch[[#This Row],[Time In]],15))</f>
        <v>6</v>
      </c>
      <c r="F372" s="114" cm="1">
        <f t="array" ref="F372">getWeekTotalHours(punch[[#This Row],[Artist]], punch[[#This Row],[WeekNum]])</f>
        <v>1.2062499999956344</v>
      </c>
      <c r="G372" s="226" t="s">
        <v>101</v>
      </c>
    </row>
    <row r="373" spans="1:7" ht="23.25" customHeight="1" x14ac:dyDescent="0.25">
      <c r="A373" s="182" t="s">
        <v>18</v>
      </c>
      <c r="B373" s="183">
        <v>45328.326388888891</v>
      </c>
      <c r="C373" s="183">
        <v>45328.696527777778</v>
      </c>
      <c r="D373" s="113">
        <f>IF(punch[[#This Row],[Time Out]]="", "-", punch[[#This Row],[Time Out]]-punch[[#This Row],[Time In]])</f>
        <v>0.37013888888759539</v>
      </c>
      <c r="E373" s="178">
        <f>IF(punch[[#This Row],[Time In]]="", "-", WEEKNUM(punch[[#This Row],[Time In]],15))</f>
        <v>6</v>
      </c>
      <c r="F373" s="114" cm="1">
        <f t="array" ref="F373">getWeekTotalHours(punch[[#This Row],[Artist]], punch[[#This Row],[WeekNum]])</f>
        <v>1.4784722222102573</v>
      </c>
      <c r="G373" s="226" t="s">
        <v>102</v>
      </c>
    </row>
    <row r="374" spans="1:7" ht="23.25" customHeight="1" x14ac:dyDescent="0.25">
      <c r="A374" s="182" t="s">
        <v>16</v>
      </c>
      <c r="B374" s="183">
        <v>45328.451388888891</v>
      </c>
      <c r="C374" s="183">
        <v>45328.729166666664</v>
      </c>
      <c r="D374" s="113">
        <f>IF(punch[[#This Row],[Time Out]]="", "-", punch[[#This Row],[Time Out]]-punch[[#This Row],[Time In]])</f>
        <v>0.27777777777373558</v>
      </c>
      <c r="E374" s="178">
        <f>IF(punch[[#This Row],[Time In]]="", "-", WEEKNUM(punch[[#This Row],[Time In]],15))</f>
        <v>6</v>
      </c>
      <c r="F374" s="114" cm="1">
        <f t="array" ref="F374">getWeekTotalHours(punch[[#This Row],[Artist]], punch[[#This Row],[WeekNum]])</f>
        <v>1.2062499999956344</v>
      </c>
      <c r="G374" s="226" t="s">
        <v>103</v>
      </c>
    </row>
    <row r="375" spans="1:7" ht="23.25" customHeight="1" x14ac:dyDescent="0.25">
      <c r="A375" s="182" t="s">
        <v>12</v>
      </c>
      <c r="B375" s="183">
        <v>45328.493750000001</v>
      </c>
      <c r="C375" s="183">
        <v>45328.51458333333</v>
      </c>
      <c r="D375" s="113">
        <f>IF(punch[[#This Row],[Time Out]]="", "-", punch[[#This Row],[Time Out]]-punch[[#This Row],[Time In]])</f>
        <v>2.0833333328482695E-2</v>
      </c>
      <c r="E375" s="178">
        <f>IF(punch[[#This Row],[Time In]]="", "-", WEEKNUM(punch[[#This Row],[Time In]],15))</f>
        <v>6</v>
      </c>
      <c r="F375" s="114" cm="1">
        <f t="array" ref="F375">getWeekTotalHours(punch[[#This Row],[Artist]], punch[[#This Row],[WeekNum]])</f>
        <v>0.64722222223645076</v>
      </c>
      <c r="G375" s="226" t="s">
        <v>104</v>
      </c>
    </row>
    <row r="376" spans="1:7" ht="23.25" customHeight="1" x14ac:dyDescent="0.25">
      <c r="A376" s="182" t="s">
        <v>14</v>
      </c>
      <c r="B376" s="183">
        <v>45328.536805555559</v>
      </c>
      <c r="C376" s="183">
        <v>45328.685416666667</v>
      </c>
      <c r="D376" s="113">
        <f>IF(punch[[#This Row],[Time Out]]="", "-", punch[[#This Row],[Time Out]]-punch[[#This Row],[Time In]])</f>
        <v>0.14861111110803904</v>
      </c>
      <c r="E376" s="178">
        <f>IF(punch[[#This Row],[Time In]]="", "-", WEEKNUM(punch[[#This Row],[Time In]],15))</f>
        <v>6</v>
      </c>
      <c r="F376" s="114" cm="1">
        <f t="array" ref="F376">getWeekTotalHours(punch[[#This Row],[Artist]], punch[[#This Row],[WeekNum]])</f>
        <v>0.63472222222480923</v>
      </c>
      <c r="G376" s="226" t="s">
        <v>98</v>
      </c>
    </row>
    <row r="377" spans="1:7" ht="23.25" customHeight="1" x14ac:dyDescent="0.25">
      <c r="A377" s="182" t="s">
        <v>12</v>
      </c>
      <c r="B377" s="183">
        <v>45328.750694444447</v>
      </c>
      <c r="C377" s="183">
        <v>45328.818055555559</v>
      </c>
      <c r="D377" s="113">
        <f>IF(punch[[#This Row],[Time Out]]="", "-", punch[[#This Row],[Time Out]]-punch[[#This Row],[Time In]])</f>
        <v>6.7361111112404615E-2</v>
      </c>
      <c r="E377" s="178">
        <f>IF(punch[[#This Row],[Time In]]="", "-", WEEKNUM(punch[[#This Row],[Time In]],15))</f>
        <v>6</v>
      </c>
      <c r="F377" s="114" cm="1">
        <f t="array" ref="F377">getWeekTotalHours(punch[[#This Row],[Artist]], punch[[#This Row],[WeekNum]])</f>
        <v>0.64722222223645076</v>
      </c>
      <c r="G377" s="226" t="s">
        <v>105</v>
      </c>
    </row>
    <row r="378" spans="1:7" ht="23.25" customHeight="1" x14ac:dyDescent="0.25">
      <c r="A378" s="182" t="s">
        <v>16</v>
      </c>
      <c r="B378" s="183">
        <v>45328.821527777778</v>
      </c>
      <c r="C378" s="183">
        <v>45328.904861111114</v>
      </c>
      <c r="D378" s="113">
        <f>IF(punch[[#This Row],[Time Out]]="", "-", punch[[#This Row],[Time Out]]-punch[[#This Row],[Time In]])</f>
        <v>8.3333333335758653E-2</v>
      </c>
      <c r="E378" s="178">
        <f>IF(punch[[#This Row],[Time In]]="", "-", WEEKNUM(punch[[#This Row],[Time In]],15))</f>
        <v>6</v>
      </c>
      <c r="F378" s="114" cm="1">
        <f t="array" ref="F378">getWeekTotalHours(punch[[#This Row],[Artist]], punch[[#This Row],[WeekNum]])</f>
        <v>1.2062499999956344</v>
      </c>
      <c r="G378" s="226" t="s">
        <v>106</v>
      </c>
    </row>
    <row r="379" spans="1:7" ht="23.25" customHeight="1" x14ac:dyDescent="0.25">
      <c r="A379" s="182" t="s">
        <v>12</v>
      </c>
      <c r="B379" s="183">
        <v>45328.854166666664</v>
      </c>
      <c r="C379" s="183">
        <v>45328.904861111114</v>
      </c>
      <c r="D379" s="113">
        <f>IF(punch[[#This Row],[Time Out]]="", "-", punch[[#This Row],[Time Out]]-punch[[#This Row],[Time In]])</f>
        <v>5.0694444449618459E-2</v>
      </c>
      <c r="E379" s="178">
        <f>IF(punch[[#This Row],[Time In]]="", "-", WEEKNUM(punch[[#This Row],[Time In]],15))</f>
        <v>6</v>
      </c>
      <c r="F379" s="114" cm="1">
        <f t="array" ref="F379">getWeekTotalHours(punch[[#This Row],[Artist]], punch[[#This Row],[WeekNum]])</f>
        <v>0.64722222223645076</v>
      </c>
      <c r="G379" s="226" t="s">
        <v>107</v>
      </c>
    </row>
    <row r="380" spans="1:7" ht="23.25" customHeight="1" x14ac:dyDescent="0.25">
      <c r="A380" s="182" t="s">
        <v>18</v>
      </c>
      <c r="B380" s="183">
        <v>45329.300694444442</v>
      </c>
      <c r="C380" s="183">
        <v>45329.545138888891</v>
      </c>
      <c r="D380" s="113">
        <f>IF(punch[[#This Row],[Time Out]]="", "-", punch[[#This Row],[Time Out]]-punch[[#This Row],[Time In]])</f>
        <v>0.24444444444816327</v>
      </c>
      <c r="E380" s="178">
        <f>IF(punch[[#This Row],[Time In]]="", "-", WEEKNUM(punch[[#This Row],[Time In]],15))</f>
        <v>6</v>
      </c>
      <c r="F380" s="114" cm="1">
        <f t="array" ref="F380">getWeekTotalHours(punch[[#This Row],[Artist]], punch[[#This Row],[WeekNum]])</f>
        <v>1.4784722222102573</v>
      </c>
      <c r="G380" s="226" t="s">
        <v>108</v>
      </c>
    </row>
    <row r="381" spans="1:7" ht="23.25" customHeight="1" x14ac:dyDescent="0.25">
      <c r="A381" s="182" t="s">
        <v>12</v>
      </c>
      <c r="B381" s="183">
        <v>45329.324305555558</v>
      </c>
      <c r="C381" s="183">
        <v>45329.473611111112</v>
      </c>
      <c r="D381" s="113">
        <f>IF(punch[[#This Row],[Time Out]]="", "-", punch[[#This Row],[Time Out]]-punch[[#This Row],[Time In]])</f>
        <v>0.14930555555474712</v>
      </c>
      <c r="E381" s="178">
        <f>IF(punch[[#This Row],[Time In]]="", "-", WEEKNUM(punch[[#This Row],[Time In]],15))</f>
        <v>6</v>
      </c>
      <c r="F381" s="114" cm="1">
        <f t="array" ref="F381">getWeekTotalHours(punch[[#This Row],[Artist]], punch[[#This Row],[WeekNum]])</f>
        <v>0.64722222223645076</v>
      </c>
      <c r="G381" s="226" t="s">
        <v>109</v>
      </c>
    </row>
    <row r="382" spans="1:7" ht="23.25" customHeight="1" x14ac:dyDescent="0.25">
      <c r="A382" s="182" t="s">
        <v>16</v>
      </c>
      <c r="B382" s="183">
        <v>45329.417361111111</v>
      </c>
      <c r="C382" s="183">
        <v>45329.825694444444</v>
      </c>
      <c r="D382" s="113">
        <f>IF(punch[[#This Row],[Time Out]]="", "-", punch[[#This Row],[Time Out]]-punch[[#This Row],[Time In]])</f>
        <v>0.40833333333284827</v>
      </c>
      <c r="E382" s="178">
        <f>IF(punch[[#This Row],[Time In]]="", "-", WEEKNUM(punch[[#This Row],[Time In]],15))</f>
        <v>6</v>
      </c>
      <c r="F382" s="114" cm="1">
        <f t="array" ref="F382">getWeekTotalHours(punch[[#This Row],[Artist]], punch[[#This Row],[WeekNum]])</f>
        <v>1.2062499999956344</v>
      </c>
      <c r="G382" s="226"/>
    </row>
    <row r="383" spans="1:7" ht="23.25" customHeight="1" x14ac:dyDescent="0.25">
      <c r="A383" s="182" t="s">
        <v>12</v>
      </c>
      <c r="B383" s="183">
        <v>45329.506944444445</v>
      </c>
      <c r="C383" s="183">
        <v>45329.527777777781</v>
      </c>
      <c r="D383" s="113">
        <f>IF(punch[[#This Row],[Time Out]]="", "-", punch[[#This Row],[Time Out]]-punch[[#This Row],[Time In]])</f>
        <v>2.0833333335758653E-2</v>
      </c>
      <c r="E383" s="178">
        <f>IF(punch[[#This Row],[Time In]]="", "-", WEEKNUM(punch[[#This Row],[Time In]],15))</f>
        <v>6</v>
      </c>
      <c r="F383" s="114" cm="1">
        <f t="array" ref="F383">getWeekTotalHours(punch[[#This Row],[Artist]], punch[[#This Row],[WeekNum]])</f>
        <v>0.64722222223645076</v>
      </c>
      <c r="G383" s="226" t="s">
        <v>110</v>
      </c>
    </row>
    <row r="384" spans="1:7" ht="23.25" customHeight="1" x14ac:dyDescent="0.25">
      <c r="A384" s="182" t="s">
        <v>14</v>
      </c>
      <c r="B384" s="183">
        <v>45329.5625</v>
      </c>
      <c r="C384" s="183">
        <v>45329.708333333336</v>
      </c>
      <c r="D384" s="113">
        <f>IF(punch[[#This Row],[Time Out]]="", "-", punch[[#This Row],[Time Out]]-punch[[#This Row],[Time In]])</f>
        <v>0.14583333333575865</v>
      </c>
      <c r="E384" s="178">
        <f>IF(punch[[#This Row],[Time In]]="", "-", WEEKNUM(punch[[#This Row],[Time In]],15))</f>
        <v>6</v>
      </c>
      <c r="F384" s="114" cm="1">
        <f t="array" ref="F384">getWeekTotalHours(punch[[#This Row],[Artist]], punch[[#This Row],[WeekNum]])</f>
        <v>0.63472222222480923</v>
      </c>
      <c r="G384" s="226" t="s">
        <v>111</v>
      </c>
    </row>
    <row r="385" spans="1:7" ht="23.25" customHeight="1" x14ac:dyDescent="0.25">
      <c r="A385" s="182" t="s">
        <v>18</v>
      </c>
      <c r="B385" s="183">
        <v>45329.661805555559</v>
      </c>
      <c r="C385" s="183">
        <v>45329.704861111109</v>
      </c>
      <c r="D385" s="113">
        <f>IF(punch[[#This Row],[Time Out]]="", "-", punch[[#This Row],[Time Out]]-punch[[#This Row],[Time In]])</f>
        <v>4.3055555550381541E-2</v>
      </c>
      <c r="E385" s="178">
        <f>IF(punch[[#This Row],[Time In]]="", "-", WEEKNUM(punch[[#This Row],[Time In]],15))</f>
        <v>6</v>
      </c>
      <c r="F385" s="114" cm="1">
        <f t="array" ref="F385">getWeekTotalHours(punch[[#This Row],[Artist]], punch[[#This Row],[WeekNum]])</f>
        <v>1.4784722222102573</v>
      </c>
      <c r="G385" s="226" t="s">
        <v>112</v>
      </c>
    </row>
    <row r="386" spans="1:7" ht="23.25" customHeight="1" x14ac:dyDescent="0.25">
      <c r="A386" s="182" t="s">
        <v>18</v>
      </c>
      <c r="B386" s="183">
        <v>45329.727777777778</v>
      </c>
      <c r="C386" s="183">
        <v>45329.765277777777</v>
      </c>
      <c r="D386" s="113">
        <f>IF(punch[[#This Row],[Time Out]]="", "-", punch[[#This Row],[Time Out]]-punch[[#This Row],[Time In]])</f>
        <v>3.7499999998544808E-2</v>
      </c>
      <c r="E386" s="178">
        <f>IF(punch[[#This Row],[Time In]]="", "-", WEEKNUM(punch[[#This Row],[Time In]],15))</f>
        <v>6</v>
      </c>
      <c r="F386" s="114" cm="1">
        <f t="array" ref="F386">getWeekTotalHours(punch[[#This Row],[Artist]], punch[[#This Row],[WeekNum]])</f>
        <v>1.4784722222102573</v>
      </c>
      <c r="G386" s="226" t="s">
        <v>113</v>
      </c>
    </row>
    <row r="387" spans="1:7" ht="23.25" customHeight="1" x14ac:dyDescent="0.25">
      <c r="A387" s="182" t="s">
        <v>18</v>
      </c>
      <c r="B387" s="183">
        <v>45330.324305555558</v>
      </c>
      <c r="C387" s="183">
        <v>45330.532638888886</v>
      </c>
      <c r="D387" s="113">
        <f>IF(punch[[#This Row],[Time Out]]="", "-", punch[[#This Row],[Time Out]]-punch[[#This Row],[Time In]])</f>
        <v>0.20833333332848269</v>
      </c>
      <c r="E387" s="178">
        <f>IF(punch[[#This Row],[Time In]]="", "-", WEEKNUM(punch[[#This Row],[Time In]],15))</f>
        <v>6</v>
      </c>
      <c r="F387" s="114" cm="1">
        <f t="array" ref="F387">getWeekTotalHours(punch[[#This Row],[Artist]], punch[[#This Row],[WeekNum]])</f>
        <v>1.4784722222102573</v>
      </c>
      <c r="G387" s="226" t="s">
        <v>114</v>
      </c>
    </row>
    <row r="388" spans="1:7" ht="23.25" customHeight="1" x14ac:dyDescent="0.25">
      <c r="A388" s="182" t="s">
        <v>12</v>
      </c>
      <c r="B388" s="183">
        <v>45330.456944444442</v>
      </c>
      <c r="C388" s="183">
        <v>45330.630555555559</v>
      </c>
      <c r="D388" s="113">
        <f>IF(punch[[#This Row],[Time Out]]="", "-", punch[[#This Row],[Time Out]]-punch[[#This Row],[Time In]])</f>
        <v>0.17361111111677019</v>
      </c>
      <c r="E388" s="178">
        <f>IF(punch[[#This Row],[Time In]]="", "-", WEEKNUM(punch[[#This Row],[Time In]],15))</f>
        <v>6</v>
      </c>
      <c r="F388" s="114" cm="1">
        <f t="array" ref="F388">getWeekTotalHours(punch[[#This Row],[Artist]], punch[[#This Row],[WeekNum]])</f>
        <v>0.64722222223645076</v>
      </c>
      <c r="G388" s="226" t="s">
        <v>115</v>
      </c>
    </row>
    <row r="389" spans="1:7" ht="23.25" customHeight="1" x14ac:dyDescent="0.25">
      <c r="A389" s="182" t="s">
        <v>18</v>
      </c>
      <c r="B389" s="183">
        <v>45330.750694444447</v>
      </c>
      <c r="C389" s="183">
        <v>45330.819444444445</v>
      </c>
      <c r="D389" s="113">
        <f>IF(punch[[#This Row],[Time Out]]="", "-", punch[[#This Row],[Time Out]]-punch[[#This Row],[Time In]])</f>
        <v>6.8749999998544808E-2</v>
      </c>
      <c r="E389" s="178">
        <f>IF(punch[[#This Row],[Time In]]="", "-", WEEKNUM(punch[[#This Row],[Time In]],15))</f>
        <v>6</v>
      </c>
      <c r="F389" s="114" cm="1">
        <f t="array" ref="F389">getWeekTotalHours(punch[[#This Row],[Artist]], punch[[#This Row],[WeekNum]])</f>
        <v>1.4784722222102573</v>
      </c>
      <c r="G389" s="226" t="s">
        <v>116</v>
      </c>
    </row>
    <row r="390" spans="1:7" ht="23.25" customHeight="1" x14ac:dyDescent="0.25">
      <c r="A390" s="182" t="s">
        <v>18</v>
      </c>
      <c r="B390" s="183">
        <v>45332.370138888888</v>
      </c>
      <c r="C390" s="183">
        <v>45332.478472222225</v>
      </c>
      <c r="D390" s="113">
        <f>IF(punch[[#This Row],[Time Out]]="", "-", punch[[#This Row],[Time Out]]-punch[[#This Row],[Time In]])</f>
        <v>0.10833333333721384</v>
      </c>
      <c r="E390" s="178">
        <f>IF(punch[[#This Row],[Time In]]="", "-", WEEKNUM(punch[[#This Row],[Time In]],15))</f>
        <v>7</v>
      </c>
      <c r="F390" s="114" cm="1">
        <f t="array" ref="F390">getWeekTotalHours(punch[[#This Row],[Artist]], punch[[#This Row],[WeekNum]])</f>
        <v>1.8784722222189885</v>
      </c>
      <c r="G390" s="226" t="s">
        <v>117</v>
      </c>
    </row>
    <row r="391" spans="1:7" ht="23.25" customHeight="1" x14ac:dyDescent="0.25">
      <c r="A391" s="182" t="s">
        <v>18</v>
      </c>
      <c r="B391" s="183">
        <v>45333.354861111111</v>
      </c>
      <c r="C391" s="183">
        <v>45333.488194444442</v>
      </c>
      <c r="D391" s="113">
        <f>IF(punch[[#This Row],[Time Out]]="", "-", punch[[#This Row],[Time Out]]-punch[[#This Row],[Time In]])</f>
        <v>0.13333333333139308</v>
      </c>
      <c r="E391" s="178">
        <f>IF(punch[[#This Row],[Time In]]="", "-", WEEKNUM(punch[[#This Row],[Time In]],15))</f>
        <v>7</v>
      </c>
      <c r="F391" s="114" cm="1">
        <f t="array" ref="F391">getWeekTotalHours(punch[[#This Row],[Artist]], punch[[#This Row],[WeekNum]])</f>
        <v>1.8784722222189885</v>
      </c>
      <c r="G391" s="226" t="s">
        <v>118</v>
      </c>
    </row>
    <row r="392" spans="1:7" ht="23.25" customHeight="1" x14ac:dyDescent="0.25">
      <c r="A392" s="182" t="s">
        <v>18</v>
      </c>
      <c r="B392" s="183">
        <v>45333.564583333333</v>
      </c>
      <c r="C392" s="183">
        <v>45333.709722222222</v>
      </c>
      <c r="D392" s="113">
        <f>IF(punch[[#This Row],[Time Out]]="", "-", punch[[#This Row],[Time Out]]-punch[[#This Row],[Time In]])</f>
        <v>0.14513888888905058</v>
      </c>
      <c r="E392" s="178">
        <f>IF(punch[[#This Row],[Time In]]="", "-", WEEKNUM(punch[[#This Row],[Time In]],15))</f>
        <v>7</v>
      </c>
      <c r="F392" s="114" cm="1">
        <f t="array" ref="F392">getWeekTotalHours(punch[[#This Row],[Artist]], punch[[#This Row],[WeekNum]])</f>
        <v>1.8784722222189885</v>
      </c>
      <c r="G392" s="226" t="s">
        <v>119</v>
      </c>
    </row>
    <row r="393" spans="1:7" ht="23.25" customHeight="1" x14ac:dyDescent="0.25">
      <c r="A393" s="182" t="s">
        <v>18</v>
      </c>
      <c r="B393" s="183">
        <v>45334.316666666666</v>
      </c>
      <c r="C393" s="183">
        <v>45334.400000000001</v>
      </c>
      <c r="D393" s="113">
        <f>IF(punch[[#This Row],[Time Out]]="", "-", punch[[#This Row],[Time Out]]-punch[[#This Row],[Time In]])</f>
        <v>8.3333333335758653E-2</v>
      </c>
      <c r="E393" s="178">
        <f>IF(punch[[#This Row],[Time In]]="", "-", WEEKNUM(punch[[#This Row],[Time In]],15))</f>
        <v>7</v>
      </c>
      <c r="F393" s="114" cm="1">
        <f t="array" ref="F393">getWeekTotalHours(punch[[#This Row],[Artist]], punch[[#This Row],[WeekNum]])</f>
        <v>1.8784722222189885</v>
      </c>
      <c r="G393" s="226" t="s">
        <v>120</v>
      </c>
    </row>
    <row r="394" spans="1:7" ht="23.25" customHeight="1" x14ac:dyDescent="0.25">
      <c r="A394" s="182" t="s">
        <v>18</v>
      </c>
      <c r="B394" s="183">
        <v>45334.456250000003</v>
      </c>
      <c r="C394" s="183">
        <v>45334.75</v>
      </c>
      <c r="D394" s="113">
        <f>IF(punch[[#This Row],[Time Out]]="", "-", punch[[#This Row],[Time Out]]-punch[[#This Row],[Time In]])</f>
        <v>0.29374999999708962</v>
      </c>
      <c r="E394" s="178">
        <f>IF(punch[[#This Row],[Time In]]="", "-", WEEKNUM(punch[[#This Row],[Time In]],15))</f>
        <v>7</v>
      </c>
      <c r="F394" s="114" cm="1">
        <f t="array" ref="F394">getWeekTotalHours(punch[[#This Row],[Artist]], punch[[#This Row],[WeekNum]])</f>
        <v>1.8784722222189885</v>
      </c>
      <c r="G394" s="226" t="s">
        <v>121</v>
      </c>
    </row>
    <row r="395" spans="1:7" ht="23.25" customHeight="1" x14ac:dyDescent="0.25">
      <c r="A395" s="182" t="s">
        <v>12</v>
      </c>
      <c r="B395" s="183">
        <v>45334.458333333336</v>
      </c>
      <c r="C395" s="183">
        <v>45334.526388888888</v>
      </c>
      <c r="D395" s="113">
        <f>IF(punch[[#This Row],[Time Out]]="", "-", punch[[#This Row],[Time Out]]-punch[[#This Row],[Time In]])</f>
        <v>6.8055555551836733E-2</v>
      </c>
      <c r="E395" s="178">
        <f>IF(punch[[#This Row],[Time In]]="", "-", WEEKNUM(punch[[#This Row],[Time In]],15))</f>
        <v>7</v>
      </c>
      <c r="F395" s="114" cm="1">
        <f t="array" ref="F395">getWeekTotalHours(punch[[#This Row],[Artist]], punch[[#This Row],[WeekNum]])</f>
        <v>0.55416666666860692</v>
      </c>
      <c r="G395" s="226" t="s">
        <v>122</v>
      </c>
    </row>
    <row r="396" spans="1:7" ht="23.25" customHeight="1" x14ac:dyDescent="0.25">
      <c r="A396" s="182" t="s">
        <v>16</v>
      </c>
      <c r="B396" s="183">
        <v>45334.5</v>
      </c>
      <c r="C396" s="183">
        <v>45334.708333333336</v>
      </c>
      <c r="D396" s="113">
        <f>IF(punch[[#This Row],[Time Out]]="", "-", punch[[#This Row],[Time Out]]-punch[[#This Row],[Time In]])</f>
        <v>0.20833333333575865</v>
      </c>
      <c r="E396" s="178">
        <f>IF(punch[[#This Row],[Time In]]="", "-", WEEKNUM(punch[[#This Row],[Time In]],15))</f>
        <v>7</v>
      </c>
      <c r="F396" s="114" cm="1">
        <f t="array" ref="F396">getWeekTotalHours(punch[[#This Row],[Artist]], punch[[#This Row],[WeekNum]])</f>
        <v>1.2548611111269565</v>
      </c>
      <c r="G396" s="226" t="s">
        <v>123</v>
      </c>
    </row>
    <row r="397" spans="1:7" ht="23.25" customHeight="1" x14ac:dyDescent="0.25">
      <c r="A397" s="182" t="s">
        <v>16</v>
      </c>
      <c r="B397" s="183">
        <v>45334.736111111109</v>
      </c>
      <c r="C397" s="183">
        <v>45335.034722222219</v>
      </c>
      <c r="D397" s="113">
        <f>IF(punch[[#This Row],[Time Out]]="", "-", punch[[#This Row],[Time Out]]-punch[[#This Row],[Time In]])</f>
        <v>0.29861111110949423</v>
      </c>
      <c r="E397" s="178">
        <f>IF(punch[[#This Row],[Time In]]="", "-", WEEKNUM(punch[[#This Row],[Time In]],15))</f>
        <v>7</v>
      </c>
      <c r="F397" s="114" cm="1">
        <f t="array" ref="F397">getWeekTotalHours(punch[[#This Row],[Artist]], punch[[#This Row],[WeekNum]])</f>
        <v>1.2548611111269565</v>
      </c>
      <c r="G397" s="226" t="s">
        <v>124</v>
      </c>
    </row>
    <row r="398" spans="1:7" ht="23.25" customHeight="1" x14ac:dyDescent="0.25">
      <c r="A398" s="182" t="s">
        <v>18</v>
      </c>
      <c r="B398" s="183">
        <v>45334.783333333333</v>
      </c>
      <c r="C398" s="183">
        <v>45334.863194444442</v>
      </c>
      <c r="D398" s="113">
        <f>IF(punch[[#This Row],[Time Out]]="", "-", punch[[#This Row],[Time Out]]-punch[[#This Row],[Time In]])</f>
        <v>7.9861111109494232E-2</v>
      </c>
      <c r="E398" s="178">
        <f>IF(punch[[#This Row],[Time In]]="", "-", WEEKNUM(punch[[#This Row],[Time In]],15))</f>
        <v>7</v>
      </c>
      <c r="F398" s="114" cm="1">
        <f t="array" ref="F398">getWeekTotalHours(punch[[#This Row],[Artist]], punch[[#This Row],[WeekNum]])</f>
        <v>1.8784722222189885</v>
      </c>
      <c r="G398" s="226" t="s">
        <v>125</v>
      </c>
    </row>
    <row r="399" spans="1:7" ht="23.25" customHeight="1" x14ac:dyDescent="0.25">
      <c r="A399" s="182" t="s">
        <v>18</v>
      </c>
      <c r="B399" s="183">
        <v>45335.341666666667</v>
      </c>
      <c r="C399" s="183">
        <v>45335.695138888892</v>
      </c>
      <c r="D399" s="113">
        <f>IF(punch[[#This Row],[Time Out]]="", "-", punch[[#This Row],[Time Out]]-punch[[#This Row],[Time In]])</f>
        <v>0.35347222222480923</v>
      </c>
      <c r="E399" s="178">
        <f>IF(punch[[#This Row],[Time In]]="", "-", WEEKNUM(punch[[#This Row],[Time In]],15))</f>
        <v>7</v>
      </c>
      <c r="F399" s="114" cm="1">
        <f t="array" ref="F399">getWeekTotalHours(punch[[#This Row],[Artist]], punch[[#This Row],[WeekNum]])</f>
        <v>1.8784722222189885</v>
      </c>
      <c r="G399" s="226" t="s">
        <v>126</v>
      </c>
    </row>
    <row r="400" spans="1:7" ht="23.25" customHeight="1" x14ac:dyDescent="0.25">
      <c r="A400" s="182" t="s">
        <v>16</v>
      </c>
      <c r="B400" s="183">
        <v>45335.423611111109</v>
      </c>
      <c r="C400" s="183">
        <v>45335.719444444447</v>
      </c>
      <c r="D400" s="113">
        <f>IF(punch[[#This Row],[Time Out]]="", "-", punch[[#This Row],[Time Out]]-punch[[#This Row],[Time In]])</f>
        <v>0.29583333333721384</v>
      </c>
      <c r="E400" s="178">
        <f>IF(punch[[#This Row],[Time In]]="", "-", WEEKNUM(punch[[#This Row],[Time In]],15))</f>
        <v>7</v>
      </c>
      <c r="F400" s="114" cm="1">
        <f t="array" ref="F400">getWeekTotalHours(punch[[#This Row],[Artist]], punch[[#This Row],[WeekNum]])</f>
        <v>1.2548611111269565</v>
      </c>
      <c r="G400" s="226" t="s">
        <v>127</v>
      </c>
    </row>
    <row r="401" spans="1:8" ht="23.25" customHeight="1" x14ac:dyDescent="0.25">
      <c r="A401" s="182" t="s">
        <v>14</v>
      </c>
      <c r="B401" s="183">
        <v>45335.543055555558</v>
      </c>
      <c r="C401" s="183">
        <v>45335.699305555558</v>
      </c>
      <c r="D401" s="113">
        <f>IF(punch[[#This Row],[Time Out]]="", "-", punch[[#This Row],[Time Out]]-punch[[#This Row],[Time In]])</f>
        <v>0.15625</v>
      </c>
      <c r="E401" s="178">
        <f>IF(punch[[#This Row],[Time In]]="", "-", WEEKNUM(punch[[#This Row],[Time In]],15))</f>
        <v>7</v>
      </c>
      <c r="F401" s="114" cm="1">
        <f t="array" ref="F401">getWeekTotalHours(punch[[#This Row],[Artist]], punch[[#This Row],[WeekNum]])</f>
        <v>0.32222222222480923</v>
      </c>
      <c r="G401" s="226" t="s">
        <v>128</v>
      </c>
      <c r="H401" s="227" t="s">
        <v>5</v>
      </c>
    </row>
    <row r="402" spans="1:8" ht="23.25" customHeight="1" x14ac:dyDescent="0.25">
      <c r="A402" s="182" t="s">
        <v>18</v>
      </c>
      <c r="B402" s="183">
        <v>45335.710416666669</v>
      </c>
      <c r="C402" s="183">
        <v>45335.755555555559</v>
      </c>
      <c r="D402" s="113">
        <f>IF(punch[[#This Row],[Time Out]]="", "-", punch[[#This Row],[Time Out]]-punch[[#This Row],[Time In]])</f>
        <v>4.5138888890505768E-2</v>
      </c>
      <c r="E402" s="178">
        <f>IF(punch[[#This Row],[Time In]]="", "-", WEEKNUM(punch[[#This Row],[Time In]],15))</f>
        <v>7</v>
      </c>
      <c r="F402" s="114" cm="1">
        <f t="array" ref="F402">getWeekTotalHours(punch[[#This Row],[Artist]], punch[[#This Row],[WeekNum]])</f>
        <v>1.8784722222189885</v>
      </c>
      <c r="G402" s="226" t="s">
        <v>129</v>
      </c>
    </row>
    <row r="403" spans="1:8" ht="23.25" customHeight="1" x14ac:dyDescent="0.25">
      <c r="A403" s="182" t="s">
        <v>16</v>
      </c>
      <c r="B403" s="183">
        <v>45335.970138888886</v>
      </c>
      <c r="C403" s="183">
        <v>45335.999305555553</v>
      </c>
      <c r="D403" s="113">
        <f>IF(punch[[#This Row],[Time Out]]="", "-", punch[[#This Row],[Time Out]]-punch[[#This Row],[Time In]])</f>
        <v>2.9166666667151731E-2</v>
      </c>
      <c r="E403" s="178">
        <f>IF(punch[[#This Row],[Time In]]="", "-", WEEKNUM(punch[[#This Row],[Time In]],15))</f>
        <v>7</v>
      </c>
      <c r="F403" s="114" cm="1">
        <f t="array" ref="F403">getWeekTotalHours(punch[[#This Row],[Artist]], punch[[#This Row],[WeekNum]])</f>
        <v>1.2548611111269565</v>
      </c>
      <c r="G403" s="226" t="s">
        <v>130</v>
      </c>
    </row>
    <row r="404" spans="1:8" ht="23.25" customHeight="1" x14ac:dyDescent="0.25">
      <c r="A404" s="182" t="s">
        <v>18</v>
      </c>
      <c r="B404" s="183">
        <v>45336.338194444441</v>
      </c>
      <c r="C404" s="183">
        <v>45336.503472222219</v>
      </c>
      <c r="D404" s="113">
        <f>IF(punch[[#This Row],[Time Out]]="", "-", punch[[#This Row],[Time Out]]-punch[[#This Row],[Time In]])</f>
        <v>0.16527777777810115</v>
      </c>
      <c r="E404" s="178">
        <f>IF(punch[[#This Row],[Time In]]="", "-", WEEKNUM(punch[[#This Row],[Time In]],15))</f>
        <v>7</v>
      </c>
      <c r="F404" s="114" cm="1">
        <f t="array" ref="F404">getWeekTotalHours(punch[[#This Row],[Artist]], punch[[#This Row],[WeekNum]])</f>
        <v>1.8784722222189885</v>
      </c>
      <c r="G404" s="226" t="s">
        <v>131</v>
      </c>
    </row>
    <row r="405" spans="1:8" ht="23.25" customHeight="1" x14ac:dyDescent="0.25">
      <c r="A405" s="182" t="s">
        <v>12</v>
      </c>
      <c r="B405" s="183">
        <v>45336.352777777778</v>
      </c>
      <c r="C405" s="183">
        <v>45336.509027777778</v>
      </c>
      <c r="D405" s="113">
        <f>IF(punch[[#This Row],[Time Out]]="", "-", punch[[#This Row],[Time Out]]-punch[[#This Row],[Time In]])</f>
        <v>0.15625</v>
      </c>
      <c r="E405" s="178">
        <f>IF(punch[[#This Row],[Time In]]="", "-", WEEKNUM(punch[[#This Row],[Time In]],15))</f>
        <v>7</v>
      </c>
      <c r="F405" s="114" cm="1">
        <f t="array" ref="F405">getWeekTotalHours(punch[[#This Row],[Artist]], punch[[#This Row],[WeekNum]])</f>
        <v>0.55416666666860692</v>
      </c>
      <c r="G405" s="226" t="s">
        <v>132</v>
      </c>
    </row>
    <row r="406" spans="1:8" ht="23.25" customHeight="1" x14ac:dyDescent="0.25">
      <c r="A406" s="182" t="s">
        <v>16</v>
      </c>
      <c r="B406" s="183">
        <v>45336.378472222219</v>
      </c>
      <c r="C406" s="183">
        <v>45336.583333333336</v>
      </c>
      <c r="D406" s="113">
        <f>IF(punch[[#This Row],[Time Out]]="", "-", punch[[#This Row],[Time Out]]-punch[[#This Row],[Time In]])</f>
        <v>0.20486111111677019</v>
      </c>
      <c r="E406" s="178">
        <f>IF(punch[[#This Row],[Time In]]="", "-", WEEKNUM(punch[[#This Row],[Time In]],15))</f>
        <v>7</v>
      </c>
      <c r="F406" s="114" cm="1">
        <f t="array" ref="F406">getWeekTotalHours(punch[[#This Row],[Artist]], punch[[#This Row],[WeekNum]])</f>
        <v>1.2548611111269565</v>
      </c>
      <c r="G406" s="226" t="s">
        <v>133</v>
      </c>
    </row>
    <row r="407" spans="1:8" ht="23.25" customHeight="1" x14ac:dyDescent="0.25">
      <c r="A407" s="182" t="s">
        <v>12</v>
      </c>
      <c r="B407" s="183">
        <v>45336.533333333333</v>
      </c>
      <c r="C407" s="183">
        <v>45336.643750000003</v>
      </c>
      <c r="D407" s="113">
        <f>IF(punch[[#This Row],[Time Out]]="", "-", punch[[#This Row],[Time Out]]-punch[[#This Row],[Time In]])</f>
        <v>0.11041666667006211</v>
      </c>
      <c r="E407" s="178">
        <f>IF(punch[[#This Row],[Time In]]="", "-", WEEKNUM(punch[[#This Row],[Time In]],15))</f>
        <v>7</v>
      </c>
      <c r="F407" s="114" cm="1">
        <f t="array" ref="F407">getWeekTotalHours(punch[[#This Row],[Artist]], punch[[#This Row],[WeekNum]])</f>
        <v>0.55416666666860692</v>
      </c>
      <c r="G407" s="226" t="s">
        <v>134</v>
      </c>
    </row>
    <row r="408" spans="1:8" ht="23.25" customHeight="1" x14ac:dyDescent="0.25">
      <c r="A408" s="182" t="s">
        <v>18</v>
      </c>
      <c r="B408" s="183">
        <v>45336.573611111111</v>
      </c>
      <c r="C408" s="183">
        <v>45336.773611111108</v>
      </c>
      <c r="D408" s="113">
        <f>IF(punch[[#This Row],[Time Out]]="", "-", punch[[#This Row],[Time Out]]-punch[[#This Row],[Time In]])</f>
        <v>0.19999999999708962</v>
      </c>
      <c r="E408" s="178">
        <f>IF(punch[[#This Row],[Time In]]="", "-", WEEKNUM(punch[[#This Row],[Time In]],15))</f>
        <v>7</v>
      </c>
      <c r="F408" s="114" cm="1">
        <f t="array" ref="F408">getWeekTotalHours(punch[[#This Row],[Artist]], punch[[#This Row],[WeekNum]])</f>
        <v>1.8784722222189885</v>
      </c>
      <c r="G408" s="226" t="s">
        <v>135</v>
      </c>
    </row>
    <row r="409" spans="1:8" ht="23.25" customHeight="1" x14ac:dyDescent="0.25">
      <c r="A409" s="182" t="s">
        <v>14</v>
      </c>
      <c r="B409" s="183">
        <v>45336.6</v>
      </c>
      <c r="C409" s="183">
        <v>45336.765972222223</v>
      </c>
      <c r="D409" s="113">
        <f>IF(punch[[#This Row],[Time Out]]="", "-", punch[[#This Row],[Time Out]]-punch[[#This Row],[Time In]])</f>
        <v>0.16597222222480923</v>
      </c>
      <c r="E409" s="178">
        <f>IF(punch[[#This Row],[Time In]]="", "-", WEEKNUM(punch[[#This Row],[Time In]],15))</f>
        <v>7</v>
      </c>
      <c r="F409" s="114" cm="1">
        <f t="array" ref="F409">getWeekTotalHours(punch[[#This Row],[Artist]], punch[[#This Row],[WeekNum]])</f>
        <v>0.32222222222480923</v>
      </c>
      <c r="G409" s="226" t="s">
        <v>136</v>
      </c>
    </row>
    <row r="410" spans="1:8" ht="23.25" customHeight="1" x14ac:dyDescent="0.25">
      <c r="A410" s="182" t="s">
        <v>18</v>
      </c>
      <c r="B410" s="183">
        <v>45337.355555555558</v>
      </c>
      <c r="C410" s="183">
        <v>45337.5</v>
      </c>
      <c r="D410" s="113">
        <f>IF(punch[[#This Row],[Time Out]]="", "-", punch[[#This Row],[Time Out]]-punch[[#This Row],[Time In]])</f>
        <v>0.1444444444423425</v>
      </c>
      <c r="E410" s="178">
        <f>IF(punch[[#This Row],[Time In]]="", "-", WEEKNUM(punch[[#This Row],[Time In]],15))</f>
        <v>7</v>
      </c>
      <c r="F410" s="114" cm="1">
        <f t="array" ref="F410">getWeekTotalHours(punch[[#This Row],[Artist]], punch[[#This Row],[WeekNum]])</f>
        <v>1.8784722222189885</v>
      </c>
      <c r="G410" s="226" t="s">
        <v>137</v>
      </c>
    </row>
    <row r="411" spans="1:8" ht="23.25" customHeight="1" x14ac:dyDescent="0.25">
      <c r="A411" s="182" t="s">
        <v>18</v>
      </c>
      <c r="B411" s="183">
        <v>45337.552083333336</v>
      </c>
      <c r="C411" s="183">
        <v>45337.678472222222</v>
      </c>
      <c r="D411" s="113">
        <f>IF(punch[[#This Row],[Time Out]]="", "-", punch[[#This Row],[Time Out]]-punch[[#This Row],[Time In]])</f>
        <v>0.12638888888614019</v>
      </c>
      <c r="E411" s="178">
        <f>IF(punch[[#This Row],[Time In]]="", "-", WEEKNUM(punch[[#This Row],[Time In]],15))</f>
        <v>7</v>
      </c>
      <c r="F411" s="114" cm="1">
        <f t="array" ref="F411">getWeekTotalHours(punch[[#This Row],[Artist]], punch[[#This Row],[WeekNum]])</f>
        <v>1.8784722222189885</v>
      </c>
      <c r="G411" s="226" t="s">
        <v>138</v>
      </c>
    </row>
    <row r="412" spans="1:8" ht="23.25" customHeight="1" x14ac:dyDescent="0.25">
      <c r="A412" s="182" t="s">
        <v>12</v>
      </c>
      <c r="B412" s="183">
        <v>45337.552777777775</v>
      </c>
      <c r="C412" s="183">
        <v>45337.772222222222</v>
      </c>
      <c r="D412" s="113">
        <f>IF(punch[[#This Row],[Time Out]]="", "-", punch[[#This Row],[Time Out]]-punch[[#This Row],[Time In]])</f>
        <v>0.21944444444670808</v>
      </c>
      <c r="E412" s="178">
        <f>IF(punch[[#This Row],[Time In]]="", "-", WEEKNUM(punch[[#This Row],[Time In]],15))</f>
        <v>7</v>
      </c>
      <c r="F412" s="114" cm="1">
        <f t="array" ref="F412">getWeekTotalHours(punch[[#This Row],[Artist]], punch[[#This Row],[WeekNum]])</f>
        <v>0.55416666666860692</v>
      </c>
      <c r="G412" s="226" t="s">
        <v>139</v>
      </c>
    </row>
    <row r="413" spans="1:8" ht="23.25" customHeight="1" x14ac:dyDescent="0.25">
      <c r="A413" s="182" t="s">
        <v>16</v>
      </c>
      <c r="B413" s="183">
        <v>45337.613194444442</v>
      </c>
      <c r="C413" s="183">
        <v>45337.831250000003</v>
      </c>
      <c r="D413" s="113">
        <f>IF(punch[[#This Row],[Time Out]]="", "-", punch[[#This Row],[Time Out]]-punch[[#This Row],[Time In]])</f>
        <v>0.21805555556056788</v>
      </c>
      <c r="E413" s="178">
        <f>IF(punch[[#This Row],[Time In]]="", "-", WEEKNUM(punch[[#This Row],[Time In]],15))</f>
        <v>7</v>
      </c>
      <c r="F413" s="114" cm="1">
        <f t="array" ref="F413">getWeekTotalHours(punch[[#This Row],[Artist]], punch[[#This Row],[WeekNum]])</f>
        <v>1.2548611111269565</v>
      </c>
      <c r="G413" s="226" t="s">
        <v>140</v>
      </c>
    </row>
    <row r="414" spans="1:8" ht="23.25" customHeight="1" x14ac:dyDescent="0.25">
      <c r="A414" s="182" t="s">
        <v>20</v>
      </c>
      <c r="B414" s="183">
        <v>45337.791666666664</v>
      </c>
      <c r="C414" s="183">
        <v>45337.916666666664</v>
      </c>
      <c r="D414" s="113">
        <f>IF(punch[[#This Row],[Time Out]]="", "-", punch[[#This Row],[Time Out]]-punch[[#This Row],[Time In]])</f>
        <v>0.125</v>
      </c>
      <c r="E414" s="178">
        <f>IF(punch[[#This Row],[Time In]]="", "-", WEEKNUM(punch[[#This Row],[Time In]],15))</f>
        <v>7</v>
      </c>
      <c r="F414" s="114" cm="1">
        <f t="array" ref="F414">getWeekTotalHours(punch[[#This Row],[Artist]], punch[[#This Row],[WeekNum]])</f>
        <v>0.58333333333575865</v>
      </c>
      <c r="G414" s="226" t="s">
        <v>141</v>
      </c>
    </row>
    <row r="415" spans="1:8" ht="23.25" customHeight="1" x14ac:dyDescent="0.25">
      <c r="A415" s="182" t="s">
        <v>20</v>
      </c>
      <c r="B415" s="183">
        <v>45334.395833333336</v>
      </c>
      <c r="C415" s="183">
        <v>45334.5</v>
      </c>
      <c r="D415" s="113">
        <f>IF(punch[[#This Row],[Time Out]]="", "-", punch[[#This Row],[Time Out]]-punch[[#This Row],[Time In]])</f>
        <v>0.10416666666424135</v>
      </c>
      <c r="E415" s="178">
        <f>IF(punch[[#This Row],[Time In]]="", "-", WEEKNUM(punch[[#This Row],[Time In]],15))</f>
        <v>7</v>
      </c>
      <c r="F415" s="114" cm="1">
        <f t="array" ref="F415">getWeekTotalHours(punch[[#This Row],[Artist]], punch[[#This Row],[WeekNum]])</f>
        <v>0.58333333333575865</v>
      </c>
      <c r="G415" s="226" t="s">
        <v>142</v>
      </c>
    </row>
    <row r="416" spans="1:8" ht="23.25" customHeight="1" x14ac:dyDescent="0.25">
      <c r="A416" s="182" t="s">
        <v>20</v>
      </c>
      <c r="B416" s="183">
        <v>45334.604166666664</v>
      </c>
      <c r="C416" s="183">
        <v>45334.729166666664</v>
      </c>
      <c r="D416" s="113">
        <f>IF(punch[[#This Row],[Time Out]]="", "-", punch[[#This Row],[Time Out]]-punch[[#This Row],[Time In]])</f>
        <v>0.125</v>
      </c>
      <c r="E416" s="178">
        <f>IF(punch[[#This Row],[Time In]]="", "-", WEEKNUM(punch[[#This Row],[Time In]],15))</f>
        <v>7</v>
      </c>
      <c r="F416" s="114" cm="1">
        <f t="array" ref="F416">getWeekTotalHours(punch[[#This Row],[Artist]], punch[[#This Row],[WeekNum]])</f>
        <v>0.58333333333575865</v>
      </c>
      <c r="G416" s="226" t="s">
        <v>143</v>
      </c>
    </row>
    <row r="417" spans="1:9" ht="23.25" customHeight="1" x14ac:dyDescent="0.25">
      <c r="A417" s="182" t="s">
        <v>20</v>
      </c>
      <c r="B417" s="183">
        <v>45335.416666666664</v>
      </c>
      <c r="C417" s="183">
        <v>45335.5</v>
      </c>
      <c r="D417" s="113">
        <f>IF(punch[[#This Row],[Time Out]]="", "-", punch[[#This Row],[Time Out]]-punch[[#This Row],[Time In]])</f>
        <v>8.3333333335758653E-2</v>
      </c>
      <c r="E417" s="178">
        <f>IF(punch[[#This Row],[Time In]]="", "-", WEEKNUM(punch[[#This Row],[Time In]],15))</f>
        <v>7</v>
      </c>
      <c r="F417" s="114" cm="1">
        <f t="array" ref="F417">getWeekTotalHours(punch[[#This Row],[Artist]], punch[[#This Row],[WeekNum]])</f>
        <v>0.58333333333575865</v>
      </c>
      <c r="G417" s="226" t="s">
        <v>141</v>
      </c>
    </row>
    <row r="418" spans="1:9" ht="23.25" customHeight="1" x14ac:dyDescent="0.25">
      <c r="A418" s="182" t="s">
        <v>20</v>
      </c>
      <c r="B418" s="183">
        <v>45337.5</v>
      </c>
      <c r="C418" s="183">
        <v>45337.541666666664</v>
      </c>
      <c r="D418" s="113">
        <f>IF(punch[[#This Row],[Time Out]]="", "-", punch[[#This Row],[Time Out]]-punch[[#This Row],[Time In]])</f>
        <v>4.1666666664241347E-2</v>
      </c>
      <c r="E418" s="178">
        <f>IF(punch[[#This Row],[Time In]]="", "-", WEEKNUM(punch[[#This Row],[Time In]],15))</f>
        <v>7</v>
      </c>
      <c r="F418" s="114" cm="1">
        <f t="array" ref="F418">getWeekTotalHours(punch[[#This Row],[Artist]], punch[[#This Row],[WeekNum]])</f>
        <v>0.58333333333575865</v>
      </c>
      <c r="G418" s="226" t="s">
        <v>144</v>
      </c>
    </row>
    <row r="419" spans="1:9" ht="23.25" customHeight="1" x14ac:dyDescent="0.25">
      <c r="A419" s="182" t="s">
        <v>20</v>
      </c>
      <c r="B419" s="183">
        <v>45333.541666666664</v>
      </c>
      <c r="C419" s="183">
        <v>45333.645833333336</v>
      </c>
      <c r="D419" s="113">
        <f>IF(punch[[#This Row],[Time Out]]="", "-", punch[[#This Row],[Time Out]]-punch[[#This Row],[Time In]])</f>
        <v>0.10416666667151731</v>
      </c>
      <c r="E419" s="178">
        <f>IF(punch[[#This Row],[Time In]]="", "-", WEEKNUM(punch[[#This Row],[Time In]],15))</f>
        <v>7</v>
      </c>
      <c r="F419" s="114" cm="1">
        <f t="array" ref="F419">getWeekTotalHours(punch[[#This Row],[Artist]], punch[[#This Row],[WeekNum]])</f>
        <v>0.58333333333575865</v>
      </c>
      <c r="G419" s="226" t="s">
        <v>145</v>
      </c>
    </row>
    <row r="420" spans="1:9" ht="23.25" customHeight="1" x14ac:dyDescent="0.25">
      <c r="A420" s="182" t="s">
        <v>16</v>
      </c>
      <c r="B420" s="183">
        <v>45338.597222222219</v>
      </c>
      <c r="C420" s="183">
        <v>45338.763888888891</v>
      </c>
      <c r="D420" s="113">
        <f>IF(punch[[#This Row],[Time Out]]="", "-", punch[[#This Row],[Time Out]]-punch[[#This Row],[Time In]])</f>
        <v>0.16666666667151731</v>
      </c>
      <c r="E420" s="178">
        <f>IF(punch[[#This Row],[Time In]]="", "-", WEEKNUM(punch[[#This Row],[Time In]],15))</f>
        <v>8</v>
      </c>
      <c r="F420" s="114" cm="1">
        <f t="array" ref="F420">getWeekTotalHours(punch[[#This Row],[Artist]], punch[[#This Row],[WeekNum]])</f>
        <v>2.2916666666715173</v>
      </c>
      <c r="G420" s="226" t="s">
        <v>146</v>
      </c>
    </row>
    <row r="421" spans="1:9" ht="23.25" customHeight="1" x14ac:dyDescent="0.25">
      <c r="A421" s="182" t="s">
        <v>18</v>
      </c>
      <c r="B421" s="183">
        <v>45340.34652777778</v>
      </c>
      <c r="C421" s="183">
        <v>45340.500694444447</v>
      </c>
      <c r="D421" s="113">
        <f>IF(punch[[#This Row],[Time Out]]="", "-", punch[[#This Row],[Time Out]]-punch[[#This Row],[Time In]])</f>
        <v>0.15416666666715173</v>
      </c>
      <c r="E421" s="178">
        <f>IF(punch[[#This Row],[Time In]]="", "-", WEEKNUM(punch[[#This Row],[Time In]],15))</f>
        <v>8</v>
      </c>
      <c r="F421" s="114" cm="1">
        <f t="array" ref="F421">getWeekTotalHours(punch[[#This Row],[Artist]], punch[[#This Row],[WeekNum]])</f>
        <v>1.65625</v>
      </c>
      <c r="G421" s="226" t="s">
        <v>147</v>
      </c>
    </row>
    <row r="422" spans="1:9" ht="23.25" customHeight="1" x14ac:dyDescent="0.25">
      <c r="A422" s="182" t="s">
        <v>12</v>
      </c>
      <c r="B422" s="183">
        <v>45340.45208333333</v>
      </c>
      <c r="C422" s="183">
        <v>45340.543749999997</v>
      </c>
      <c r="D422" s="113">
        <f>IF(punch[[#This Row],[Time Out]]="", "-", punch[[#This Row],[Time Out]]-punch[[#This Row],[Time In]])</f>
        <v>9.1666666667151731E-2</v>
      </c>
      <c r="E422" s="178">
        <f>IF(punch[[#This Row],[Time In]]="", "-", WEEKNUM(punch[[#This Row],[Time In]],15))</f>
        <v>8</v>
      </c>
      <c r="F422" s="114" cm="1">
        <f t="array" ref="F422">getWeekTotalHours(punch[[#This Row],[Artist]], punch[[#This Row],[WeekNum]])</f>
        <v>0.53333333333284827</v>
      </c>
      <c r="G422" s="226" t="s">
        <v>148</v>
      </c>
    </row>
    <row r="423" spans="1:9" ht="23.25" customHeight="1" x14ac:dyDescent="0.25">
      <c r="A423" s="182" t="s">
        <v>18</v>
      </c>
      <c r="B423" s="183">
        <v>45340.59375</v>
      </c>
      <c r="C423" s="183">
        <v>45340.669444444444</v>
      </c>
      <c r="D423" s="113">
        <f>IF(punch[[#This Row],[Time Out]]="", "-", punch[[#This Row],[Time Out]]-punch[[#This Row],[Time In]])</f>
        <v>7.5694444443797693E-2</v>
      </c>
      <c r="E423" s="178">
        <f>IF(punch[[#This Row],[Time In]]="", "-", WEEKNUM(punch[[#This Row],[Time In]],15))</f>
        <v>8</v>
      </c>
      <c r="F423" s="114" cm="1">
        <f t="array" ref="F423">getWeekTotalHours(punch[[#This Row],[Artist]], punch[[#This Row],[WeekNum]])</f>
        <v>1.65625</v>
      </c>
      <c r="G423" s="226" t="s">
        <v>149</v>
      </c>
    </row>
    <row r="424" spans="1:9" ht="23.25" customHeight="1" x14ac:dyDescent="0.25">
      <c r="A424" s="182" t="s">
        <v>16</v>
      </c>
      <c r="B424" s="183">
        <v>45340.675694444442</v>
      </c>
      <c r="C424" s="183">
        <v>45340.942361111112</v>
      </c>
      <c r="D424" s="113">
        <f>IF(punch[[#This Row],[Time Out]]="", "-", punch[[#This Row],[Time Out]]-punch[[#This Row],[Time In]])</f>
        <v>0.26666666667006211</v>
      </c>
      <c r="E424" s="178">
        <f>IF(punch[[#This Row],[Time In]]="", "-", WEEKNUM(punch[[#This Row],[Time In]],15))</f>
        <v>8</v>
      </c>
      <c r="F424" s="114" cm="1">
        <f t="array" ref="F424">getWeekTotalHours(punch[[#This Row],[Artist]], punch[[#This Row],[WeekNum]])</f>
        <v>2.2916666666715173</v>
      </c>
      <c r="G424" s="226" t="s">
        <v>150</v>
      </c>
    </row>
    <row r="425" spans="1:9" ht="23.25" customHeight="1" x14ac:dyDescent="0.25">
      <c r="A425" s="182" t="s">
        <v>18</v>
      </c>
      <c r="B425" s="183">
        <v>45341.365972222222</v>
      </c>
      <c r="C425" s="183">
        <v>45341.699305555558</v>
      </c>
      <c r="D425" s="113">
        <f>IF(punch[[#This Row],[Time Out]]="", "-", punch[[#This Row],[Time Out]]-punch[[#This Row],[Time In]])</f>
        <v>0.33333333333575865</v>
      </c>
      <c r="E425" s="178">
        <f>IF(punch[[#This Row],[Time In]]="", "-", WEEKNUM(punch[[#This Row],[Time In]],15))</f>
        <v>8</v>
      </c>
      <c r="F425" s="114" cm="1">
        <f t="array" ref="F425">getWeekTotalHours(punch[[#This Row],[Artist]], punch[[#This Row],[WeekNum]])</f>
        <v>1.65625</v>
      </c>
      <c r="G425" s="226" t="s">
        <v>151</v>
      </c>
    </row>
    <row r="426" spans="1:9" ht="23.25" customHeight="1" x14ac:dyDescent="0.25">
      <c r="A426" s="182" t="s">
        <v>16</v>
      </c>
      <c r="B426" s="183">
        <v>45341.423611111109</v>
      </c>
      <c r="C426" s="183">
        <v>45341.690972222219</v>
      </c>
      <c r="D426" s="113">
        <f>IF(punch[[#This Row],[Time Out]]="", "-", punch[[#This Row],[Time Out]]-punch[[#This Row],[Time In]])</f>
        <v>0.26736111110949423</v>
      </c>
      <c r="E426" s="178">
        <f>IF(punch[[#This Row],[Time In]]="", "-", WEEKNUM(punch[[#This Row],[Time In]],15))</f>
        <v>8</v>
      </c>
      <c r="F426" s="114" cm="1">
        <f t="array" ref="F426">getWeekTotalHours(punch[[#This Row],[Artist]], punch[[#This Row],[WeekNum]])</f>
        <v>2.2916666666715173</v>
      </c>
      <c r="G426" s="226" t="s">
        <v>152</v>
      </c>
    </row>
    <row r="427" spans="1:9" ht="23.25" customHeight="1" x14ac:dyDescent="0.25">
      <c r="A427" s="182" t="s">
        <v>20</v>
      </c>
      <c r="B427" s="183">
        <v>45340.708333333336</v>
      </c>
      <c r="C427" s="183">
        <v>45340.791666666664</v>
      </c>
      <c r="D427" s="113">
        <f>IF(punch[[#This Row],[Time Out]]="", "-", punch[[#This Row],[Time Out]]-punch[[#This Row],[Time In]])</f>
        <v>8.3333333328482695E-2</v>
      </c>
      <c r="E427" s="178">
        <f>IF(punch[[#This Row],[Time In]]="", "-", WEEKNUM(punch[[#This Row],[Time In]],15))</f>
        <v>8</v>
      </c>
      <c r="F427" s="114" cm="1">
        <f t="array" ref="F427">getWeekTotalHours(punch[[#This Row],[Artist]], punch[[#This Row],[WeekNum]])</f>
        <v>0.71527777776645962</v>
      </c>
      <c r="G427" s="226" t="s">
        <v>153</v>
      </c>
    </row>
    <row r="428" spans="1:9" ht="23.25" customHeight="1" x14ac:dyDescent="0.25">
      <c r="A428" s="182" t="s">
        <v>20</v>
      </c>
      <c r="B428" s="183">
        <v>45340.833333333336</v>
      </c>
      <c r="C428" s="183">
        <v>45340.916666666664</v>
      </c>
      <c r="D428" s="113">
        <f>IF(punch[[#This Row],[Time Out]]="", "-", punch[[#This Row],[Time Out]]-punch[[#This Row],[Time In]])</f>
        <v>8.3333333328482695E-2</v>
      </c>
      <c r="E428" s="178">
        <f>IF(punch[[#This Row],[Time In]]="", "-", WEEKNUM(punch[[#This Row],[Time In]],15))</f>
        <v>8</v>
      </c>
      <c r="F428" s="114" cm="1">
        <f t="array" ref="F428">getWeekTotalHours(punch[[#This Row],[Artist]], punch[[#This Row],[WeekNum]])</f>
        <v>0.71527777776645962</v>
      </c>
      <c r="G428" s="226" t="s">
        <v>154</v>
      </c>
    </row>
    <row r="429" spans="1:9" ht="23.25" customHeight="1" x14ac:dyDescent="0.25">
      <c r="A429" s="182" t="s">
        <v>20</v>
      </c>
      <c r="B429" s="183">
        <v>45341.583333333336</v>
      </c>
      <c r="C429" s="183">
        <v>45341.666666666664</v>
      </c>
      <c r="D429" s="113">
        <f>IF(punch[[#This Row],[Time Out]]="", "-", punch[[#This Row],[Time Out]]-punch[[#This Row],[Time In]])</f>
        <v>8.3333333328482695E-2</v>
      </c>
      <c r="E429" s="178">
        <f>IF(punch[[#This Row],[Time In]]="", "-", WEEKNUM(punch[[#This Row],[Time In]],15))</f>
        <v>8</v>
      </c>
      <c r="F429" s="114" cm="1">
        <f t="array" ref="F429">getWeekTotalHours(punch[[#This Row],[Artist]], punch[[#This Row],[WeekNum]])</f>
        <v>0.71527777776645962</v>
      </c>
      <c r="G429" s="226" t="s">
        <v>154</v>
      </c>
    </row>
    <row r="430" spans="1:9" ht="23.25" customHeight="1" x14ac:dyDescent="0.25">
      <c r="A430" s="182" t="s">
        <v>18</v>
      </c>
      <c r="B430" s="183">
        <v>45341.716666666667</v>
      </c>
      <c r="C430" s="183">
        <v>45341.746527777781</v>
      </c>
      <c r="D430" s="113">
        <f>IF(punch[[#This Row],[Time Out]]="", "-", punch[[#This Row],[Time Out]]-punch[[#This Row],[Time In]])</f>
        <v>2.9861111113859806E-2</v>
      </c>
      <c r="E430" s="178">
        <f>IF(punch[[#This Row],[Time In]]="", "-", WEEKNUM(punch[[#This Row],[Time In]],15))</f>
        <v>8</v>
      </c>
      <c r="F430" s="114" cm="1">
        <f t="array" ref="F430">getWeekTotalHours(punch[[#This Row],[Artist]], punch[[#This Row],[WeekNum]])</f>
        <v>1.65625</v>
      </c>
      <c r="G430" s="226" t="s">
        <v>155</v>
      </c>
    </row>
    <row r="431" spans="1:9" ht="23.25" customHeight="1" x14ac:dyDescent="0.25">
      <c r="A431" s="182" t="s">
        <v>16</v>
      </c>
      <c r="B431" s="183">
        <v>45341.727777777778</v>
      </c>
      <c r="C431" s="183">
        <v>45341.929861111108</v>
      </c>
      <c r="D431" s="113">
        <f>IF(punch[[#This Row],[Time Out]]="", "-", punch[[#This Row],[Time Out]]-punch[[#This Row],[Time In]])</f>
        <v>0.20208333332993789</v>
      </c>
      <c r="E431" s="178">
        <f>IF(punch[[#This Row],[Time In]]="", "-", WEEKNUM(punch[[#This Row],[Time In]],15))</f>
        <v>8</v>
      </c>
      <c r="F431" s="114" cm="1">
        <f t="array" ref="F431">getWeekTotalHours(punch[[#This Row],[Artist]], punch[[#This Row],[WeekNum]])</f>
        <v>2.2916666666715173</v>
      </c>
      <c r="G431" s="226" t="s">
        <v>156</v>
      </c>
      <c r="I431" s="76" t="s">
        <v>5</v>
      </c>
    </row>
    <row r="432" spans="1:9" ht="23.25" customHeight="1" x14ac:dyDescent="0.25">
      <c r="A432" s="182" t="s">
        <v>18</v>
      </c>
      <c r="B432" s="183">
        <v>45342.402083333334</v>
      </c>
      <c r="C432" s="183">
        <v>45342.5</v>
      </c>
      <c r="D432" s="113">
        <f>IF(punch[[#This Row],[Time Out]]="", "-", punch[[#This Row],[Time Out]]-punch[[#This Row],[Time In]])</f>
        <v>9.7916666665696539E-2</v>
      </c>
      <c r="E432" s="178">
        <f>IF(punch[[#This Row],[Time In]]="", "-", WEEKNUM(punch[[#This Row],[Time In]],15))</f>
        <v>8</v>
      </c>
      <c r="F432" s="114" cm="1">
        <f t="array" ref="F432">getWeekTotalHours(punch[[#This Row],[Artist]], punch[[#This Row],[WeekNum]])</f>
        <v>1.65625</v>
      </c>
      <c r="G432" s="226" t="s">
        <v>157</v>
      </c>
    </row>
    <row r="433" spans="1:7" ht="23.25" customHeight="1" x14ac:dyDescent="0.25">
      <c r="A433" s="182" t="s">
        <v>16</v>
      </c>
      <c r="B433" s="183">
        <v>45342.46875</v>
      </c>
      <c r="C433" s="183">
        <v>45342.825694444444</v>
      </c>
      <c r="D433" s="113">
        <f>IF(punch[[#This Row],[Time Out]]="", "-", punch[[#This Row],[Time Out]]-punch[[#This Row],[Time In]])</f>
        <v>0.35694444444379769</v>
      </c>
      <c r="E433" s="178">
        <f>IF(punch[[#This Row],[Time In]]="", "-", WEEKNUM(punch[[#This Row],[Time In]],15))</f>
        <v>8</v>
      </c>
      <c r="F433" s="114" cm="1">
        <f t="array" ref="F433">getWeekTotalHours(punch[[#This Row],[Artist]], punch[[#This Row],[WeekNum]])</f>
        <v>2.2916666666715173</v>
      </c>
      <c r="G433" s="226" t="s">
        <v>158</v>
      </c>
    </row>
    <row r="434" spans="1:7" ht="23.25" customHeight="1" x14ac:dyDescent="0.25">
      <c r="A434" s="182" t="s">
        <v>18</v>
      </c>
      <c r="B434" s="183">
        <v>45342.530555555553</v>
      </c>
      <c r="C434" s="183">
        <v>45342.672222222223</v>
      </c>
      <c r="D434" s="113">
        <f>IF(punch[[#This Row],[Time Out]]="", "-", punch[[#This Row],[Time Out]]-punch[[#This Row],[Time In]])</f>
        <v>0.14166666667006211</v>
      </c>
      <c r="E434" s="178">
        <f>IF(punch[[#This Row],[Time In]]="", "-", WEEKNUM(punch[[#This Row],[Time In]],15))</f>
        <v>8</v>
      </c>
      <c r="F434" s="114" cm="1">
        <f t="array" ref="F434">getWeekTotalHours(punch[[#This Row],[Artist]], punch[[#This Row],[WeekNum]])</f>
        <v>1.65625</v>
      </c>
      <c r="G434" s="226" t="s">
        <v>159</v>
      </c>
    </row>
    <row r="435" spans="1:7" ht="23.25" customHeight="1" x14ac:dyDescent="0.25">
      <c r="A435" s="182" t="s">
        <v>14</v>
      </c>
      <c r="B435" s="183">
        <v>45341.791666666664</v>
      </c>
      <c r="C435" s="183">
        <v>45341.875</v>
      </c>
      <c r="D435" s="113">
        <f>IF(punch[[#This Row],[Time Out]]="", "-", punch[[#This Row],[Time Out]]-punch[[#This Row],[Time In]])</f>
        <v>8.3333333335758653E-2</v>
      </c>
      <c r="E435" s="178">
        <f>IF(punch[[#This Row],[Time In]]="", "-", WEEKNUM(punch[[#This Row],[Time In]],15))</f>
        <v>8</v>
      </c>
      <c r="F435" s="114" cm="1">
        <f t="array" ref="F435">getWeekTotalHours(punch[[#This Row],[Artist]], punch[[#This Row],[WeekNum]])</f>
        <v>0.51319444445107365</v>
      </c>
      <c r="G435" s="226" t="s">
        <v>160</v>
      </c>
    </row>
    <row r="436" spans="1:7" ht="23.25" customHeight="1" x14ac:dyDescent="0.25">
      <c r="A436" s="182" t="s">
        <v>14</v>
      </c>
      <c r="B436" s="183">
        <v>45342.479166666664</v>
      </c>
      <c r="C436" s="183">
        <v>45342.90902777778</v>
      </c>
      <c r="D436" s="113">
        <f>IF(punch[[#This Row],[Time Out]]="", "-", punch[[#This Row],[Time Out]]-punch[[#This Row],[Time In]])</f>
        <v>0.429861111115315</v>
      </c>
      <c r="E436" s="178">
        <f>IF(punch[[#This Row],[Time In]]="", "-", WEEKNUM(punch[[#This Row],[Time In]],15))</f>
        <v>8</v>
      </c>
      <c r="F436" s="114" cm="1">
        <f t="array" ref="F436">getWeekTotalHours(punch[[#This Row],[Artist]], punch[[#This Row],[WeekNum]])</f>
        <v>0.51319444445107365</v>
      </c>
      <c r="G436" s="226" t="s">
        <v>160</v>
      </c>
    </row>
    <row r="437" spans="1:7" ht="23.25" customHeight="1" x14ac:dyDescent="0.25">
      <c r="A437" s="182" t="s">
        <v>12</v>
      </c>
      <c r="B437" s="183">
        <v>45342.416666666664</v>
      </c>
      <c r="C437" s="183">
        <v>45342.571527777778</v>
      </c>
      <c r="D437" s="113">
        <f>IF(punch[[#This Row],[Time Out]]="", "-", punch[[#This Row],[Time Out]]-punch[[#This Row],[Time In]])</f>
        <v>0.15486111111385981</v>
      </c>
      <c r="E437" s="178">
        <f>IF(punch[[#This Row],[Time In]]="", "-", WEEKNUM(punch[[#This Row],[Time In]],15))</f>
        <v>8</v>
      </c>
      <c r="F437" s="114" cm="1">
        <f t="array" ref="F437">getWeekTotalHours(punch[[#This Row],[Artist]], punch[[#This Row],[WeekNum]])</f>
        <v>0.53333333333284827</v>
      </c>
      <c r="G437" s="226" t="s">
        <v>161</v>
      </c>
    </row>
    <row r="438" spans="1:7" ht="23.25" customHeight="1" x14ac:dyDescent="0.25">
      <c r="A438" s="182" t="s">
        <v>18</v>
      </c>
      <c r="B438" s="183">
        <v>45343.352083333331</v>
      </c>
      <c r="C438" s="183">
        <v>45343.479166666664</v>
      </c>
      <c r="D438" s="113">
        <f>IF(punch[[#This Row],[Time Out]]="", "-", punch[[#This Row],[Time Out]]-punch[[#This Row],[Time In]])</f>
        <v>0.12708333333284827</v>
      </c>
      <c r="E438" s="178">
        <f>IF(punch[[#This Row],[Time In]]="", "-", WEEKNUM(punch[[#This Row],[Time In]],15))</f>
        <v>8</v>
      </c>
      <c r="F438" s="114" cm="1">
        <f t="array" ref="F438">getWeekTotalHours(punch[[#This Row],[Artist]], punch[[#This Row],[WeekNum]])</f>
        <v>1.65625</v>
      </c>
      <c r="G438" s="226" t="s">
        <v>162</v>
      </c>
    </row>
    <row r="439" spans="1:7" ht="23.25" customHeight="1" x14ac:dyDescent="0.25">
      <c r="A439" s="182" t="s">
        <v>12</v>
      </c>
      <c r="B439" s="183">
        <v>45343.397222222222</v>
      </c>
      <c r="C439" s="183">
        <v>45343.586805555555</v>
      </c>
      <c r="D439" s="113">
        <f>IF(punch[[#This Row],[Time Out]]="", "-", punch[[#This Row],[Time Out]]-punch[[#This Row],[Time In]])</f>
        <v>0.18958333333284827</v>
      </c>
      <c r="E439" s="178">
        <f>IF(punch[[#This Row],[Time In]]="", "-", WEEKNUM(punch[[#This Row],[Time In]],15))</f>
        <v>8</v>
      </c>
      <c r="F439" s="114" cm="1">
        <f t="array" ref="F439">getWeekTotalHours(punch[[#This Row],[Artist]], punch[[#This Row],[WeekNum]])</f>
        <v>0.53333333333284827</v>
      </c>
      <c r="G439" s="226" t="s">
        <v>163</v>
      </c>
    </row>
    <row r="440" spans="1:7" ht="23.25" customHeight="1" x14ac:dyDescent="0.25">
      <c r="A440" s="182" t="s">
        <v>16</v>
      </c>
      <c r="B440" s="183">
        <v>45343.416666666664</v>
      </c>
      <c r="C440" s="183">
        <v>45344.011111111111</v>
      </c>
      <c r="D440" s="113">
        <f>IF(punch[[#This Row],[Time Out]]="", "-", punch[[#This Row],[Time Out]]-punch[[#This Row],[Time In]])</f>
        <v>0.59444444444670808</v>
      </c>
      <c r="E440" s="178">
        <f>IF(punch[[#This Row],[Time In]]="", "-", WEEKNUM(punch[[#This Row],[Time In]],15))</f>
        <v>8</v>
      </c>
      <c r="F440" s="114" cm="1">
        <f t="array" ref="F440">getWeekTotalHours(punch[[#This Row],[Artist]], punch[[#This Row],[WeekNum]])</f>
        <v>2.2916666666715173</v>
      </c>
      <c r="G440" s="226"/>
    </row>
    <row r="441" spans="1:7" ht="23.25" customHeight="1" x14ac:dyDescent="0.25">
      <c r="A441" s="182" t="s">
        <v>18</v>
      </c>
      <c r="B441" s="183">
        <v>45343.530555555553</v>
      </c>
      <c r="C441" s="183">
        <v>45343.708333333336</v>
      </c>
      <c r="D441" s="113">
        <f>IF(punch[[#This Row],[Time Out]]="", "-", punch[[#This Row],[Time Out]]-punch[[#This Row],[Time In]])</f>
        <v>0.17777777778246673</v>
      </c>
      <c r="E441" s="178">
        <f>IF(punch[[#This Row],[Time In]]="", "-", WEEKNUM(punch[[#This Row],[Time In]],15))</f>
        <v>8</v>
      </c>
      <c r="F441" s="114" cm="1">
        <f t="array" ref="F441">getWeekTotalHours(punch[[#This Row],[Artist]], punch[[#This Row],[WeekNum]])</f>
        <v>1.65625</v>
      </c>
      <c r="G441" s="226" t="s">
        <v>164</v>
      </c>
    </row>
    <row r="442" spans="1:7" ht="23.25" customHeight="1" x14ac:dyDescent="0.25">
      <c r="A442" s="182" t="s">
        <v>20</v>
      </c>
      <c r="B442" s="183">
        <v>45343.416666666664</v>
      </c>
      <c r="C442" s="183">
        <v>45343.6875</v>
      </c>
      <c r="D442" s="113">
        <f>IF(punch[[#This Row],[Time Out]]="", "-", punch[[#This Row],[Time Out]]-punch[[#This Row],[Time In]])</f>
        <v>0.27083333333575865</v>
      </c>
      <c r="E442" s="178">
        <f>IF(punch[[#This Row],[Time In]]="", "-", WEEKNUM(punch[[#This Row],[Time In]],15))</f>
        <v>8</v>
      </c>
      <c r="F442" s="114" cm="1">
        <f t="array" ref="F442">getWeekTotalHours(punch[[#This Row],[Artist]], punch[[#This Row],[WeekNum]])</f>
        <v>0.71527777776645962</v>
      </c>
      <c r="G442" s="226"/>
    </row>
    <row r="443" spans="1:7" ht="23.25" customHeight="1" x14ac:dyDescent="0.25">
      <c r="A443" s="182" t="s">
        <v>18</v>
      </c>
      <c r="B443" s="183">
        <v>45344.352083333331</v>
      </c>
      <c r="C443" s="183">
        <v>45344.525694444441</v>
      </c>
      <c r="D443" s="113">
        <f>IF(punch[[#This Row],[Time Out]]="", "-", punch[[#This Row],[Time Out]]-punch[[#This Row],[Time In]])</f>
        <v>0.17361111110949423</v>
      </c>
      <c r="E443" s="178">
        <f>IF(punch[[#This Row],[Time In]]="", "-", WEEKNUM(punch[[#This Row],[Time In]],15))</f>
        <v>8</v>
      </c>
      <c r="F443" s="114" cm="1">
        <f t="array" ref="F443">getWeekTotalHours(punch[[#This Row],[Artist]], punch[[#This Row],[WeekNum]])</f>
        <v>1.65625</v>
      </c>
      <c r="G443" s="226" t="s">
        <v>165</v>
      </c>
    </row>
    <row r="444" spans="1:7" ht="23.25" customHeight="1" x14ac:dyDescent="0.25">
      <c r="A444" s="182" t="s">
        <v>16</v>
      </c>
      <c r="B444" s="183">
        <v>45344.520833333336</v>
      </c>
      <c r="C444" s="183">
        <v>45344.958333333336</v>
      </c>
      <c r="D444" s="113">
        <f>IF(punch[[#This Row],[Time Out]]="", "-", punch[[#This Row],[Time Out]]-punch[[#This Row],[Time In]])</f>
        <v>0.4375</v>
      </c>
      <c r="E444" s="178">
        <f>IF(punch[[#This Row],[Time In]]="", "-", WEEKNUM(punch[[#This Row],[Time In]],15))</f>
        <v>8</v>
      </c>
      <c r="F444" s="114" cm="1">
        <f t="array" ref="F444">getWeekTotalHours(punch[[#This Row],[Artist]], punch[[#This Row],[WeekNum]])</f>
        <v>2.2916666666715173</v>
      </c>
      <c r="G444" s="226"/>
    </row>
    <row r="445" spans="1:7" ht="23.25" customHeight="1" x14ac:dyDescent="0.25">
      <c r="A445" s="182" t="s">
        <v>18</v>
      </c>
      <c r="B445" s="183">
        <v>45344.538888888892</v>
      </c>
      <c r="C445" s="183">
        <v>45344.802777777775</v>
      </c>
      <c r="D445" s="113">
        <f>IF(punch[[#This Row],[Time Out]]="", "-", punch[[#This Row],[Time Out]]-punch[[#This Row],[Time In]])</f>
        <v>0.26388888888322981</v>
      </c>
      <c r="E445" s="178">
        <f>IF(punch[[#This Row],[Time In]]="", "-", WEEKNUM(punch[[#This Row],[Time In]],15))</f>
        <v>8</v>
      </c>
      <c r="F445" s="114" cm="1">
        <f t="array" ref="F445">getWeekTotalHours(punch[[#This Row],[Artist]], punch[[#This Row],[WeekNum]])</f>
        <v>1.65625</v>
      </c>
      <c r="G445" s="226" t="s">
        <v>166</v>
      </c>
    </row>
    <row r="446" spans="1:7" ht="23.25" customHeight="1" x14ac:dyDescent="0.25">
      <c r="A446" s="182" t="s">
        <v>20</v>
      </c>
      <c r="B446" s="183">
        <v>45344.520833333336</v>
      </c>
      <c r="C446" s="183">
        <v>45344.652777777781</v>
      </c>
      <c r="D446" s="113">
        <f>IF(punch[[#This Row],[Time Out]]="", "-", punch[[#This Row],[Time Out]]-punch[[#This Row],[Time In]])</f>
        <v>0.13194444444525288</v>
      </c>
      <c r="E446" s="178">
        <f>IF(punch[[#This Row],[Time In]]="", "-", WEEKNUM(punch[[#This Row],[Time In]],15))</f>
        <v>8</v>
      </c>
      <c r="F446" s="114" cm="1">
        <f t="array" ref="F446">getWeekTotalHours(punch[[#This Row],[Artist]], punch[[#This Row],[WeekNum]])</f>
        <v>0.71527777776645962</v>
      </c>
      <c r="G446" s="226" t="s">
        <v>167</v>
      </c>
    </row>
    <row r="447" spans="1:7" ht="23.25" customHeight="1" x14ac:dyDescent="0.25">
      <c r="A447" s="182" t="s">
        <v>12</v>
      </c>
      <c r="B447" s="183">
        <v>45344.770833333336</v>
      </c>
      <c r="C447" s="183">
        <v>45344.868055555555</v>
      </c>
      <c r="D447" s="113">
        <f>IF(punch[[#This Row],[Time Out]]="", "-", punch[[#This Row],[Time Out]]-punch[[#This Row],[Time In]])</f>
        <v>9.7222222218988463E-2</v>
      </c>
      <c r="E447" s="178">
        <f>IF(punch[[#This Row],[Time In]]="", "-", WEEKNUM(punch[[#This Row],[Time In]],15))</f>
        <v>8</v>
      </c>
      <c r="F447" s="114" cm="1">
        <f t="array" ref="F447">getWeekTotalHours(punch[[#This Row],[Artist]], punch[[#This Row],[WeekNum]])</f>
        <v>0.53333333333284827</v>
      </c>
      <c r="G447" s="226" t="s">
        <v>168</v>
      </c>
    </row>
    <row r="448" spans="1:7" ht="23.25" customHeight="1" x14ac:dyDescent="0.25">
      <c r="A448" s="182" t="s">
        <v>20</v>
      </c>
      <c r="B448" s="183">
        <v>45344.875</v>
      </c>
      <c r="C448" s="183">
        <v>45344.9375</v>
      </c>
      <c r="D448" s="251">
        <f>IF(punch[[#This Row],[Time Out]]="", "-", punch[[#This Row],[Time Out]]-punch[[#This Row],[Time In]])</f>
        <v>6.25E-2</v>
      </c>
      <c r="E448" s="178">
        <f>IF(punch[[#This Row],[Time In]]="", "-", WEEKNUM(punch[[#This Row],[Time In]],15))</f>
        <v>8</v>
      </c>
      <c r="F448" s="114" cm="1">
        <f t="array" ref="F448">getWeekTotalHours(punch[[#This Row],[Artist]], punch[[#This Row],[WeekNum]])</f>
        <v>0.71527777776645962</v>
      </c>
      <c r="G448" s="226" t="s">
        <v>169</v>
      </c>
    </row>
    <row r="449" spans="1:7" ht="23.25" customHeight="1" x14ac:dyDescent="0.25">
      <c r="A449" s="182" t="s">
        <v>18</v>
      </c>
      <c r="B449" s="183">
        <v>45344.920138888891</v>
      </c>
      <c r="C449" s="183">
        <v>45345.001388888886</v>
      </c>
      <c r="D449" s="113">
        <f>IF(punch[[#This Row],[Time Out]]="", "-", punch[[#This Row],[Time Out]]-punch[[#This Row],[Time In]])</f>
        <v>8.1249999995634425E-2</v>
      </c>
      <c r="E449" s="178">
        <f>IF(punch[[#This Row],[Time In]]="", "-", WEEKNUM(punch[[#This Row],[Time In]],15))</f>
        <v>8</v>
      </c>
      <c r="F449" s="114" cm="1">
        <f t="array" ref="F449">getWeekTotalHours(punch[[#This Row],[Artist]], punch[[#This Row],[WeekNum]])</f>
        <v>1.65625</v>
      </c>
      <c r="G449" s="226" t="s">
        <v>170</v>
      </c>
    </row>
    <row r="450" spans="1:7" ht="23.25" customHeight="1" x14ac:dyDescent="0.25">
      <c r="A450" s="182" t="s">
        <v>18</v>
      </c>
      <c r="B450" s="183">
        <v>45346.415277777778</v>
      </c>
      <c r="C450" s="183">
        <v>45346.57916666667</v>
      </c>
      <c r="D450" s="113">
        <f>IF(punch[[#This Row],[Time Out]]="", "-", punch[[#This Row],[Time Out]]-punch[[#This Row],[Time In]])</f>
        <v>0.16388888889196096</v>
      </c>
      <c r="E450" s="178">
        <f>IF(punch[[#This Row],[Time In]]="", "-", WEEKNUM(punch[[#This Row],[Time In]],15))</f>
        <v>9</v>
      </c>
      <c r="F450" s="114" cm="1">
        <f t="array" ref="F450">getWeekTotalHours(punch[[#This Row],[Artist]], punch[[#This Row],[WeekNum]])</f>
        <v>2.4437500000058208</v>
      </c>
      <c r="G450" s="226" t="s">
        <v>171</v>
      </c>
    </row>
    <row r="451" spans="1:7" ht="23.25" customHeight="1" x14ac:dyDescent="0.25">
      <c r="A451" s="182" t="s">
        <v>16</v>
      </c>
      <c r="B451" s="183">
        <v>45346.5</v>
      </c>
      <c r="C451" s="183">
        <v>45346.611111111109</v>
      </c>
      <c r="D451" s="113">
        <f>IF(punch[[#This Row],[Time Out]]="", "-", punch[[#This Row],[Time Out]]-punch[[#This Row],[Time In]])</f>
        <v>0.11111111110949423</v>
      </c>
      <c r="E451" s="178">
        <f>IF(punch[[#This Row],[Time In]]="", "-", WEEKNUM(punch[[#This Row],[Time In]],15))</f>
        <v>9</v>
      </c>
      <c r="F451" s="114" cm="1">
        <f t="array" ref="F451">getWeekTotalHours(punch[[#This Row],[Artist]], punch[[#This Row],[WeekNum]])</f>
        <v>2.3465277777795563</v>
      </c>
      <c r="G451" s="226"/>
    </row>
    <row r="452" spans="1:7" ht="23.25" customHeight="1" x14ac:dyDescent="0.25">
      <c r="A452" s="182" t="s">
        <v>18</v>
      </c>
      <c r="B452" s="183">
        <v>45347.365972222222</v>
      </c>
      <c r="C452" s="183">
        <v>45347.489583333336</v>
      </c>
      <c r="D452" s="113">
        <f>IF(punch[[#This Row],[Time Out]]="", "-", punch[[#This Row],[Time Out]]-punch[[#This Row],[Time In]])</f>
        <v>0.12361111111385981</v>
      </c>
      <c r="E452" s="178">
        <f>IF(punch[[#This Row],[Time In]]="", "-", WEEKNUM(punch[[#This Row],[Time In]],15))</f>
        <v>9</v>
      </c>
      <c r="F452" s="114" cm="1">
        <f t="array" ref="F452">getWeekTotalHours(punch[[#This Row],[Artist]], punch[[#This Row],[WeekNum]])</f>
        <v>2.4437500000058208</v>
      </c>
      <c r="G452" s="226" t="s">
        <v>172</v>
      </c>
    </row>
    <row r="453" spans="1:7" ht="23.25" customHeight="1" x14ac:dyDescent="0.25">
      <c r="A453" s="182" t="s">
        <v>16</v>
      </c>
      <c r="B453" s="183">
        <v>45347.491666666669</v>
      </c>
      <c r="C453" s="183">
        <v>45347.690972222219</v>
      </c>
      <c r="D453" s="113">
        <f>IF(punch[[#This Row],[Time Out]]="", "-", punch[[#This Row],[Time Out]]-punch[[#This Row],[Time In]])</f>
        <v>0.19930555555038154</v>
      </c>
      <c r="E453" s="178">
        <f>IF(punch[[#This Row],[Time In]]="", "-", WEEKNUM(punch[[#This Row],[Time In]],15))</f>
        <v>9</v>
      </c>
      <c r="F453" s="114" cm="1">
        <f t="array" ref="F453">getWeekTotalHours(punch[[#This Row],[Artist]], punch[[#This Row],[WeekNum]])</f>
        <v>2.3465277777795563</v>
      </c>
      <c r="G453" s="226" t="s">
        <v>173</v>
      </c>
    </row>
    <row r="454" spans="1:7" ht="23.25" customHeight="1" x14ac:dyDescent="0.25">
      <c r="A454" s="182" t="s">
        <v>18</v>
      </c>
      <c r="B454" s="183">
        <v>45347.524305555555</v>
      </c>
      <c r="C454" s="183">
        <v>45347.693749999999</v>
      </c>
      <c r="D454" s="113">
        <f>IF(punch[[#This Row],[Time Out]]="", "-", punch[[#This Row],[Time Out]]-punch[[#This Row],[Time In]])</f>
        <v>0.16944444444379769</v>
      </c>
      <c r="E454" s="178">
        <f>IF(punch[[#This Row],[Time In]]="", "-", WEEKNUM(punch[[#This Row],[Time In]],15))</f>
        <v>9</v>
      </c>
      <c r="F454" s="114" cm="1">
        <f t="array" ref="F454">getWeekTotalHours(punch[[#This Row],[Artist]], punch[[#This Row],[WeekNum]])</f>
        <v>2.4437500000058208</v>
      </c>
      <c r="G454" s="226" t="s">
        <v>174</v>
      </c>
    </row>
    <row r="455" spans="1:7" ht="23.25" customHeight="1" x14ac:dyDescent="0.25">
      <c r="A455" s="182" t="s">
        <v>12</v>
      </c>
      <c r="B455" s="183">
        <v>45347.583333333336</v>
      </c>
      <c r="C455" s="183">
        <v>45347.62777777778</v>
      </c>
      <c r="D455" s="113">
        <f>IF(punch[[#This Row],[Time Out]]="", "-", punch[[#This Row],[Time Out]]-punch[[#This Row],[Time In]])</f>
        <v>4.4444444443797693E-2</v>
      </c>
      <c r="E455" s="178">
        <f>IF(punch[[#This Row],[Time In]]="", "-", WEEKNUM(punch[[#This Row],[Time In]],15))</f>
        <v>9</v>
      </c>
      <c r="F455" s="114" cm="1">
        <f t="array" ref="F455">getWeekTotalHours(punch[[#This Row],[Artist]], punch[[#This Row],[WeekNum]])</f>
        <v>0.94027777777955635</v>
      </c>
      <c r="G455" s="226" t="s">
        <v>175</v>
      </c>
    </row>
    <row r="456" spans="1:7" ht="23.25" customHeight="1" x14ac:dyDescent="0.25">
      <c r="A456" s="182" t="s">
        <v>14</v>
      </c>
      <c r="B456" s="183">
        <v>45347.500694444447</v>
      </c>
      <c r="C456" s="183">
        <v>45347.5625</v>
      </c>
      <c r="D456" s="113">
        <f>IF(punch[[#This Row],[Time Out]]="", "-", punch[[#This Row],[Time Out]]-punch[[#This Row],[Time In]])</f>
        <v>6.1805555553291924E-2</v>
      </c>
      <c r="E456" s="178">
        <f>IF(punch[[#This Row],[Time In]]="", "-", WEEKNUM(punch[[#This Row],[Time In]],15))</f>
        <v>9</v>
      </c>
      <c r="F456" s="114" cm="1">
        <f t="array" ref="F456">getWeekTotalHours(punch[[#This Row],[Artist]], punch[[#This Row],[WeekNum]])</f>
        <v>0.71875</v>
      </c>
      <c r="G456" s="226" t="s">
        <v>176</v>
      </c>
    </row>
    <row r="457" spans="1:7" ht="23.25" customHeight="1" x14ac:dyDescent="0.25">
      <c r="A457" s="182" t="s">
        <v>14</v>
      </c>
      <c r="B457" s="183">
        <v>45347.59097222222</v>
      </c>
      <c r="C457" s="183">
        <v>45347.777777777781</v>
      </c>
      <c r="D457" s="113">
        <f>IF(punch[[#This Row],[Time Out]]="", "-", punch[[#This Row],[Time Out]]-punch[[#This Row],[Time In]])</f>
        <v>0.18680555556056788</v>
      </c>
      <c r="E457" s="178">
        <f>IF(punch[[#This Row],[Time In]]="", "-", WEEKNUM(punch[[#This Row],[Time In]],15))</f>
        <v>9</v>
      </c>
      <c r="F457" s="114" cm="1">
        <f t="array" ref="F457">getWeekTotalHours(punch[[#This Row],[Artist]], punch[[#This Row],[WeekNum]])</f>
        <v>0.71875</v>
      </c>
      <c r="G457" s="226" t="s">
        <v>177</v>
      </c>
    </row>
    <row r="458" spans="1:7" ht="23.25" customHeight="1" x14ac:dyDescent="0.25">
      <c r="A458" s="182" t="s">
        <v>16</v>
      </c>
      <c r="B458" s="183">
        <v>45347.729166666664</v>
      </c>
      <c r="C458" s="183">
        <v>45347.808333333334</v>
      </c>
      <c r="D458" s="113">
        <f>IF(punch[[#This Row],[Time Out]]="", "-", punch[[#This Row],[Time Out]]-punch[[#This Row],[Time In]])</f>
        <v>7.9166666670062114E-2</v>
      </c>
      <c r="E458" s="178">
        <f>IF(punch[[#This Row],[Time In]]="", "-", WEEKNUM(punch[[#This Row],[Time In]],15))</f>
        <v>9</v>
      </c>
      <c r="F458" s="114" cm="1">
        <f t="array" ref="F458">getWeekTotalHours(punch[[#This Row],[Artist]], punch[[#This Row],[WeekNum]])</f>
        <v>2.3465277777795563</v>
      </c>
      <c r="G458" s="226" t="s">
        <v>178</v>
      </c>
    </row>
    <row r="459" spans="1:7" ht="23.25" customHeight="1" x14ac:dyDescent="0.25">
      <c r="A459" s="182" t="s">
        <v>18</v>
      </c>
      <c r="B459" s="183">
        <v>45347.709722222222</v>
      </c>
      <c r="C459" s="183">
        <v>45347.806250000001</v>
      </c>
      <c r="D459" s="113">
        <f>IF(punch[[#This Row],[Time Out]]="", "-", punch[[#This Row],[Time Out]]-punch[[#This Row],[Time In]])</f>
        <v>9.6527777779556345E-2</v>
      </c>
      <c r="E459" s="178">
        <f>IF(punch[[#This Row],[Time In]]="", "-", WEEKNUM(punch[[#This Row],[Time In]],15))</f>
        <v>9</v>
      </c>
      <c r="F459" s="114" cm="1">
        <f t="array" ref="F459">getWeekTotalHours(punch[[#This Row],[Artist]], punch[[#This Row],[WeekNum]])</f>
        <v>2.4437500000058208</v>
      </c>
      <c r="G459" s="226" t="s">
        <v>179</v>
      </c>
    </row>
    <row r="460" spans="1:7" ht="23.25" customHeight="1" x14ac:dyDescent="0.25">
      <c r="A460" s="182" t="s">
        <v>18</v>
      </c>
      <c r="B460" s="183">
        <v>45347.918055555558</v>
      </c>
      <c r="C460" s="183">
        <v>45347.974999999999</v>
      </c>
      <c r="D460" s="113">
        <f>IF(punch[[#This Row],[Time Out]]="", "-", punch[[#This Row],[Time Out]]-punch[[#This Row],[Time In]])</f>
        <v>5.694444444088731E-2</v>
      </c>
      <c r="E460" s="178">
        <f>IF(punch[[#This Row],[Time In]]="", "-", WEEKNUM(punch[[#This Row],[Time In]],15))</f>
        <v>9</v>
      </c>
      <c r="F460" s="114" cm="1">
        <f t="array" ref="F460">getWeekTotalHours(punch[[#This Row],[Artist]], punch[[#This Row],[WeekNum]])</f>
        <v>2.4437500000058208</v>
      </c>
      <c r="G460" s="226" t="s">
        <v>180</v>
      </c>
    </row>
    <row r="461" spans="1:7" ht="23.25" customHeight="1" x14ac:dyDescent="0.25">
      <c r="A461" s="182" t="s">
        <v>16</v>
      </c>
      <c r="B461" s="183">
        <v>45347.945833333331</v>
      </c>
      <c r="C461" s="183">
        <v>45348.029861111114</v>
      </c>
      <c r="D461" s="113">
        <f>IF(punch[[#This Row],[Time Out]]="", "-", punch[[#This Row],[Time Out]]-punch[[#This Row],[Time In]])</f>
        <v>8.4027777782466728E-2</v>
      </c>
      <c r="E461" s="178">
        <f>IF(punch[[#This Row],[Time In]]="", "-", WEEKNUM(punch[[#This Row],[Time In]],15))</f>
        <v>9</v>
      </c>
      <c r="F461" s="114" cm="1">
        <f t="array" ref="F461">getWeekTotalHours(punch[[#This Row],[Artist]], punch[[#This Row],[WeekNum]])</f>
        <v>2.3465277777795563</v>
      </c>
      <c r="G461" s="226" t="s">
        <v>181</v>
      </c>
    </row>
    <row r="462" spans="1:7" ht="23.25" customHeight="1" x14ac:dyDescent="0.25">
      <c r="A462" s="182" t="s">
        <v>18</v>
      </c>
      <c r="B462" s="183">
        <v>45348.422222222223</v>
      </c>
      <c r="C462" s="183">
        <v>45348.802777777775</v>
      </c>
      <c r="D462" s="113">
        <f>IF(punch[[#This Row],[Time Out]]="", "-", punch[[#This Row],[Time Out]]-punch[[#This Row],[Time In]])</f>
        <v>0.38055555555183673</v>
      </c>
      <c r="E462" s="178">
        <f>IF(punch[[#This Row],[Time In]]="", "-", WEEKNUM(punch[[#This Row],[Time In]],15))</f>
        <v>9</v>
      </c>
      <c r="F462" s="114" cm="1">
        <f t="array" ref="F462">getWeekTotalHours(punch[[#This Row],[Artist]], punch[[#This Row],[WeekNum]])</f>
        <v>2.4437500000058208</v>
      </c>
      <c r="G462" s="226" t="s">
        <v>182</v>
      </c>
    </row>
    <row r="463" spans="1:7" ht="23.25" customHeight="1" x14ac:dyDescent="0.25">
      <c r="A463" s="182" t="s">
        <v>12</v>
      </c>
      <c r="B463" s="183">
        <v>45348.554861111108</v>
      </c>
      <c r="C463" s="183">
        <v>45348.677083333336</v>
      </c>
      <c r="D463" s="113">
        <f>IF(punch[[#This Row],[Time Out]]="", "-", punch[[#This Row],[Time Out]]-punch[[#This Row],[Time In]])</f>
        <v>0.12222222222771961</v>
      </c>
      <c r="E463" s="178">
        <f>IF(punch[[#This Row],[Time In]]="", "-", WEEKNUM(punch[[#This Row],[Time In]],15))</f>
        <v>9</v>
      </c>
      <c r="F463" s="114" cm="1">
        <f t="array" ref="F463">getWeekTotalHours(punch[[#This Row],[Artist]], punch[[#This Row],[WeekNum]])</f>
        <v>0.94027777777955635</v>
      </c>
      <c r="G463" s="226" t="s">
        <v>183</v>
      </c>
    </row>
    <row r="464" spans="1:7" ht="23.25" customHeight="1" x14ac:dyDescent="0.25">
      <c r="A464" s="182" t="s">
        <v>16</v>
      </c>
      <c r="B464" s="183">
        <v>45348.52847222222</v>
      </c>
      <c r="C464" s="183">
        <v>45348.73333333333</v>
      </c>
      <c r="D464" s="113">
        <f>IF(punch[[#This Row],[Time Out]]="", "-", punch[[#This Row],[Time Out]]-punch[[#This Row],[Time In]])</f>
        <v>0.20486111110949423</v>
      </c>
      <c r="E464" s="178">
        <f>IF(punch[[#This Row],[Time In]]="", "-", WEEKNUM(punch[[#This Row],[Time In]],15))</f>
        <v>9</v>
      </c>
      <c r="F464" s="114" cm="1">
        <f t="array" ref="F464">getWeekTotalHours(punch[[#This Row],[Artist]], punch[[#This Row],[WeekNum]])</f>
        <v>2.3465277777795563</v>
      </c>
      <c r="G464" s="226"/>
    </row>
    <row r="465" spans="1:7" ht="23.25" customHeight="1" x14ac:dyDescent="0.25">
      <c r="A465" s="182" t="s">
        <v>16</v>
      </c>
      <c r="B465" s="183">
        <v>45348.817361111112</v>
      </c>
      <c r="C465" s="183">
        <v>45348.927083333336</v>
      </c>
      <c r="D465" s="113">
        <f>IF(punch[[#This Row],[Time Out]]="", "-", punch[[#This Row],[Time Out]]-punch[[#This Row],[Time In]])</f>
        <v>0.10972222222335404</v>
      </c>
      <c r="E465" s="178">
        <f>IF(punch[[#This Row],[Time In]]="", "-", WEEKNUM(punch[[#This Row],[Time In]],15))</f>
        <v>9</v>
      </c>
      <c r="F465" s="114" cm="1">
        <f t="array" ref="F465">getWeekTotalHours(punch[[#This Row],[Artist]], punch[[#This Row],[WeekNum]])</f>
        <v>2.3465277777795563</v>
      </c>
      <c r="G465" s="226" t="s">
        <v>184</v>
      </c>
    </row>
    <row r="466" spans="1:7" ht="23.25" customHeight="1" x14ac:dyDescent="0.25">
      <c r="A466" s="182" t="s">
        <v>18</v>
      </c>
      <c r="B466" s="183">
        <v>45348.834027777775</v>
      </c>
      <c r="C466" s="183">
        <v>45348.873611111114</v>
      </c>
      <c r="D466" s="113">
        <f>IF(punch[[#This Row],[Time Out]]="", "-", punch[[#This Row],[Time Out]]-punch[[#This Row],[Time In]])</f>
        <v>3.9583333338669036E-2</v>
      </c>
      <c r="E466" s="178">
        <f>IF(punch[[#This Row],[Time In]]="", "-", WEEKNUM(punch[[#This Row],[Time In]],15))</f>
        <v>9</v>
      </c>
      <c r="F466" s="114" cm="1">
        <f t="array" ref="F466">getWeekTotalHours(punch[[#This Row],[Artist]], punch[[#This Row],[WeekNum]])</f>
        <v>2.4437500000058208</v>
      </c>
      <c r="G466" s="226" t="s">
        <v>185</v>
      </c>
    </row>
    <row r="467" spans="1:7" ht="23.25" customHeight="1" x14ac:dyDescent="0.25">
      <c r="A467" s="182" t="s">
        <v>18</v>
      </c>
      <c r="B467" s="183">
        <v>45349.352083333331</v>
      </c>
      <c r="C467" s="183">
        <v>45349.472222222219</v>
      </c>
      <c r="D467" s="113">
        <f>IF(punch[[#This Row],[Time Out]]="", "-", punch[[#This Row],[Time Out]]-punch[[#This Row],[Time In]])</f>
        <v>0.12013888888759539</v>
      </c>
      <c r="E467" s="178">
        <f>IF(punch[[#This Row],[Time In]]="", "-", WEEKNUM(punch[[#This Row],[Time In]],15))</f>
        <v>9</v>
      </c>
      <c r="F467" s="114" cm="1">
        <f t="array" ref="F467">getWeekTotalHours(punch[[#This Row],[Artist]], punch[[#This Row],[WeekNum]])</f>
        <v>2.4437500000058208</v>
      </c>
      <c r="G467" s="226" t="s">
        <v>186</v>
      </c>
    </row>
    <row r="468" spans="1:7" ht="23.25" customHeight="1" x14ac:dyDescent="0.25">
      <c r="A468" s="182" t="s">
        <v>16</v>
      </c>
      <c r="B468" s="183">
        <v>45349.479166666664</v>
      </c>
      <c r="C468" s="183">
        <v>45349.713888888888</v>
      </c>
      <c r="D468" s="113">
        <f>IF(punch[[#This Row],[Time Out]]="", "-", punch[[#This Row],[Time Out]]-punch[[#This Row],[Time In]])</f>
        <v>0.23472222222335404</v>
      </c>
      <c r="E468" s="178">
        <f>IF(punch[[#This Row],[Time In]]="", "-", WEEKNUM(punch[[#This Row],[Time In]],15))</f>
        <v>9</v>
      </c>
      <c r="F468" s="114" cm="1">
        <f t="array" ref="F468">getWeekTotalHours(punch[[#This Row],[Artist]], punch[[#This Row],[WeekNum]])</f>
        <v>2.3465277777795563</v>
      </c>
      <c r="G468" s="226" t="s">
        <v>187</v>
      </c>
    </row>
    <row r="469" spans="1:7" ht="23.25" customHeight="1" x14ac:dyDescent="0.25">
      <c r="A469" s="182" t="s">
        <v>18</v>
      </c>
      <c r="B469" s="183">
        <v>45349.501388888886</v>
      </c>
      <c r="C469" s="183">
        <v>45349.729166666664</v>
      </c>
      <c r="D469" s="113">
        <f>IF(punch[[#This Row],[Time Out]]="", "-", punch[[#This Row],[Time Out]]-punch[[#This Row],[Time In]])</f>
        <v>0.22777777777810115</v>
      </c>
      <c r="E469" s="178">
        <f>IF(punch[[#This Row],[Time In]]="", "-", WEEKNUM(punch[[#This Row],[Time In]],15))</f>
        <v>9</v>
      </c>
      <c r="F469" s="114" cm="1">
        <f t="array" ref="F469">getWeekTotalHours(punch[[#This Row],[Artist]], punch[[#This Row],[WeekNum]])</f>
        <v>2.4437500000058208</v>
      </c>
      <c r="G469" s="226" t="s">
        <v>188</v>
      </c>
    </row>
    <row r="470" spans="1:7" ht="23.25" customHeight="1" x14ac:dyDescent="0.25">
      <c r="A470" s="182" t="s">
        <v>12</v>
      </c>
      <c r="B470" s="183">
        <v>45349.65625</v>
      </c>
      <c r="C470" s="183">
        <v>45349.722916666666</v>
      </c>
      <c r="D470" s="113">
        <f>IF(punch[[#This Row],[Time Out]]="", "-", punch[[#This Row],[Time Out]]-punch[[#This Row],[Time In]])</f>
        <v>6.6666666665696539E-2</v>
      </c>
      <c r="E470" s="178">
        <f>IF(punch[[#This Row],[Time In]]="", "-", WEEKNUM(punch[[#This Row],[Time In]],15))</f>
        <v>9</v>
      </c>
      <c r="F470" s="114" cm="1">
        <f t="array" ref="F470">getWeekTotalHours(punch[[#This Row],[Artist]], punch[[#This Row],[WeekNum]])</f>
        <v>0.94027777777955635</v>
      </c>
      <c r="G470" s="226" t="s">
        <v>189</v>
      </c>
    </row>
    <row r="471" spans="1:7" ht="23.25" customHeight="1" x14ac:dyDescent="0.25">
      <c r="A471" s="182" t="s">
        <v>12</v>
      </c>
      <c r="B471" s="183">
        <v>45349.786111111112</v>
      </c>
      <c r="C471" s="183">
        <v>45349.831250000003</v>
      </c>
      <c r="D471" s="113">
        <f>IF(punch[[#This Row],[Time Out]]="", "-", punch[[#This Row],[Time Out]]-punch[[#This Row],[Time In]])</f>
        <v>4.5138888890505768E-2</v>
      </c>
      <c r="E471" s="178">
        <f>IF(punch[[#This Row],[Time In]]="", "-", WEEKNUM(punch[[#This Row],[Time In]],15))</f>
        <v>9</v>
      </c>
      <c r="F471" s="114" cm="1">
        <f t="array" ref="F471">getWeekTotalHours(punch[[#This Row],[Artist]], punch[[#This Row],[WeekNum]])</f>
        <v>0.94027777777955635</v>
      </c>
      <c r="G471" s="226" t="s">
        <v>190</v>
      </c>
    </row>
    <row r="472" spans="1:7" ht="23.25" customHeight="1" x14ac:dyDescent="0.25">
      <c r="A472" s="182" t="s">
        <v>12</v>
      </c>
      <c r="B472" s="183">
        <v>45350.342361111114</v>
      </c>
      <c r="C472" s="183">
        <v>45350.473611111112</v>
      </c>
      <c r="D472" s="113">
        <f>IF(punch[[#This Row],[Time Out]]="", "-", punch[[#This Row],[Time Out]]-punch[[#This Row],[Time In]])</f>
        <v>0.13124999999854481</v>
      </c>
      <c r="E472" s="178">
        <f>IF(punch[[#This Row],[Time In]]="", "-", WEEKNUM(punch[[#This Row],[Time In]],15))</f>
        <v>9</v>
      </c>
      <c r="F472" s="114" cm="1">
        <f t="array" ref="F472">getWeekTotalHours(punch[[#This Row],[Artist]], punch[[#This Row],[WeekNum]])</f>
        <v>0.94027777777955635</v>
      </c>
      <c r="G472" s="226" t="s">
        <v>191</v>
      </c>
    </row>
    <row r="473" spans="1:7" ht="23.25" customHeight="1" x14ac:dyDescent="0.25">
      <c r="A473" s="182" t="s">
        <v>18</v>
      </c>
      <c r="B473" s="183">
        <v>45350.359027777777</v>
      </c>
      <c r="C473" s="183">
        <v>45350.489583333336</v>
      </c>
      <c r="D473" s="113">
        <f>IF(punch[[#This Row],[Time Out]]="", "-", punch[[#This Row],[Time Out]]-punch[[#This Row],[Time In]])</f>
        <v>0.13055555555911269</v>
      </c>
      <c r="E473" s="178">
        <f>IF(punch[[#This Row],[Time In]]="", "-", WEEKNUM(punch[[#This Row],[Time In]],15))</f>
        <v>9</v>
      </c>
      <c r="F473" s="114" cm="1">
        <f t="array" ref="F473">getWeekTotalHours(punch[[#This Row],[Artist]], punch[[#This Row],[WeekNum]])</f>
        <v>2.4437500000058208</v>
      </c>
      <c r="G473" s="226"/>
    </row>
    <row r="474" spans="1:7" ht="23.25" customHeight="1" x14ac:dyDescent="0.25">
      <c r="A474" s="182" t="s">
        <v>16</v>
      </c>
      <c r="B474" s="183">
        <v>45350.377083333333</v>
      </c>
      <c r="C474" s="183">
        <v>45350.794444444444</v>
      </c>
      <c r="D474" s="113">
        <f>IF(punch[[#This Row],[Time Out]]="", "-", punch[[#This Row],[Time Out]]-punch[[#This Row],[Time In]])</f>
        <v>0.41736111111094942</v>
      </c>
      <c r="E474" s="178">
        <f>IF(punch[[#This Row],[Time In]]="", "-", WEEKNUM(punch[[#This Row],[Time In]],15))</f>
        <v>9</v>
      </c>
      <c r="F474" s="114" cm="1">
        <f t="array" ref="F474">getWeekTotalHours(punch[[#This Row],[Artist]], punch[[#This Row],[WeekNum]])</f>
        <v>2.3465277777795563</v>
      </c>
      <c r="G474" s="226"/>
    </row>
    <row r="475" spans="1:7" ht="23.25" customHeight="1" x14ac:dyDescent="0.25">
      <c r="A475" s="182" t="s">
        <v>14</v>
      </c>
      <c r="B475" s="183">
        <v>45350.416666666664</v>
      </c>
      <c r="C475" s="183">
        <v>45350.817361111112</v>
      </c>
      <c r="D475" s="113">
        <f>IF(punch[[#This Row],[Time Out]]="", "-", punch[[#This Row],[Time Out]]-punch[[#This Row],[Time In]])</f>
        <v>0.40069444444816327</v>
      </c>
      <c r="E475" s="178">
        <f>IF(punch[[#This Row],[Time In]]="", "-", WEEKNUM(punch[[#This Row],[Time In]],15))</f>
        <v>9</v>
      </c>
      <c r="F475" s="114" cm="1">
        <f t="array" ref="F475">getWeekTotalHours(punch[[#This Row],[Artist]], punch[[#This Row],[WeekNum]])</f>
        <v>0.71875</v>
      </c>
      <c r="G475" s="226" t="s">
        <v>192</v>
      </c>
    </row>
    <row r="476" spans="1:7" ht="23.25" customHeight="1" x14ac:dyDescent="0.25">
      <c r="A476" s="182" t="s">
        <v>12</v>
      </c>
      <c r="B476" s="183">
        <v>45350.575694444444</v>
      </c>
      <c r="C476" s="183">
        <v>45350.722222222219</v>
      </c>
      <c r="D476" s="113">
        <f>IF(punch[[#This Row],[Time Out]]="", "-", punch[[#This Row],[Time Out]]-punch[[#This Row],[Time In]])</f>
        <v>0.14652777777519077</v>
      </c>
      <c r="E476" s="178">
        <f>IF(punch[[#This Row],[Time In]]="", "-", WEEKNUM(punch[[#This Row],[Time In]],15))</f>
        <v>9</v>
      </c>
      <c r="F476" s="114" cm="1">
        <f t="array" ref="F476">getWeekTotalHours(punch[[#This Row],[Artist]], punch[[#This Row],[WeekNum]])</f>
        <v>0.94027777777955635</v>
      </c>
      <c r="G476" s="226" t="s">
        <v>193</v>
      </c>
    </row>
    <row r="477" spans="1:7" ht="23.25" customHeight="1" x14ac:dyDescent="0.25">
      <c r="A477" s="182" t="s">
        <v>16</v>
      </c>
      <c r="B477" s="183">
        <v>45350.829861111109</v>
      </c>
      <c r="C477" s="183">
        <v>45351.131944444445</v>
      </c>
      <c r="D477" s="113">
        <f>IF(punch[[#This Row],[Time Out]]="", "-", punch[[#This Row],[Time Out]]-punch[[#This Row],[Time In]])</f>
        <v>0.30208333333575865</v>
      </c>
      <c r="E477" s="178">
        <f>IF(punch[[#This Row],[Time In]]="", "-", WEEKNUM(punch[[#This Row],[Time In]],15))</f>
        <v>9</v>
      </c>
      <c r="F477" s="114" cm="1">
        <f t="array" ref="F477">getWeekTotalHours(punch[[#This Row],[Artist]], punch[[#This Row],[WeekNum]])</f>
        <v>2.3465277777795563</v>
      </c>
      <c r="G477" s="226"/>
    </row>
    <row r="478" spans="1:7" ht="23.25" customHeight="1" x14ac:dyDescent="0.25">
      <c r="A478" s="182" t="s">
        <v>18</v>
      </c>
      <c r="B478" s="183">
        <v>45350.510416666664</v>
      </c>
      <c r="C478" s="183">
        <v>45350.770833333336</v>
      </c>
      <c r="D478" s="113">
        <f>IF(punch[[#This Row],[Time Out]]="", "-", punch[[#This Row],[Time Out]]-punch[[#This Row],[Time In]])</f>
        <v>0.26041666667151731</v>
      </c>
      <c r="E478" s="178">
        <f>IF(punch[[#This Row],[Time In]]="", "-", WEEKNUM(punch[[#This Row],[Time In]],15))</f>
        <v>9</v>
      </c>
      <c r="F478" s="114" cm="1">
        <f t="array" ref="F478">getWeekTotalHours(punch[[#This Row],[Artist]], punch[[#This Row],[WeekNum]])</f>
        <v>2.4437500000058208</v>
      </c>
      <c r="G478" s="226"/>
    </row>
    <row r="479" spans="1:7" ht="23.25" customHeight="1" x14ac:dyDescent="0.25">
      <c r="A479" s="182" t="s">
        <v>18</v>
      </c>
      <c r="B479" s="183">
        <v>45350.875</v>
      </c>
      <c r="C479" s="183">
        <v>45350.943749999999</v>
      </c>
      <c r="D479" s="113">
        <f>IF(punch[[#This Row],[Time Out]]="", "-", punch[[#This Row],[Time Out]]-punch[[#This Row],[Time In]])</f>
        <v>6.8749999998544808E-2</v>
      </c>
      <c r="E479" s="178">
        <f>IF(punch[[#This Row],[Time In]]="", "-", WEEKNUM(punch[[#This Row],[Time In]],15))</f>
        <v>9</v>
      </c>
      <c r="F479" s="114" cm="1">
        <f t="array" ref="F479">getWeekTotalHours(punch[[#This Row],[Artist]], punch[[#This Row],[WeekNum]])</f>
        <v>2.4437500000058208</v>
      </c>
      <c r="G479" s="226" t="s">
        <v>194</v>
      </c>
    </row>
    <row r="480" spans="1:7" ht="23.25" customHeight="1" x14ac:dyDescent="0.25">
      <c r="A480" s="182" t="s">
        <v>18</v>
      </c>
      <c r="B480" s="183">
        <v>45351.342361111114</v>
      </c>
      <c r="C480" s="183">
        <v>45351.947916666664</v>
      </c>
      <c r="D480" s="113">
        <f>IF(punch[[#This Row],[Time Out]]="", "-", punch[[#This Row],[Time Out]]-punch[[#This Row],[Time In]])</f>
        <v>0.60555555555038154</v>
      </c>
      <c r="E480" s="178">
        <f>IF(punch[[#This Row],[Time In]]="", "-", WEEKNUM(punch[[#This Row],[Time In]],15))</f>
        <v>9</v>
      </c>
      <c r="F480" s="114" cm="1">
        <f t="array" ref="F480">getWeekTotalHours(punch[[#This Row],[Artist]], punch[[#This Row],[WeekNum]])</f>
        <v>2.4437500000058208</v>
      </c>
      <c r="G480" s="226" t="s">
        <v>195</v>
      </c>
    </row>
    <row r="481" spans="1:7" ht="23.25" customHeight="1" x14ac:dyDescent="0.25">
      <c r="A481" s="182" t="s">
        <v>16</v>
      </c>
      <c r="B481" s="183">
        <v>45351.382638888892</v>
      </c>
      <c r="C481" s="183">
        <v>45351.986805555556</v>
      </c>
      <c r="D481" s="113">
        <f>IF(punch[[#This Row],[Time Out]]="", "-", punch[[#This Row],[Time Out]]-punch[[#This Row],[Time In]])</f>
        <v>0.60416666666424135</v>
      </c>
      <c r="E481" s="178">
        <f>IF(punch[[#This Row],[Time In]]="", "-", WEEKNUM(punch[[#This Row],[Time In]],15))</f>
        <v>9</v>
      </c>
      <c r="F481" s="114" cm="1">
        <f t="array" ref="F481">getWeekTotalHours(punch[[#This Row],[Artist]], punch[[#This Row],[WeekNum]])</f>
        <v>2.3465277777795563</v>
      </c>
      <c r="G481" s="226"/>
    </row>
    <row r="482" spans="1:7" ht="23.25" customHeight="1" x14ac:dyDescent="0.25">
      <c r="A482" s="182" t="s">
        <v>12</v>
      </c>
      <c r="B482" s="183">
        <v>45351.490972222222</v>
      </c>
      <c r="C482" s="183">
        <v>45351.875</v>
      </c>
      <c r="D482" s="113">
        <f>IF(punch[[#This Row],[Time Out]]="", "-", punch[[#This Row],[Time Out]]-punch[[#This Row],[Time In]])</f>
        <v>0.38402777777810115</v>
      </c>
      <c r="E482" s="178">
        <f>IF(punch[[#This Row],[Time In]]="", "-", WEEKNUM(punch[[#This Row],[Time In]],15))</f>
        <v>9</v>
      </c>
      <c r="F482" s="114" cm="1">
        <f t="array" ref="F482">getWeekTotalHours(punch[[#This Row],[Artist]], punch[[#This Row],[WeekNum]])</f>
        <v>0.94027777777955635</v>
      </c>
      <c r="G482" s="226" t="s">
        <v>196</v>
      </c>
    </row>
    <row r="483" spans="1:7" ht="23.25" customHeight="1" x14ac:dyDescent="0.25">
      <c r="A483" s="182" t="s">
        <v>14</v>
      </c>
      <c r="B483" s="183">
        <v>45351.809027777781</v>
      </c>
      <c r="C483" s="183">
        <v>45351.878472222219</v>
      </c>
      <c r="D483" s="113">
        <f>IF(punch[[#This Row],[Time Out]]="", "-", punch[[#This Row],[Time Out]]-punch[[#This Row],[Time In]])</f>
        <v>6.9444444437976927E-2</v>
      </c>
      <c r="E483" s="178">
        <f>IF(punch[[#This Row],[Time In]]="", "-", WEEKNUM(punch[[#This Row],[Time In]],15))</f>
        <v>9</v>
      </c>
      <c r="F483" s="114" cm="1">
        <f t="array" ref="F483">getWeekTotalHours(punch[[#This Row],[Artist]], punch[[#This Row],[WeekNum]])</f>
        <v>0.71875</v>
      </c>
      <c r="G483" s="226" t="s">
        <v>197</v>
      </c>
    </row>
    <row r="484" spans="1:7" ht="23.25" customHeight="1" x14ac:dyDescent="0.25">
      <c r="A484" s="182" t="s">
        <v>20</v>
      </c>
      <c r="B484" s="183">
        <v>45347.5</v>
      </c>
      <c r="C484" s="183">
        <v>45347.625</v>
      </c>
      <c r="D484" s="113">
        <f>IF(punch[[#This Row],[Time Out]]="", "-", punch[[#This Row],[Time Out]]-punch[[#This Row],[Time In]])</f>
        <v>0.125</v>
      </c>
      <c r="E484" s="178">
        <f>IF(punch[[#This Row],[Time In]]="", "-", WEEKNUM(punch[[#This Row],[Time In]],15))</f>
        <v>9</v>
      </c>
      <c r="F484" s="114" cm="1">
        <f t="array" ref="F484">getWeekTotalHours(punch[[#This Row],[Artist]], punch[[#This Row],[WeekNum]])</f>
        <v>0.77777777777373558</v>
      </c>
      <c r="G484" s="226" t="s">
        <v>198</v>
      </c>
    </row>
    <row r="485" spans="1:7" ht="23.25" customHeight="1" x14ac:dyDescent="0.25">
      <c r="A485" s="182" t="s">
        <v>20</v>
      </c>
      <c r="B485" s="183">
        <v>45348.5</v>
      </c>
      <c r="C485" s="183">
        <v>45348.541666666664</v>
      </c>
      <c r="D485" s="113">
        <f>IF(punch[[#This Row],[Time Out]]="", "-", punch[[#This Row],[Time Out]]-punch[[#This Row],[Time In]])</f>
        <v>4.1666666664241347E-2</v>
      </c>
      <c r="E485" s="178">
        <f>IF(punch[[#This Row],[Time In]]="", "-", WEEKNUM(punch[[#This Row],[Time In]],15))</f>
        <v>9</v>
      </c>
      <c r="F485" s="114" cm="1">
        <f t="array" ref="F485">getWeekTotalHours(punch[[#This Row],[Artist]], punch[[#This Row],[WeekNum]])</f>
        <v>0.77777777777373558</v>
      </c>
      <c r="G485" s="226" t="s">
        <v>199</v>
      </c>
    </row>
    <row r="486" spans="1:7" ht="23.25" customHeight="1" x14ac:dyDescent="0.25">
      <c r="A486" s="182" t="s">
        <v>20</v>
      </c>
      <c r="B486" s="183">
        <v>45349.583333333336</v>
      </c>
      <c r="C486" s="183">
        <v>45349.666666666664</v>
      </c>
      <c r="D486" s="113">
        <f>IF(punch[[#This Row],[Time Out]]="", "-", punch[[#This Row],[Time Out]]-punch[[#This Row],[Time In]])</f>
        <v>8.3333333328482695E-2</v>
      </c>
      <c r="E486" s="178">
        <f>IF(punch[[#This Row],[Time In]]="", "-", WEEKNUM(punch[[#This Row],[Time In]],15))</f>
        <v>9</v>
      </c>
      <c r="F486" s="114" cm="1">
        <f t="array" ref="F486">getWeekTotalHours(punch[[#This Row],[Artist]], punch[[#This Row],[WeekNum]])</f>
        <v>0.77777777777373558</v>
      </c>
      <c r="G486" s="226" t="s">
        <v>200</v>
      </c>
    </row>
    <row r="487" spans="1:7" ht="23.25" customHeight="1" x14ac:dyDescent="0.25">
      <c r="A487" s="182" t="s">
        <v>20</v>
      </c>
      <c r="B487" s="183">
        <v>45350.416666666664</v>
      </c>
      <c r="C487" s="183">
        <v>45350.5</v>
      </c>
      <c r="D487" s="113">
        <f>IF(punch[[#This Row],[Time Out]]="", "-", punch[[#This Row],[Time Out]]-punch[[#This Row],[Time In]])</f>
        <v>8.3333333335758653E-2</v>
      </c>
      <c r="E487" s="178">
        <f>IF(punch[[#This Row],[Time In]]="", "-", WEEKNUM(punch[[#This Row],[Time In]],15))</f>
        <v>9</v>
      </c>
      <c r="F487" s="267" cm="1">
        <f t="array" ref="F487">getWeekTotalHours(punch[[#This Row],[Artist]], punch[[#This Row],[WeekNum]])</f>
        <v>0.77777777777373558</v>
      </c>
      <c r="G487" s="226" t="s">
        <v>200</v>
      </c>
    </row>
    <row r="488" spans="1:7" ht="23.25" customHeight="1" x14ac:dyDescent="0.25">
      <c r="A488" s="182" t="s">
        <v>20</v>
      </c>
      <c r="B488" s="183">
        <v>45351.375</v>
      </c>
      <c r="C488" s="183">
        <v>45351.5</v>
      </c>
      <c r="D488" s="113">
        <f>IF(punch[[#This Row],[Time Out]]="", "-", punch[[#This Row],[Time Out]]-punch[[#This Row],[Time In]])</f>
        <v>0.125</v>
      </c>
      <c r="E488" s="178">
        <f>IF(punch[[#This Row],[Time In]]="", "-", WEEKNUM(punch[[#This Row],[Time In]],15))</f>
        <v>9</v>
      </c>
      <c r="F488" s="114" cm="1">
        <f t="array" ref="F488">getWeekTotalHours(punch[[#This Row],[Artist]], punch[[#This Row],[WeekNum]])</f>
        <v>0.77777777777373558</v>
      </c>
      <c r="G488" s="226" t="s">
        <v>201</v>
      </c>
    </row>
    <row r="489" spans="1:7" ht="23.25" customHeight="1" x14ac:dyDescent="0.25">
      <c r="A489" s="182" t="s">
        <v>20</v>
      </c>
      <c r="B489" s="183">
        <v>45351.583333333336</v>
      </c>
      <c r="C489" s="183">
        <v>45351.625</v>
      </c>
      <c r="D489" s="113">
        <f>IF(punch[[#This Row],[Time Out]]="", "-", punch[[#This Row],[Time Out]]-punch[[#This Row],[Time In]])</f>
        <v>4.1666666664241347E-2</v>
      </c>
      <c r="E489" s="178">
        <f>IF(punch[[#This Row],[Time In]]="", "-", WEEKNUM(punch[[#This Row],[Time In]],15))</f>
        <v>9</v>
      </c>
      <c r="F489" s="114" cm="1">
        <f t="array" ref="F489">getWeekTotalHours(punch[[#This Row],[Artist]], punch[[#This Row],[WeekNum]])</f>
        <v>0.77777777777373558</v>
      </c>
      <c r="G489" s="226" t="s">
        <v>201</v>
      </c>
    </row>
    <row r="490" spans="1:7" ht="23.25" customHeight="1" x14ac:dyDescent="0.25">
      <c r="A490" s="182" t="s">
        <v>20</v>
      </c>
      <c r="B490" s="183">
        <v>45351.729166666664</v>
      </c>
      <c r="C490" s="183">
        <v>45351.8125</v>
      </c>
      <c r="D490" s="113">
        <f>IF(punch[[#This Row],[Time Out]]="", "-", punch[[#This Row],[Time Out]]-punch[[#This Row],[Time In]])</f>
        <v>8.3333333335758653E-2</v>
      </c>
      <c r="E490" s="178">
        <f>IF(punch[[#This Row],[Time In]]="", "-", WEEKNUM(punch[[#This Row],[Time In]],15))</f>
        <v>9</v>
      </c>
      <c r="F490" s="267" cm="1">
        <f t="array" ref="F490">getWeekTotalHours(punch[[#This Row],[Artist]], punch[[#This Row],[WeekNum]])</f>
        <v>0.77777777777373558</v>
      </c>
      <c r="G490" s="226" t="s">
        <v>202</v>
      </c>
    </row>
    <row r="491" spans="1:7" ht="23.25" customHeight="1" x14ac:dyDescent="0.25">
      <c r="A491" s="182" t="s">
        <v>20</v>
      </c>
      <c r="B491" s="183">
        <v>45350.541666666664</v>
      </c>
      <c r="C491" s="183">
        <v>45350.666666666664</v>
      </c>
      <c r="D491" s="113">
        <f>IF(punch[[#This Row],[Time Out]]="", "-", punch[[#This Row],[Time Out]]-punch[[#This Row],[Time In]])</f>
        <v>0.125</v>
      </c>
      <c r="E491" s="178">
        <f>IF(punch[[#This Row],[Time In]]="", "-", WEEKNUM(punch[[#This Row],[Time In]],15))</f>
        <v>9</v>
      </c>
      <c r="F491" s="114" cm="1">
        <f t="array" ref="F491">getWeekTotalHours(punch[[#This Row],[Artist]], punch[[#This Row],[WeekNum]])</f>
        <v>0.77777777777373558</v>
      </c>
      <c r="G491" s="226" t="s">
        <v>202</v>
      </c>
    </row>
    <row r="492" spans="1:7" ht="23.25" customHeight="1" x14ac:dyDescent="0.25">
      <c r="A492" s="182" t="s">
        <v>20</v>
      </c>
      <c r="B492" s="183">
        <v>45351.958333333336</v>
      </c>
      <c r="C492" s="183">
        <v>45352.027777777781</v>
      </c>
      <c r="D492" s="113">
        <f>IF(punch[[#This Row],[Time Out]]="", "-", punch[[#This Row],[Time Out]]-punch[[#This Row],[Time In]])</f>
        <v>6.9444444445252884E-2</v>
      </c>
      <c r="E492" s="178">
        <f>IF(punch[[#This Row],[Time In]]="", "-", WEEKNUM(punch[[#This Row],[Time In]],15))</f>
        <v>9</v>
      </c>
      <c r="F492" s="114" cm="1">
        <f t="array" ref="F492">getWeekTotalHours(punch[[#This Row],[Artist]], punch[[#This Row],[WeekNum]])</f>
        <v>0.77777777777373558</v>
      </c>
      <c r="G492" s="226" t="s">
        <v>201</v>
      </c>
    </row>
    <row r="493" spans="1:7" ht="23.25" customHeight="1" x14ac:dyDescent="0.25">
      <c r="A493" s="182" t="s">
        <v>20</v>
      </c>
      <c r="B493" s="183">
        <v>45352.5</v>
      </c>
      <c r="C493" s="183">
        <v>45352.510416666664</v>
      </c>
      <c r="D493" s="113">
        <f>IF(punch[[#This Row],[Time Out]]="", "-", punch[[#This Row],[Time Out]]-punch[[#This Row],[Time In]])</f>
        <v>1.0416666664241347E-2</v>
      </c>
      <c r="E493" s="178">
        <f>IF(punch[[#This Row],[Time In]]="", "-", WEEKNUM(punch[[#This Row],[Time In]],15))</f>
        <v>10</v>
      </c>
      <c r="F493" s="114" cm="1">
        <f t="array" ref="F493">getWeekTotalHours(punch[[#This Row],[Artist]], punch[[#This Row],[WeekNum]])</f>
        <v>0.80138888888177462</v>
      </c>
      <c r="G493" s="226" t="s">
        <v>203</v>
      </c>
    </row>
    <row r="494" spans="1:7" ht="23.25" customHeight="1" x14ac:dyDescent="0.25">
      <c r="A494" s="182" t="s">
        <v>20</v>
      </c>
      <c r="B494" s="183">
        <v>45352.583333333336</v>
      </c>
      <c r="C494" s="183">
        <v>45352.666666666664</v>
      </c>
      <c r="D494" s="113">
        <f>IF(punch[[#This Row],[Time Out]]="", "-", punch[[#This Row],[Time Out]]-punch[[#This Row],[Time In]])</f>
        <v>8.3333333328482695E-2</v>
      </c>
      <c r="E494" s="178">
        <f>IF(punch[[#This Row],[Time In]]="", "-", WEEKNUM(punch[[#This Row],[Time In]],15))</f>
        <v>10</v>
      </c>
      <c r="F494" s="114" cm="1">
        <f t="array" ref="F494">getWeekTotalHours(punch[[#This Row],[Artist]], punch[[#This Row],[WeekNum]])</f>
        <v>0.80138888888177462</v>
      </c>
      <c r="G494" s="226" t="s">
        <v>203</v>
      </c>
    </row>
    <row r="495" spans="1:7" ht="23.25" customHeight="1" x14ac:dyDescent="0.25">
      <c r="A495" s="182" t="s">
        <v>12</v>
      </c>
      <c r="B495" s="183">
        <v>45354.489583333336</v>
      </c>
      <c r="C495" s="183">
        <v>45354.556944444441</v>
      </c>
      <c r="D495" s="113">
        <f>IF(punch[[#This Row],[Time Out]]="", "-", punch[[#This Row],[Time Out]]-punch[[#This Row],[Time In]])</f>
        <v>6.7361111105128657E-2</v>
      </c>
      <c r="E495" s="178">
        <f>IF(punch[[#This Row],[Time In]]="", "-", WEEKNUM(punch[[#This Row],[Time In]],15))</f>
        <v>10</v>
      </c>
      <c r="F495" s="114" cm="1">
        <f t="array" ref="F495">getWeekTotalHours(punch[[#This Row],[Artist]], punch[[#This Row],[WeekNum]])</f>
        <v>0.3840277777708252</v>
      </c>
      <c r="G495" s="226" t="s">
        <v>204</v>
      </c>
    </row>
    <row r="496" spans="1:7" ht="23.25" customHeight="1" x14ac:dyDescent="0.25">
      <c r="A496" s="182" t="s">
        <v>12</v>
      </c>
      <c r="B496" s="183">
        <v>45354.583333333336</v>
      </c>
      <c r="C496" s="183">
        <v>45354.678472222222</v>
      </c>
      <c r="D496" s="113">
        <f>IF(punch[[#This Row],[Time Out]]="", "-", punch[[#This Row],[Time Out]]-punch[[#This Row],[Time In]])</f>
        <v>9.5138888886140194E-2</v>
      </c>
      <c r="E496" s="178">
        <f>IF(punch[[#This Row],[Time In]]="", "-", WEEKNUM(punch[[#This Row],[Time In]],15))</f>
        <v>10</v>
      </c>
      <c r="F496" s="114" cm="1">
        <f t="array" ref="F496">getWeekTotalHours(punch[[#This Row],[Artist]], punch[[#This Row],[WeekNum]])</f>
        <v>0.3840277777708252</v>
      </c>
      <c r="G496" s="226" t="s">
        <v>205</v>
      </c>
    </row>
    <row r="497" spans="1:7" ht="23.25" customHeight="1" x14ac:dyDescent="0.25">
      <c r="A497" s="182" t="s">
        <v>18</v>
      </c>
      <c r="B497" s="183">
        <v>45355.339583333334</v>
      </c>
      <c r="C497" s="183">
        <v>45355.393055555556</v>
      </c>
      <c r="D497" s="113">
        <f>IF(punch[[#This Row],[Time Out]]="", "-", punch[[#This Row],[Time Out]]-punch[[#This Row],[Time In]])</f>
        <v>5.3472222221898846E-2</v>
      </c>
      <c r="E497" s="178">
        <f>IF(punch[[#This Row],[Time In]]="", "-", WEEKNUM(punch[[#This Row],[Time In]],15))</f>
        <v>10</v>
      </c>
      <c r="F497" s="114" cm="1">
        <f t="array" ref="F497">getWeekTotalHours(punch[[#This Row],[Artist]], punch[[#This Row],[WeekNum]])</f>
        <v>1.4159722222393611</v>
      </c>
      <c r="G497" s="226"/>
    </row>
    <row r="498" spans="1:7" ht="23.25" customHeight="1" x14ac:dyDescent="0.25">
      <c r="A498" s="182" t="s">
        <v>16</v>
      </c>
      <c r="B498" s="183">
        <v>45355.408333333333</v>
      </c>
      <c r="C498" s="183">
        <v>45355.563888888886</v>
      </c>
      <c r="D498" s="113">
        <f>IF(punch[[#This Row],[Time Out]]="", "-", punch[[#This Row],[Time Out]]-punch[[#This Row],[Time In]])</f>
        <v>0.15555555555329192</v>
      </c>
      <c r="E498" s="178">
        <f>IF(punch[[#This Row],[Time In]]="", "-", WEEKNUM(punch[[#This Row],[Time In]],15))</f>
        <v>10</v>
      </c>
      <c r="F498" s="114" cm="1">
        <f t="array" ref="F498">getWeekTotalHours(punch[[#This Row],[Artist]], punch[[#This Row],[WeekNum]])</f>
        <v>1.2979166666700621</v>
      </c>
      <c r="G498" s="226" t="s">
        <v>206</v>
      </c>
    </row>
    <row r="499" spans="1:7" ht="23.25" customHeight="1" x14ac:dyDescent="0.25">
      <c r="A499" s="182" t="s">
        <v>18</v>
      </c>
      <c r="B499" s="183">
        <v>45355.414583333331</v>
      </c>
      <c r="C499" s="183">
        <v>45355.748611111114</v>
      </c>
      <c r="D499" s="113">
        <f>IF(punch[[#This Row],[Time Out]]="", "-", punch[[#This Row],[Time Out]]-punch[[#This Row],[Time In]])</f>
        <v>0.33402777778246673</v>
      </c>
      <c r="E499" s="178">
        <f>IF(punch[[#This Row],[Time In]]="", "-", WEEKNUM(punch[[#This Row],[Time In]],15))</f>
        <v>10</v>
      </c>
      <c r="F499" s="114" cm="1">
        <f t="array" ref="F499">getWeekTotalHours(punch[[#This Row],[Artist]], punch[[#This Row],[WeekNum]])</f>
        <v>1.4159722222393611</v>
      </c>
      <c r="G499" s="226" t="s">
        <v>207</v>
      </c>
    </row>
    <row r="500" spans="1:7" ht="23.25" customHeight="1" x14ac:dyDescent="0.25">
      <c r="A500" s="182" t="s">
        <v>16</v>
      </c>
      <c r="B500" s="183">
        <v>45355.885416666664</v>
      </c>
      <c r="C500" s="183">
        <v>45355.927083333336</v>
      </c>
      <c r="D500" s="113">
        <f>IF(punch[[#This Row],[Time Out]]="", "-", punch[[#This Row],[Time Out]]-punch[[#This Row],[Time In]])</f>
        <v>4.1666666671517305E-2</v>
      </c>
      <c r="E500" s="178">
        <f>IF(punch[[#This Row],[Time In]]="", "-", WEEKNUM(punch[[#This Row],[Time In]],15))</f>
        <v>10</v>
      </c>
      <c r="F500" s="114" cm="1">
        <f t="array" ref="F500">getWeekTotalHours(punch[[#This Row],[Artist]], punch[[#This Row],[WeekNum]])</f>
        <v>1.2979166666700621</v>
      </c>
      <c r="G500" s="226" t="s">
        <v>208</v>
      </c>
    </row>
    <row r="501" spans="1:7" ht="23.25" customHeight="1" x14ac:dyDescent="0.25">
      <c r="A501" s="182" t="s">
        <v>18</v>
      </c>
      <c r="B501" s="183">
        <v>45356.34097222222</v>
      </c>
      <c r="C501" s="183">
        <v>45356.746527777781</v>
      </c>
      <c r="D501" s="113">
        <f>IF(punch[[#This Row],[Time Out]]="", "-", punch[[#This Row],[Time Out]]-punch[[#This Row],[Time In]])</f>
        <v>0.40555555556056788</v>
      </c>
      <c r="E501" s="178">
        <f>IF(punch[[#This Row],[Time In]]="", "-", WEEKNUM(punch[[#This Row],[Time In]],15))</f>
        <v>10</v>
      </c>
      <c r="F501" s="114" cm="1">
        <f t="array" ref="F501">getWeekTotalHours(punch[[#This Row],[Artist]], punch[[#This Row],[WeekNum]])</f>
        <v>1.4159722222393611</v>
      </c>
      <c r="G501" s="226" t="s">
        <v>209</v>
      </c>
    </row>
    <row r="502" spans="1:7" ht="23.25" customHeight="1" x14ac:dyDescent="0.25">
      <c r="A502" s="182" t="s">
        <v>12</v>
      </c>
      <c r="B502" s="183">
        <v>45356.354166666664</v>
      </c>
      <c r="C502" s="183">
        <v>45356.490972222222</v>
      </c>
      <c r="D502" s="113">
        <f>IF(punch[[#This Row],[Time Out]]="", "-", punch[[#This Row],[Time Out]]-punch[[#This Row],[Time In]])</f>
        <v>0.1368055555576575</v>
      </c>
      <c r="E502" s="178">
        <f>IF(punch[[#This Row],[Time In]]="", "-", WEEKNUM(punch[[#This Row],[Time In]],15))</f>
        <v>10</v>
      </c>
      <c r="F502" s="114" cm="1">
        <f t="array" ref="F502">getWeekTotalHours(punch[[#This Row],[Artist]], punch[[#This Row],[WeekNum]])</f>
        <v>0.3840277777708252</v>
      </c>
      <c r="G502" s="226" t="s">
        <v>210</v>
      </c>
    </row>
    <row r="503" spans="1:7" ht="23.25" customHeight="1" x14ac:dyDescent="0.25">
      <c r="A503" s="182" t="s">
        <v>16</v>
      </c>
      <c r="B503" s="183">
        <v>45356.376388888886</v>
      </c>
      <c r="C503" s="183">
        <v>45356.712500000001</v>
      </c>
      <c r="D503" s="113">
        <f>IF(punch[[#This Row],[Time Out]]="", "-", punch[[#This Row],[Time Out]]-punch[[#This Row],[Time In]])</f>
        <v>0.336111111115315</v>
      </c>
      <c r="E503" s="178">
        <f>IF(punch[[#This Row],[Time In]]="", "-", WEEKNUM(punch[[#This Row],[Time In]],15))</f>
        <v>10</v>
      </c>
      <c r="F503" s="114" cm="1">
        <f t="array" ref="F503">getWeekTotalHours(punch[[#This Row],[Artist]], punch[[#This Row],[WeekNum]])</f>
        <v>1.2979166666700621</v>
      </c>
      <c r="G503" s="226"/>
    </row>
    <row r="504" spans="1:7" ht="23.25" customHeight="1" x14ac:dyDescent="0.25">
      <c r="A504" s="182" t="s">
        <v>16</v>
      </c>
      <c r="B504" s="183">
        <v>45357.416666666664</v>
      </c>
      <c r="C504" s="183">
        <v>45357.46597222222</v>
      </c>
      <c r="D504" s="113">
        <f>IF(punch[[#This Row],[Time Out]]="", "-", punch[[#This Row],[Time Out]]-punch[[#This Row],[Time In]])</f>
        <v>4.9305555556202307E-2</v>
      </c>
      <c r="E504" s="178">
        <f>IF(punch[[#This Row],[Time In]]="", "-", WEEKNUM(punch[[#This Row],[Time In]],15))</f>
        <v>10</v>
      </c>
      <c r="F504" s="114" cm="1">
        <f t="array" ref="F504">getWeekTotalHours(punch[[#This Row],[Artist]], punch[[#This Row],[WeekNum]])</f>
        <v>1.2979166666700621</v>
      </c>
      <c r="G504" s="226"/>
    </row>
    <row r="505" spans="1:7" ht="23.25" customHeight="1" x14ac:dyDescent="0.25">
      <c r="A505" s="182" t="s">
        <v>16</v>
      </c>
      <c r="B505" s="183">
        <v>45357.484722222223</v>
      </c>
      <c r="C505" s="183">
        <v>45357.784722222219</v>
      </c>
      <c r="D505" s="113">
        <f>IF(punch[[#This Row],[Time Out]]="", "-", punch[[#This Row],[Time Out]]-punch[[#This Row],[Time In]])</f>
        <v>0.29999999999563443</v>
      </c>
      <c r="E505" s="178">
        <f>IF(punch[[#This Row],[Time In]]="", "-", WEEKNUM(punch[[#This Row],[Time In]],15))</f>
        <v>10</v>
      </c>
      <c r="F505" s="114" cm="1">
        <f t="array" ref="F505">getWeekTotalHours(punch[[#This Row],[Artist]], punch[[#This Row],[WeekNum]])</f>
        <v>1.2979166666700621</v>
      </c>
      <c r="G505" s="226"/>
    </row>
    <row r="506" spans="1:7" ht="23.25" customHeight="1" x14ac:dyDescent="0.25">
      <c r="A506" s="182" t="s">
        <v>18</v>
      </c>
      <c r="B506" s="183">
        <v>45357.258333333331</v>
      </c>
      <c r="C506" s="183">
        <v>45357.288888888892</v>
      </c>
      <c r="D506" s="113">
        <f>IF(punch[[#This Row],[Time Out]]="", "-", punch[[#This Row],[Time Out]]-punch[[#This Row],[Time In]])</f>
        <v>3.0555555560567882E-2</v>
      </c>
      <c r="E506" s="178">
        <f>IF(punch[[#This Row],[Time In]]="", "-", WEEKNUM(punch[[#This Row],[Time In]],15))</f>
        <v>10</v>
      </c>
      <c r="F506" s="114" cm="1">
        <f t="array" ref="F506">getWeekTotalHours(punch[[#This Row],[Artist]], punch[[#This Row],[WeekNum]])</f>
        <v>1.4159722222393611</v>
      </c>
      <c r="G506" s="226" t="s">
        <v>211</v>
      </c>
    </row>
    <row r="507" spans="1:7" ht="23.25" customHeight="1" x14ac:dyDescent="0.25">
      <c r="A507" s="182" t="s">
        <v>18</v>
      </c>
      <c r="B507" s="183">
        <v>45357.320833333331</v>
      </c>
      <c r="C507" s="183">
        <v>45357.661111111112</v>
      </c>
      <c r="D507" s="113">
        <f>IF(punch[[#This Row],[Time Out]]="", "-", punch[[#This Row],[Time Out]]-punch[[#This Row],[Time In]])</f>
        <v>0.34027777778101154</v>
      </c>
      <c r="E507" s="178">
        <f>IF(punch[[#This Row],[Time In]]="", "-", WEEKNUM(punch[[#This Row],[Time In]],15))</f>
        <v>10</v>
      </c>
      <c r="F507" s="114" cm="1">
        <f t="array" ref="F507">getWeekTotalHours(punch[[#This Row],[Artist]], punch[[#This Row],[WeekNum]])</f>
        <v>1.4159722222393611</v>
      </c>
      <c r="G507" s="226" t="s">
        <v>212</v>
      </c>
    </row>
    <row r="508" spans="1:7" ht="23.25" customHeight="1" x14ac:dyDescent="0.25">
      <c r="A508" s="182" t="s">
        <v>18</v>
      </c>
      <c r="B508" s="183">
        <v>45357.702777777777</v>
      </c>
      <c r="C508" s="183">
        <v>45357.857638888891</v>
      </c>
      <c r="D508" s="113">
        <f>IF(punch[[#This Row],[Time Out]]="", "-", punch[[#This Row],[Time Out]]-punch[[#This Row],[Time In]])</f>
        <v>0.15486111111385981</v>
      </c>
      <c r="E508" s="178">
        <f>IF(punch[[#This Row],[Time In]]="", "-", WEEKNUM(punch[[#This Row],[Time In]],15))</f>
        <v>10</v>
      </c>
      <c r="F508" s="114" cm="1">
        <f t="array" ref="F508">getWeekTotalHours(punch[[#This Row],[Artist]], punch[[#This Row],[WeekNum]])</f>
        <v>1.4159722222393611</v>
      </c>
      <c r="G508" s="226" t="s">
        <v>213</v>
      </c>
    </row>
    <row r="509" spans="1:7" ht="23.25" customHeight="1" x14ac:dyDescent="0.25">
      <c r="A509" s="182" t="s">
        <v>18</v>
      </c>
      <c r="B509" s="183">
        <v>45358.337500000001</v>
      </c>
      <c r="C509" s="183">
        <v>45358.406944444447</v>
      </c>
      <c r="D509" s="113">
        <f>IF(punch[[#This Row],[Time Out]]="", "-", punch[[#This Row],[Time Out]]-punch[[#This Row],[Time In]])</f>
        <v>6.9444444445252884E-2</v>
      </c>
      <c r="E509" s="178">
        <f>IF(punch[[#This Row],[Time In]]="", "-", WEEKNUM(punch[[#This Row],[Time In]],15))</f>
        <v>10</v>
      </c>
      <c r="F509" s="114" cm="1">
        <f t="array" ref="F509">getWeekTotalHours(punch[[#This Row],[Artist]], punch[[#This Row],[WeekNum]])</f>
        <v>1.4159722222393611</v>
      </c>
      <c r="G509" s="226" t="s">
        <v>214</v>
      </c>
    </row>
    <row r="510" spans="1:7" ht="23.25" customHeight="1" x14ac:dyDescent="0.25">
      <c r="A510" s="182" t="s">
        <v>16</v>
      </c>
      <c r="B510" s="183">
        <v>45358.34375</v>
      </c>
      <c r="C510" s="183">
        <v>45358.357638888891</v>
      </c>
      <c r="D510" s="113">
        <f>IF(punch[[#This Row],[Time Out]]="", "-", punch[[#This Row],[Time Out]]-punch[[#This Row],[Time In]])</f>
        <v>1.3888888890505768E-2</v>
      </c>
      <c r="E510" s="178">
        <f>IF(punch[[#This Row],[Time In]]="", "-", WEEKNUM(punch[[#This Row],[Time In]],15))</f>
        <v>10</v>
      </c>
      <c r="F510" s="114" cm="1">
        <f t="array" ref="F510">getWeekTotalHours(punch[[#This Row],[Artist]], punch[[#This Row],[WeekNum]])</f>
        <v>1.2979166666700621</v>
      </c>
      <c r="G510" s="226" t="s">
        <v>215</v>
      </c>
    </row>
    <row r="511" spans="1:7" ht="23.25" customHeight="1" x14ac:dyDescent="0.25">
      <c r="A511" s="182" t="s">
        <v>12</v>
      </c>
      <c r="B511" s="183">
        <v>45358.583333333336</v>
      </c>
      <c r="C511" s="183">
        <v>45358.668055555558</v>
      </c>
      <c r="D511" s="113">
        <f>IF(punch[[#This Row],[Time Out]]="", "-", punch[[#This Row],[Time Out]]-punch[[#This Row],[Time In]])</f>
        <v>8.4722222221898846E-2</v>
      </c>
      <c r="E511" s="178">
        <f>IF(punch[[#This Row],[Time In]]="", "-", WEEKNUM(punch[[#This Row],[Time In]],15))</f>
        <v>10</v>
      </c>
      <c r="F511" s="114" cm="1">
        <f t="array" ref="F511">getWeekTotalHours(punch[[#This Row],[Artist]], punch[[#This Row],[WeekNum]])</f>
        <v>0.3840277777708252</v>
      </c>
      <c r="G511" s="226" t="s">
        <v>216</v>
      </c>
    </row>
    <row r="512" spans="1:7" ht="23.25" customHeight="1" x14ac:dyDescent="0.25">
      <c r="A512" s="182" t="s">
        <v>18</v>
      </c>
      <c r="B512" s="183">
        <v>45358.643750000003</v>
      </c>
      <c r="C512" s="183">
        <v>45358.671527777777</v>
      </c>
      <c r="D512" s="113">
        <f>IF(punch[[#This Row],[Time Out]]="", "-", punch[[#This Row],[Time Out]]-punch[[#This Row],[Time In]])</f>
        <v>2.7777777773735579E-2</v>
      </c>
      <c r="E512" s="178">
        <f>IF(punch[[#This Row],[Time In]]="", "-", WEEKNUM(punch[[#This Row],[Time In]],15))</f>
        <v>10</v>
      </c>
      <c r="F512" s="114" cm="1">
        <f t="array" ref="F512">getWeekTotalHours(punch[[#This Row],[Artist]], punch[[#This Row],[WeekNum]])</f>
        <v>1.4159722222393611</v>
      </c>
      <c r="G512" s="226" t="s">
        <v>217</v>
      </c>
    </row>
    <row r="513" spans="1:7" ht="23.25" customHeight="1" x14ac:dyDescent="0.25">
      <c r="A513" s="182" t="s">
        <v>16</v>
      </c>
      <c r="B513" s="183">
        <v>45358.37222222222</v>
      </c>
      <c r="C513" s="183">
        <v>45358.720833333333</v>
      </c>
      <c r="D513" s="113">
        <f>IF(punch[[#This Row],[Time Out]]="", "-", punch[[#This Row],[Time Out]]-punch[[#This Row],[Time In]])</f>
        <v>0.34861111111240461</v>
      </c>
      <c r="E513" s="178">
        <f>IF(punch[[#This Row],[Time In]]="", "-", WEEKNUM(punch[[#This Row],[Time In]],15))</f>
        <v>10</v>
      </c>
      <c r="F513" s="114" cm="1">
        <f t="array" ref="F513">getWeekTotalHours(punch[[#This Row],[Artist]], punch[[#This Row],[WeekNum]])</f>
        <v>1.2979166666700621</v>
      </c>
      <c r="G513" s="226" t="s">
        <v>218</v>
      </c>
    </row>
    <row r="514" spans="1:7" ht="23.25" customHeight="1" x14ac:dyDescent="0.25">
      <c r="A514" s="182" t="s">
        <v>14</v>
      </c>
      <c r="B514" s="183">
        <v>45357.479166666664</v>
      </c>
      <c r="C514" s="183">
        <v>45357.541666666664</v>
      </c>
      <c r="D514" s="113">
        <f>IF(punch[[#This Row],[Time Out]]="", "-", punch[[#This Row],[Time Out]]-punch[[#This Row],[Time In]])</f>
        <v>6.25E-2</v>
      </c>
      <c r="E514" s="178">
        <f>IF(punch[[#This Row],[Time In]]="", "-", WEEKNUM(punch[[#This Row],[Time In]],15))</f>
        <v>10</v>
      </c>
      <c r="F514" s="114" cm="1">
        <f t="array" ref="F514">getWeekTotalHours(punch[[#This Row],[Artist]], punch[[#This Row],[WeekNum]])</f>
        <v>0.15833333333284827</v>
      </c>
      <c r="G514" s="226" t="s">
        <v>219</v>
      </c>
    </row>
    <row r="515" spans="1:7" ht="23.25" customHeight="1" x14ac:dyDescent="0.25">
      <c r="A515" s="182" t="s">
        <v>14</v>
      </c>
      <c r="B515" s="183">
        <v>45358.770833333336</v>
      </c>
      <c r="C515" s="183">
        <v>45358.866666666669</v>
      </c>
      <c r="D515" s="113">
        <f>IF(punch[[#This Row],[Time Out]]="", "-", punch[[#This Row],[Time Out]]-punch[[#This Row],[Time In]])</f>
        <v>9.5833333332848269E-2</v>
      </c>
      <c r="E515" s="178">
        <f>IF(punch[[#This Row],[Time In]]="", "-", WEEKNUM(punch[[#This Row],[Time In]],15))</f>
        <v>10</v>
      </c>
      <c r="F515" s="114" cm="1">
        <f t="array" ref="F515">getWeekTotalHours(punch[[#This Row],[Artist]], punch[[#This Row],[WeekNum]])</f>
        <v>0.15833333333284827</v>
      </c>
      <c r="G515" s="226" t="s">
        <v>219</v>
      </c>
    </row>
    <row r="516" spans="1:7" ht="23.25" customHeight="1" x14ac:dyDescent="0.25">
      <c r="A516" s="182" t="s">
        <v>16</v>
      </c>
      <c r="B516" s="270">
        <v>45358.904166666667</v>
      </c>
      <c r="C516" s="270">
        <v>45358.956944444442</v>
      </c>
      <c r="D516" s="113">
        <f>IF(punch[[#This Row],[Time Out]]="", "-", punch[[#This Row],[Time Out]]-punch[[#This Row],[Time In]])</f>
        <v>5.2777777775190771E-2</v>
      </c>
      <c r="E516" s="178">
        <f>IF(punch[[#This Row],[Time In]]="", "-", WEEKNUM(punch[[#This Row],[Time In]],15))</f>
        <v>10</v>
      </c>
      <c r="F516" s="114" cm="1">
        <f t="array" ref="F516">getWeekTotalHours(punch[[#This Row],[Artist]], punch[[#This Row],[WeekNum]])</f>
        <v>1.2979166666700621</v>
      </c>
      <c r="G516" s="226" t="s">
        <v>220</v>
      </c>
    </row>
    <row r="517" spans="1:7" ht="23.25" customHeight="1" x14ac:dyDescent="0.25">
      <c r="A517" s="182" t="s">
        <v>20</v>
      </c>
      <c r="B517" s="183">
        <v>45354.666666666664</v>
      </c>
      <c r="C517" s="183">
        <v>45354.75</v>
      </c>
      <c r="D517" s="113">
        <f>IF(punch[[#This Row],[Time Out]]="", "-", punch[[#This Row],[Time Out]]-punch[[#This Row],[Time In]])</f>
        <v>8.3333333335758653E-2</v>
      </c>
      <c r="E517" s="178">
        <f>IF(punch[[#This Row],[Time In]]="", "-", WEEKNUM(punch[[#This Row],[Time In]],15))</f>
        <v>10</v>
      </c>
      <c r="F517" s="114" cm="1">
        <f t="array" ref="F517">getWeekTotalHours(punch[[#This Row],[Artist]], punch[[#This Row],[WeekNum]])</f>
        <v>0.80138888888177462</v>
      </c>
      <c r="G517" s="226" t="s">
        <v>221</v>
      </c>
    </row>
    <row r="518" spans="1:7" ht="23.25" customHeight="1" x14ac:dyDescent="0.25">
      <c r="A518" s="182" t="s">
        <v>20</v>
      </c>
      <c r="B518" s="183">
        <v>45355.458333333336</v>
      </c>
      <c r="C518" s="183">
        <v>45355.5</v>
      </c>
      <c r="D518" s="113">
        <f>IF(punch[[#This Row],[Time Out]]="", "-", punch[[#This Row],[Time Out]]-punch[[#This Row],[Time In]])</f>
        <v>4.1666666664241347E-2</v>
      </c>
      <c r="E518" s="178">
        <f>IF(punch[[#This Row],[Time In]]="", "-", WEEKNUM(punch[[#This Row],[Time In]],15))</f>
        <v>10</v>
      </c>
      <c r="F518" s="114" cm="1">
        <f t="array" ref="F518">getWeekTotalHours(punch[[#This Row],[Artist]], punch[[#This Row],[WeekNum]])</f>
        <v>0.80138888888177462</v>
      </c>
      <c r="G518" s="226" t="s">
        <v>221</v>
      </c>
    </row>
    <row r="519" spans="1:7" ht="23.25" customHeight="1" x14ac:dyDescent="0.25">
      <c r="A519" s="182" t="s">
        <v>20</v>
      </c>
      <c r="B519" s="183">
        <v>45355.541666666664</v>
      </c>
      <c r="C519" s="183">
        <v>45355.625</v>
      </c>
      <c r="D519" s="113">
        <f>IF(punch[[#This Row],[Time Out]]="", "-", punch[[#This Row],[Time Out]]-punch[[#This Row],[Time In]])</f>
        <v>8.3333333335758653E-2</v>
      </c>
      <c r="E519" s="178">
        <f>IF(punch[[#This Row],[Time In]]="", "-", WEEKNUM(punch[[#This Row],[Time In]],15))</f>
        <v>10</v>
      </c>
      <c r="F519" s="114" cm="1">
        <f t="array" ref="F519">getWeekTotalHours(punch[[#This Row],[Artist]], punch[[#This Row],[WeekNum]])</f>
        <v>0.80138888888177462</v>
      </c>
      <c r="G519" s="226" t="s">
        <v>221</v>
      </c>
    </row>
    <row r="520" spans="1:7" ht="23.25" customHeight="1" x14ac:dyDescent="0.25">
      <c r="A520" s="182" t="s">
        <v>20</v>
      </c>
      <c r="B520" s="183">
        <v>45356.5</v>
      </c>
      <c r="C520" s="183">
        <v>45356.666666666664</v>
      </c>
      <c r="D520" s="113">
        <f>IF(punch[[#This Row],[Time Out]]="", "-", punch[[#This Row],[Time Out]]-punch[[#This Row],[Time In]])</f>
        <v>0.16666666666424135</v>
      </c>
      <c r="E520" s="178">
        <f>IF(punch[[#This Row],[Time In]]="", "-", WEEKNUM(punch[[#This Row],[Time In]],15))</f>
        <v>10</v>
      </c>
      <c r="F520" s="114" cm="1">
        <f t="array" ref="F520">getWeekTotalHours(punch[[#This Row],[Artist]], punch[[#This Row],[WeekNum]])</f>
        <v>0.80138888888177462</v>
      </c>
      <c r="G520" s="226" t="s">
        <v>221</v>
      </c>
    </row>
    <row r="521" spans="1:7" ht="23.25" customHeight="1" x14ac:dyDescent="0.25">
      <c r="A521" s="182" t="s">
        <v>20</v>
      </c>
      <c r="B521" s="183">
        <v>45357.416666666664</v>
      </c>
      <c r="C521" s="183">
        <v>45357.583333333336</v>
      </c>
      <c r="D521" s="113">
        <f>IF(punch[[#This Row],[Time Out]]="", "-", punch[[#This Row],[Time Out]]-punch[[#This Row],[Time In]])</f>
        <v>0.16666666667151731</v>
      </c>
      <c r="E521" s="178">
        <f>IF(punch[[#This Row],[Time In]]="", "-", WEEKNUM(punch[[#This Row],[Time In]],15))</f>
        <v>10</v>
      </c>
      <c r="F521" s="114" cm="1">
        <f t="array" ref="F521">getWeekTotalHours(punch[[#This Row],[Artist]], punch[[#This Row],[WeekNum]])</f>
        <v>0.80138888888177462</v>
      </c>
      <c r="G521" s="226" t="s">
        <v>222</v>
      </c>
    </row>
    <row r="522" spans="1:7" ht="23.25" customHeight="1" x14ac:dyDescent="0.25">
      <c r="A522" s="182" t="s">
        <v>20</v>
      </c>
      <c r="B522" s="183">
        <v>45357.833333333336</v>
      </c>
      <c r="C522" s="183">
        <v>45357.999305555553</v>
      </c>
      <c r="D522" s="113">
        <f>IF(punch[[#This Row],[Time Out]]="", "-", punch[[#This Row],[Time Out]]-punch[[#This Row],[Time In]])</f>
        <v>0.16597222221753327</v>
      </c>
      <c r="E522" s="178">
        <f>IF(punch[[#This Row],[Time In]]="", "-", WEEKNUM(punch[[#This Row],[Time In]],15))</f>
        <v>10</v>
      </c>
      <c r="F522" s="114" cm="1">
        <f t="array" ref="F522">getWeekTotalHours(punch[[#This Row],[Artist]], punch[[#This Row],[WeekNum]])</f>
        <v>0.80138888888177462</v>
      </c>
      <c r="G522" s="226" t="s">
        <v>222</v>
      </c>
    </row>
    <row r="523" spans="1:7" ht="23.25" customHeight="1" x14ac:dyDescent="0.25">
      <c r="A523" s="182" t="s">
        <v>12</v>
      </c>
      <c r="B523" s="183">
        <v>45359.364583333336</v>
      </c>
      <c r="C523" s="183">
        <v>45359.493750000001</v>
      </c>
      <c r="D523" s="113">
        <f>IF(punch[[#This Row],[Time Out]]="", "-", punch[[#This Row],[Time Out]]-punch[[#This Row],[Time In]])</f>
        <v>0.12916666666569654</v>
      </c>
      <c r="E523" s="178">
        <f>IF(punch[[#This Row],[Time In]]="", "-", WEEKNUM(punch[[#This Row],[Time In]],15))</f>
        <v>11</v>
      </c>
      <c r="F523" s="114" cm="1">
        <f t="array" ref="F523">getWeekTotalHours(punch[[#This Row],[Artist]], punch[[#This Row],[WeekNum]])</f>
        <v>0.70138888888322981</v>
      </c>
      <c r="G523" s="226" t="s">
        <v>223</v>
      </c>
    </row>
    <row r="524" spans="1:7" ht="23.25" customHeight="1" x14ac:dyDescent="0.25">
      <c r="A524" s="182" t="s">
        <v>18</v>
      </c>
      <c r="B524" s="183">
        <v>45359.338194444441</v>
      </c>
      <c r="C524" s="183">
        <v>45359.570833333331</v>
      </c>
      <c r="D524" s="113">
        <f>IF(punch[[#This Row],[Time Out]]="", "-", punch[[#This Row],[Time Out]]-punch[[#This Row],[Time In]])</f>
        <v>0.23263888889050577</v>
      </c>
      <c r="E524" s="178">
        <f>IF(punch[[#This Row],[Time In]]="", "-", WEEKNUM(punch[[#This Row],[Time In]],15))</f>
        <v>11</v>
      </c>
      <c r="F524" s="114" cm="1">
        <f t="array" ref="F524">getWeekTotalHours(punch[[#This Row],[Artist]], punch[[#This Row],[WeekNum]])</f>
        <v>1.5923611111211358</v>
      </c>
      <c r="G524" s="226" t="s">
        <v>224</v>
      </c>
    </row>
    <row r="525" spans="1:7" ht="23.25" customHeight="1" x14ac:dyDescent="0.25">
      <c r="A525" s="182" t="s">
        <v>20</v>
      </c>
      <c r="B525" s="183">
        <v>45359.277777777781</v>
      </c>
      <c r="C525" s="183">
        <v>45359.354166666664</v>
      </c>
      <c r="D525" s="113">
        <f>IF(punch[[#This Row],[Time Out]]="", "-", punch[[#This Row],[Time Out]]-punch[[#This Row],[Time In]])</f>
        <v>7.6388888883229811E-2</v>
      </c>
      <c r="E525" s="178">
        <f>IF(punch[[#This Row],[Time In]]="", "-", WEEKNUM(punch[[#This Row],[Time In]],15))</f>
        <v>11</v>
      </c>
      <c r="F525" s="114" cm="1">
        <f t="array" ref="F525">getWeekTotalHours(punch[[#This Row],[Artist]], punch[[#This Row],[WeekNum]])</f>
        <v>1.3020833333357587</v>
      </c>
      <c r="G525" s="226" t="s">
        <v>222</v>
      </c>
    </row>
    <row r="526" spans="1:7" ht="23.25" customHeight="1" x14ac:dyDescent="0.25">
      <c r="A526" s="271" t="s">
        <v>20</v>
      </c>
      <c r="B526" s="183">
        <v>45359.354166666664</v>
      </c>
      <c r="C526" s="183">
        <v>45359.416666666664</v>
      </c>
      <c r="D526" s="113">
        <f>IF(punch[[#This Row],[Time Out]]="", "-", punch[[#This Row],[Time Out]]-punch[[#This Row],[Time In]])</f>
        <v>6.25E-2</v>
      </c>
      <c r="E526" s="178">
        <f>IF(punch[[#This Row],[Time In]]="", "-", WEEKNUM(punch[[#This Row],[Time In]],15))</f>
        <v>11</v>
      </c>
      <c r="F526" s="114" cm="1">
        <f t="array" ref="F526">getWeekTotalHours(punch[[#This Row],[Artist]], punch[[#This Row],[WeekNum]])</f>
        <v>1.3020833333357587</v>
      </c>
      <c r="G526" s="226" t="s">
        <v>225</v>
      </c>
    </row>
    <row r="527" spans="1:7" ht="23.25" customHeight="1" x14ac:dyDescent="0.25">
      <c r="A527" s="182" t="s">
        <v>16</v>
      </c>
      <c r="B527" s="183">
        <v>45359.416666666664</v>
      </c>
      <c r="C527" s="183">
        <v>45359.7</v>
      </c>
      <c r="D527" s="113">
        <f>IF(punch[[#This Row],[Time Out]]="", "-", punch[[#This Row],[Time Out]]-punch[[#This Row],[Time In]])</f>
        <v>0.28333333333284827</v>
      </c>
      <c r="E527" s="178">
        <f>IF(punch[[#This Row],[Time In]]="", "-", WEEKNUM(punch[[#This Row],[Time In]],15))</f>
        <v>11</v>
      </c>
      <c r="F527" s="114" cm="1">
        <f t="array" ref="F527">getWeekTotalHours(punch[[#This Row],[Artist]], punch[[#This Row],[WeekNum]])</f>
        <v>1.8965277777751908</v>
      </c>
      <c r="G527" s="226"/>
    </row>
    <row r="528" spans="1:7" ht="23.25" customHeight="1" x14ac:dyDescent="0.25">
      <c r="A528" s="182" t="s">
        <v>20</v>
      </c>
      <c r="B528" s="183">
        <v>45359.4375</v>
      </c>
      <c r="C528" s="183">
        <v>45359.458333333336</v>
      </c>
      <c r="D528" s="113">
        <f>IF(punch[[#This Row],[Time Out]]="", "-", punch[[#This Row],[Time Out]]-punch[[#This Row],[Time In]])</f>
        <v>2.0833333335758653E-2</v>
      </c>
      <c r="E528" s="178">
        <f>IF(punch[[#This Row],[Time In]]="", "-", WEEKNUM(punch[[#This Row],[Time In]],15))</f>
        <v>11</v>
      </c>
      <c r="F528" s="114" cm="1">
        <f t="array" ref="F528">getWeekTotalHours(punch[[#This Row],[Artist]], punch[[#This Row],[WeekNum]])</f>
        <v>1.3020833333357587</v>
      </c>
      <c r="G528" s="226" t="s">
        <v>226</v>
      </c>
    </row>
    <row r="529" spans="1:7" ht="23.25" customHeight="1" x14ac:dyDescent="0.25">
      <c r="A529" s="182" t="s">
        <v>18</v>
      </c>
      <c r="B529" s="183">
        <v>45359.635416666664</v>
      </c>
      <c r="C529" s="183">
        <v>45359.765277777777</v>
      </c>
      <c r="D529" s="113">
        <f>IF(punch[[#This Row],[Time Out]]="", "-", punch[[#This Row],[Time Out]]-punch[[#This Row],[Time In]])</f>
        <v>0.12986111111240461</v>
      </c>
      <c r="E529" s="178">
        <f>IF(punch[[#This Row],[Time In]]="", "-", WEEKNUM(punch[[#This Row],[Time In]],15))</f>
        <v>11</v>
      </c>
      <c r="F529" s="114" cm="1">
        <f t="array" ref="F529">getWeekTotalHours(punch[[#This Row],[Artist]], punch[[#This Row],[WeekNum]])</f>
        <v>1.5923611111211358</v>
      </c>
      <c r="G529" s="226" t="s">
        <v>227</v>
      </c>
    </row>
    <row r="530" spans="1:7" ht="23.25" customHeight="1" x14ac:dyDescent="0.25">
      <c r="A530" s="182" t="s">
        <v>20</v>
      </c>
      <c r="B530" s="183">
        <v>45359.604166666664</v>
      </c>
      <c r="C530" s="183">
        <v>45359.708333333336</v>
      </c>
      <c r="D530" s="113">
        <f>IF(punch[[#This Row],[Time Out]]="", "-", punch[[#This Row],[Time Out]]-punch[[#This Row],[Time In]])</f>
        <v>0.10416666667151731</v>
      </c>
      <c r="E530" s="178">
        <f>IF(punch[[#This Row],[Time In]]="", "-", WEEKNUM(punch[[#This Row],[Time In]],15))</f>
        <v>11</v>
      </c>
      <c r="F530" s="114" cm="1">
        <f t="array" ref="F530">getWeekTotalHours(punch[[#This Row],[Artist]], punch[[#This Row],[WeekNum]])</f>
        <v>1.3020833333357587</v>
      </c>
      <c r="G530" s="226" t="s">
        <v>221</v>
      </c>
    </row>
    <row r="531" spans="1:7" ht="23.25" customHeight="1" x14ac:dyDescent="0.25">
      <c r="A531" s="182" t="s">
        <v>16</v>
      </c>
      <c r="B531" s="183">
        <v>45359.965277777781</v>
      </c>
      <c r="C531" s="183">
        <v>45359.979166666664</v>
      </c>
      <c r="D531" s="113">
        <f>IF(punch[[#This Row],[Time Out]]="", "-", punch[[#This Row],[Time Out]]-punch[[#This Row],[Time In]])</f>
        <v>1.3888888883229811E-2</v>
      </c>
      <c r="E531" s="178">
        <f>IF(punch[[#This Row],[Time In]]="", "-", WEEKNUM(punch[[#This Row],[Time In]],15))</f>
        <v>11</v>
      </c>
      <c r="F531" s="114" cm="1">
        <f t="array" ref="F531">getWeekTotalHours(punch[[#This Row],[Artist]], punch[[#This Row],[WeekNum]])</f>
        <v>1.8965277777751908</v>
      </c>
      <c r="G531" s="226" t="s">
        <v>228</v>
      </c>
    </row>
    <row r="532" spans="1:7" ht="23.25" customHeight="1" x14ac:dyDescent="0.25">
      <c r="A532" s="182" t="s">
        <v>18</v>
      </c>
      <c r="B532" s="183">
        <v>45360.343055555553</v>
      </c>
      <c r="C532" s="183">
        <v>45360.469444444447</v>
      </c>
      <c r="D532" s="113">
        <f>IF(punch[[#This Row],[Time Out]]="", "-", punch[[#This Row],[Time Out]]-punch[[#This Row],[Time In]])</f>
        <v>0.12638888889341615</v>
      </c>
      <c r="E532" s="178">
        <f>IF(punch[[#This Row],[Time In]]="", "-", WEEKNUM(punch[[#This Row],[Time In]],15))</f>
        <v>11</v>
      </c>
      <c r="F532" s="114" cm="1">
        <f t="array" ref="F532">getWeekTotalHours(punch[[#This Row],[Artist]], punch[[#This Row],[WeekNum]])</f>
        <v>1.5923611111211358</v>
      </c>
      <c r="G532" s="226" t="s">
        <v>229</v>
      </c>
    </row>
    <row r="533" spans="1:7" ht="23.25" customHeight="1" x14ac:dyDescent="0.25">
      <c r="A533" s="182" t="s">
        <v>18</v>
      </c>
      <c r="B533" s="183">
        <v>45360.510416666664</v>
      </c>
      <c r="C533" s="183">
        <v>45360.590277777781</v>
      </c>
      <c r="D533" s="113">
        <f>IF(punch[[#This Row],[Time Out]]="", "-", punch[[#This Row],[Time Out]]-punch[[#This Row],[Time In]])</f>
        <v>7.9861111116770189E-2</v>
      </c>
      <c r="E533" s="178">
        <f>IF(punch[[#This Row],[Time In]]="", "-", WEEKNUM(punch[[#This Row],[Time In]],15))</f>
        <v>11</v>
      </c>
      <c r="F533" s="114" cm="1">
        <f t="array" ref="F533">getWeekTotalHours(punch[[#This Row],[Artist]], punch[[#This Row],[WeekNum]])</f>
        <v>1.5923611111211358</v>
      </c>
      <c r="G533" s="226" t="s">
        <v>230</v>
      </c>
    </row>
    <row r="534" spans="1:7" ht="23.25" customHeight="1" x14ac:dyDescent="0.25">
      <c r="A534" s="182" t="s">
        <v>16</v>
      </c>
      <c r="B534" s="183">
        <v>45360.540277777778</v>
      </c>
      <c r="C534" s="183">
        <v>45360.628472222219</v>
      </c>
      <c r="D534" s="113">
        <f>IF(punch[[#This Row],[Time Out]]="", "-", punch[[#This Row],[Time Out]]-punch[[#This Row],[Time In]])</f>
        <v>8.819444444088731E-2</v>
      </c>
      <c r="E534" s="178">
        <f>IF(punch[[#This Row],[Time In]]="", "-", WEEKNUM(punch[[#This Row],[Time In]],15))</f>
        <v>11</v>
      </c>
      <c r="F534" s="114" cm="1">
        <f t="array" ref="F534">getWeekTotalHours(punch[[#This Row],[Artist]], punch[[#This Row],[WeekNum]])</f>
        <v>1.8965277777751908</v>
      </c>
      <c r="G534" s="226" t="s">
        <v>231</v>
      </c>
    </row>
    <row r="535" spans="1:7" ht="23.25" customHeight="1" x14ac:dyDescent="0.25">
      <c r="A535" s="182" t="s">
        <v>18</v>
      </c>
      <c r="B535" s="183">
        <v>45361.375</v>
      </c>
      <c r="C535" s="183">
        <v>45361.503472222219</v>
      </c>
      <c r="D535" s="113">
        <f>IF(punch[[#This Row],[Time Out]]="", "-", punch[[#This Row],[Time Out]]-punch[[#This Row],[Time In]])</f>
        <v>0.12847222221898846</v>
      </c>
      <c r="E535" s="178">
        <f>IF(punch[[#This Row],[Time In]]="", "-", WEEKNUM(punch[[#This Row],[Time In]],15))</f>
        <v>11</v>
      </c>
      <c r="F535" s="114" cm="1">
        <f t="array" ref="F535">getWeekTotalHours(punch[[#This Row],[Artist]], punch[[#This Row],[WeekNum]])</f>
        <v>1.5923611111211358</v>
      </c>
      <c r="G535" s="226" t="s">
        <v>232</v>
      </c>
    </row>
    <row r="536" spans="1:7" ht="23.25" customHeight="1" x14ac:dyDescent="0.25">
      <c r="A536" s="182" t="s">
        <v>18</v>
      </c>
      <c r="B536" s="183">
        <v>45361.531944444447</v>
      </c>
      <c r="C536" s="183">
        <v>45361.575694444444</v>
      </c>
      <c r="D536" s="113">
        <f>IF(punch[[#This Row],[Time Out]]="", "-", punch[[#This Row],[Time Out]]-punch[[#This Row],[Time In]])</f>
        <v>4.3749999997089617E-2</v>
      </c>
      <c r="E536" s="178">
        <f>IF(punch[[#This Row],[Time In]]="", "-", WEEKNUM(punch[[#This Row],[Time In]],15))</f>
        <v>11</v>
      </c>
      <c r="F536" s="114" cm="1">
        <f t="array" ref="F536">getWeekTotalHours(punch[[#This Row],[Artist]], punch[[#This Row],[WeekNum]])</f>
        <v>1.5923611111211358</v>
      </c>
      <c r="G536" s="226" t="s">
        <v>233</v>
      </c>
    </row>
    <row r="537" spans="1:7" ht="23.25" customHeight="1" x14ac:dyDescent="0.25">
      <c r="A537" s="182" t="s">
        <v>18</v>
      </c>
      <c r="B537" s="183">
        <v>45362.372916666667</v>
      </c>
      <c r="C537" s="183">
        <v>45362.513888888891</v>
      </c>
      <c r="D537" s="113">
        <f>IF(punch[[#This Row],[Time Out]]="", "-", punch[[#This Row],[Time Out]]-punch[[#This Row],[Time In]])</f>
        <v>0.14097222222335404</v>
      </c>
      <c r="E537" s="178">
        <f>IF(punch[[#This Row],[Time In]]="", "-", WEEKNUM(punch[[#This Row],[Time In]],15))</f>
        <v>11</v>
      </c>
      <c r="F537" s="114" cm="1">
        <f t="array" ref="F537">getWeekTotalHours(punch[[#This Row],[Artist]], punch[[#This Row],[WeekNum]])</f>
        <v>1.5923611111211358</v>
      </c>
      <c r="G537" s="226" t="s">
        <v>234</v>
      </c>
    </row>
    <row r="538" spans="1:7" ht="23.25" customHeight="1" x14ac:dyDescent="0.25">
      <c r="A538" s="182" t="s">
        <v>20</v>
      </c>
      <c r="B538" s="183">
        <v>45361.541666666664</v>
      </c>
      <c r="C538" s="183">
        <v>45361.770833333336</v>
      </c>
      <c r="D538" s="113">
        <f>IF(punch[[#This Row],[Time Out]]="", "-", punch[[#This Row],[Time Out]]-punch[[#This Row],[Time In]])</f>
        <v>0.22916666667151731</v>
      </c>
      <c r="E538" s="178">
        <f>IF(punch[[#This Row],[Time In]]="", "-", WEEKNUM(punch[[#This Row],[Time In]],15))</f>
        <v>11</v>
      </c>
      <c r="F538" s="114" cm="1">
        <f t="array" ref="F538">getWeekTotalHours(punch[[#This Row],[Artist]], punch[[#This Row],[WeekNum]])</f>
        <v>1.3020833333357587</v>
      </c>
      <c r="G538" s="226" t="s">
        <v>221</v>
      </c>
    </row>
    <row r="539" spans="1:7" ht="23.25" customHeight="1" x14ac:dyDescent="0.25">
      <c r="A539" s="182" t="s">
        <v>20</v>
      </c>
      <c r="B539" s="183">
        <v>45362.430555555555</v>
      </c>
      <c r="C539" s="183">
        <v>45362.479166666664</v>
      </c>
      <c r="D539" s="113">
        <f>IF(punch[[#This Row],[Time Out]]="", "-", punch[[#This Row],[Time Out]]-punch[[#This Row],[Time In]])</f>
        <v>4.8611111109494232E-2</v>
      </c>
      <c r="E539" s="178">
        <f>IF(punch[[#This Row],[Time In]]="", "-", WEEKNUM(punch[[#This Row],[Time In]],15))</f>
        <v>11</v>
      </c>
      <c r="F539" s="114" cm="1">
        <f t="array" ref="F539">getWeekTotalHours(punch[[#This Row],[Artist]], punch[[#This Row],[WeekNum]])</f>
        <v>1.3020833333357587</v>
      </c>
      <c r="G539" s="226" t="s">
        <v>235</v>
      </c>
    </row>
    <row r="540" spans="1:7" ht="23.25" customHeight="1" x14ac:dyDescent="0.25">
      <c r="A540" s="182" t="s">
        <v>20</v>
      </c>
      <c r="B540" s="183">
        <v>45362.5</v>
      </c>
      <c r="C540" s="183">
        <v>45362.541666666664</v>
      </c>
      <c r="D540" s="113">
        <f>IF(punch[[#This Row],[Time Out]]="", "-", punch[[#This Row],[Time Out]]-punch[[#This Row],[Time In]])</f>
        <v>4.1666666664241347E-2</v>
      </c>
      <c r="E540" s="178">
        <f>IF(punch[[#This Row],[Time In]]="", "-", WEEKNUM(punch[[#This Row],[Time In]],15))</f>
        <v>11</v>
      </c>
      <c r="F540" s="114" cm="1">
        <f t="array" ref="F540">getWeekTotalHours(punch[[#This Row],[Artist]], punch[[#This Row],[WeekNum]])</f>
        <v>1.3020833333357587</v>
      </c>
      <c r="G540" s="226" t="s">
        <v>235</v>
      </c>
    </row>
    <row r="541" spans="1:7" ht="23.25" customHeight="1" x14ac:dyDescent="0.25">
      <c r="A541" s="182" t="s">
        <v>16</v>
      </c>
      <c r="B541" s="183">
        <v>45362.520833333336</v>
      </c>
      <c r="C541" s="183">
        <v>45362.783333333333</v>
      </c>
      <c r="D541" s="113">
        <f>IF(punch[[#This Row],[Time Out]]="", "-", punch[[#This Row],[Time Out]]-punch[[#This Row],[Time In]])</f>
        <v>0.26249999999708962</v>
      </c>
      <c r="E541" s="178">
        <f>IF(punch[[#This Row],[Time In]]="", "-", WEEKNUM(punch[[#This Row],[Time In]],15))</f>
        <v>11</v>
      </c>
      <c r="F541" s="114" cm="1">
        <f t="array" ref="F541">getWeekTotalHours(punch[[#This Row],[Artist]], punch[[#This Row],[WeekNum]])</f>
        <v>1.8965277777751908</v>
      </c>
      <c r="G541" s="226" t="s">
        <v>236</v>
      </c>
    </row>
    <row r="542" spans="1:7" ht="23.25" customHeight="1" x14ac:dyDescent="0.25">
      <c r="A542" s="182" t="s">
        <v>18</v>
      </c>
      <c r="B542" s="183">
        <v>45362.554861111108</v>
      </c>
      <c r="C542" s="183">
        <v>45362.623611111114</v>
      </c>
      <c r="D542" s="113">
        <f>IF(punch[[#This Row],[Time Out]]="", "-", punch[[#This Row],[Time Out]]-punch[[#This Row],[Time In]])</f>
        <v>6.8750000005820766E-2</v>
      </c>
      <c r="E542" s="178">
        <f>IF(punch[[#This Row],[Time In]]="", "-", WEEKNUM(punch[[#This Row],[Time In]],15))</f>
        <v>11</v>
      </c>
      <c r="F542" s="114" cm="1">
        <f t="array" ref="F542">getWeekTotalHours(punch[[#This Row],[Artist]], punch[[#This Row],[WeekNum]])</f>
        <v>1.5923611111211358</v>
      </c>
      <c r="G542" s="226" t="s">
        <v>237</v>
      </c>
    </row>
    <row r="543" spans="1:7" ht="23.25" customHeight="1" x14ac:dyDescent="0.25">
      <c r="A543" s="182" t="s">
        <v>12</v>
      </c>
      <c r="B543" s="183">
        <v>45362.59652777778</v>
      </c>
      <c r="C543" s="183">
        <v>45362.642361111109</v>
      </c>
      <c r="D543" s="113">
        <f>IF(punch[[#This Row],[Time Out]]="", "-", punch[[#This Row],[Time Out]]-punch[[#This Row],[Time In]])</f>
        <v>4.5833333329937886E-2</v>
      </c>
      <c r="E543" s="178">
        <f>IF(punch[[#This Row],[Time In]]="", "-", WEEKNUM(punch[[#This Row],[Time In]],15))</f>
        <v>11</v>
      </c>
      <c r="F543" s="114" cm="1">
        <f t="array" ref="F543">getWeekTotalHours(punch[[#This Row],[Artist]], punch[[#This Row],[WeekNum]])</f>
        <v>0.70138888888322981</v>
      </c>
      <c r="G543" s="226" t="s">
        <v>238</v>
      </c>
    </row>
    <row r="544" spans="1:7" ht="23.25" customHeight="1" x14ac:dyDescent="0.25">
      <c r="A544" s="182" t="s">
        <v>20</v>
      </c>
      <c r="B544" s="183">
        <v>45362.611111111109</v>
      </c>
      <c r="C544" s="183">
        <v>45362.6875</v>
      </c>
      <c r="D544" s="113">
        <f>IF(punch[[#This Row],[Time Out]]="", "-", punch[[#This Row],[Time Out]]-punch[[#This Row],[Time In]])</f>
        <v>7.6388888890505768E-2</v>
      </c>
      <c r="E544" s="178">
        <f>IF(punch[[#This Row],[Time In]]="", "-", WEEKNUM(punch[[#This Row],[Time In]],15))</f>
        <v>11</v>
      </c>
      <c r="F544" s="114" cm="1">
        <f t="array" ref="F544">getWeekTotalHours(punch[[#This Row],[Artist]], punch[[#This Row],[WeekNum]])</f>
        <v>1.3020833333357587</v>
      </c>
      <c r="G544" s="226" t="s">
        <v>235</v>
      </c>
    </row>
    <row r="545" spans="1:7" ht="23.25" customHeight="1" x14ac:dyDescent="0.25">
      <c r="A545" s="182" t="s">
        <v>12</v>
      </c>
      <c r="B545" s="183">
        <v>45362.6875</v>
      </c>
      <c r="C545" s="183">
        <v>45362.729166666664</v>
      </c>
      <c r="D545" s="113">
        <f>IF(punch[[#This Row],[Time Out]]="", "-", punch[[#This Row],[Time Out]]-punch[[#This Row],[Time In]])</f>
        <v>4.1666666664241347E-2</v>
      </c>
      <c r="E545" s="178">
        <f>IF(punch[[#This Row],[Time In]]="", "-", WEEKNUM(punch[[#This Row],[Time In]],15))</f>
        <v>11</v>
      </c>
      <c r="F545" s="114" cm="1">
        <f t="array" ref="F545">getWeekTotalHours(punch[[#This Row],[Artist]], punch[[#This Row],[WeekNum]])</f>
        <v>0.70138888888322981</v>
      </c>
      <c r="G545" s="226" t="s">
        <v>239</v>
      </c>
    </row>
    <row r="546" spans="1:7" ht="23.25" customHeight="1" x14ac:dyDescent="0.25">
      <c r="A546" s="182" t="s">
        <v>18</v>
      </c>
      <c r="B546" s="183">
        <v>45363.345833333333</v>
      </c>
      <c r="C546" s="183">
        <v>45363.510416666664</v>
      </c>
      <c r="D546" s="113">
        <f>IF(punch[[#This Row],[Time Out]]="", "-", punch[[#This Row],[Time Out]]-punch[[#This Row],[Time In]])</f>
        <v>0.16458333333139308</v>
      </c>
      <c r="E546" s="178">
        <f>IF(punch[[#This Row],[Time In]]="", "-", WEEKNUM(punch[[#This Row],[Time In]],15))</f>
        <v>11</v>
      </c>
      <c r="F546" s="114" cm="1">
        <f t="array" ref="F546">getWeekTotalHours(punch[[#This Row],[Artist]], punch[[#This Row],[WeekNum]])</f>
        <v>1.5923611111211358</v>
      </c>
      <c r="G546" s="226" t="s">
        <v>240</v>
      </c>
    </row>
    <row r="547" spans="1:7" ht="23.25" customHeight="1" x14ac:dyDescent="0.25">
      <c r="A547" s="182" t="s">
        <v>16</v>
      </c>
      <c r="B547" s="183">
        <v>45363.411805555559</v>
      </c>
      <c r="C547" s="183">
        <v>45363.77847222222</v>
      </c>
      <c r="D547" s="113">
        <f>IF(punch[[#This Row],[Time Out]]="", "-", punch[[#This Row],[Time Out]]-punch[[#This Row],[Time In]])</f>
        <v>0.36666666666133096</v>
      </c>
      <c r="E547" s="178">
        <f>IF(punch[[#This Row],[Time In]]="", "-", WEEKNUM(punch[[#This Row],[Time In]],15))</f>
        <v>11</v>
      </c>
      <c r="F547" s="114" cm="1">
        <f t="array" ref="F547">getWeekTotalHours(punch[[#This Row],[Artist]], punch[[#This Row],[WeekNum]])</f>
        <v>1.8965277777751908</v>
      </c>
      <c r="G547" s="226" t="s">
        <v>241</v>
      </c>
    </row>
    <row r="548" spans="1:7" ht="23.25" customHeight="1" x14ac:dyDescent="0.25">
      <c r="A548" s="182" t="s">
        <v>14</v>
      </c>
      <c r="B548" s="183">
        <v>45363.433333333334</v>
      </c>
      <c r="C548" s="183">
        <v>45363.821527777778</v>
      </c>
      <c r="D548" s="113">
        <f>IF(punch[[#This Row],[Time Out]]="", "-", punch[[#This Row],[Time Out]]-punch[[#This Row],[Time In]])</f>
        <v>0.38819444444379769</v>
      </c>
      <c r="E548" s="178">
        <f>IF(punch[[#This Row],[Time In]]="", "-", WEEKNUM(punch[[#This Row],[Time In]],15))</f>
        <v>11</v>
      </c>
      <c r="F548" s="114" cm="1">
        <f t="array" ref="F548">getWeekTotalHours(punch[[#This Row],[Artist]], punch[[#This Row],[WeekNum]])</f>
        <v>0.38819444444379769</v>
      </c>
      <c r="G548" s="226" t="s">
        <v>242</v>
      </c>
    </row>
    <row r="549" spans="1:7" ht="23.25" customHeight="1" x14ac:dyDescent="0.25">
      <c r="A549" s="182" t="s">
        <v>12</v>
      </c>
      <c r="B549" s="183">
        <v>45363.433333333334</v>
      </c>
      <c r="C549" s="183">
        <v>45363.488888888889</v>
      </c>
      <c r="D549" s="113">
        <f>IF(punch[[#This Row],[Time Out]]="", "-", punch[[#This Row],[Time Out]]-punch[[#This Row],[Time In]])</f>
        <v>5.5555555554747116E-2</v>
      </c>
      <c r="E549" s="178">
        <f>IF(punch[[#This Row],[Time In]]="", "-", WEEKNUM(punch[[#This Row],[Time In]],15))</f>
        <v>11</v>
      </c>
      <c r="F549" s="114" cm="1">
        <f t="array" ref="F549">getWeekTotalHours(punch[[#This Row],[Artist]], punch[[#This Row],[WeekNum]])</f>
        <v>0.70138888888322981</v>
      </c>
      <c r="G549" s="226" t="s">
        <v>37</v>
      </c>
    </row>
    <row r="550" spans="1:7" ht="23.25" customHeight="1" x14ac:dyDescent="0.25">
      <c r="A550" s="182" t="s">
        <v>18</v>
      </c>
      <c r="B550" s="183">
        <v>45363.533333333333</v>
      </c>
      <c r="C550" s="183">
        <v>45363.71875</v>
      </c>
      <c r="D550" s="113">
        <f>IF(punch[[#This Row],[Time Out]]="", "-", punch[[#This Row],[Time Out]]-punch[[#This Row],[Time In]])</f>
        <v>0.18541666666715173</v>
      </c>
      <c r="E550" s="178">
        <f>IF(punch[[#This Row],[Time In]]="", "-", WEEKNUM(punch[[#This Row],[Time In]],15))</f>
        <v>11</v>
      </c>
      <c r="F550" s="114" cm="1">
        <f t="array" ref="F550">getWeekTotalHours(punch[[#This Row],[Artist]], punch[[#This Row],[WeekNum]])</f>
        <v>1.5923611111211358</v>
      </c>
      <c r="G550" s="226" t="s">
        <v>243</v>
      </c>
    </row>
    <row r="551" spans="1:7" ht="23.25" customHeight="1" x14ac:dyDescent="0.25">
      <c r="A551" s="182" t="s">
        <v>12</v>
      </c>
      <c r="B551" s="183">
        <v>45363.541666666664</v>
      </c>
      <c r="C551" s="183">
        <v>45363.734722222223</v>
      </c>
      <c r="D551" s="113">
        <f>IF(punch[[#This Row],[Time Out]]="", "-", punch[[#This Row],[Time Out]]-punch[[#This Row],[Time In]])</f>
        <v>0.19305555555911269</v>
      </c>
      <c r="E551" s="178">
        <f>IF(punch[[#This Row],[Time In]]="", "-", WEEKNUM(punch[[#This Row],[Time In]],15))</f>
        <v>11</v>
      </c>
      <c r="F551" s="114" cm="1">
        <f t="array" ref="F551">getWeekTotalHours(punch[[#This Row],[Artist]], punch[[#This Row],[WeekNum]])</f>
        <v>0.70138888888322981</v>
      </c>
      <c r="G551" s="226" t="s">
        <v>37</v>
      </c>
    </row>
    <row r="552" spans="1:7" ht="23.25" customHeight="1" x14ac:dyDescent="0.25">
      <c r="A552" s="182" t="s">
        <v>20</v>
      </c>
      <c r="B552" s="183">
        <v>45363.875</v>
      </c>
      <c r="C552" s="183">
        <v>45363.927083333336</v>
      </c>
      <c r="D552" s="113">
        <f>IF(punch[[#This Row],[Time Out]]="", "-", punch[[#This Row],[Time Out]]-punch[[#This Row],[Time In]])</f>
        <v>5.2083333335758653E-2</v>
      </c>
      <c r="E552" s="178">
        <f>IF(punch[[#This Row],[Time In]]="", "-", WEEKNUM(punch[[#This Row],[Time In]],15))</f>
        <v>11</v>
      </c>
      <c r="F552" s="114" cm="1">
        <f t="array" ref="F552">getWeekTotalHours(punch[[#This Row],[Artist]], punch[[#This Row],[WeekNum]])</f>
        <v>1.3020833333357587</v>
      </c>
      <c r="G552" s="226" t="s">
        <v>235</v>
      </c>
    </row>
    <row r="553" spans="1:7" ht="23.25" customHeight="1" x14ac:dyDescent="0.25">
      <c r="A553" s="182" t="s">
        <v>16</v>
      </c>
      <c r="B553" s="183">
        <v>45363.940972222219</v>
      </c>
      <c r="C553" s="183">
        <v>45364.085416666669</v>
      </c>
      <c r="D553" s="113">
        <f>IF(punch[[#This Row],[Time Out]]="", "-", punch[[#This Row],[Time Out]]-punch[[#This Row],[Time In]])</f>
        <v>0.14444444444961846</v>
      </c>
      <c r="E553" s="178">
        <f>IF(punch[[#This Row],[Time In]]="", "-", WEEKNUM(punch[[#This Row],[Time In]],15))</f>
        <v>11</v>
      </c>
      <c r="F553" s="114" cm="1">
        <f t="array" ref="F553">getWeekTotalHours(punch[[#This Row],[Artist]], punch[[#This Row],[WeekNum]])</f>
        <v>1.8965277777751908</v>
      </c>
      <c r="G553" s="226" t="s">
        <v>244</v>
      </c>
    </row>
    <row r="554" spans="1:7" ht="23.25" customHeight="1" x14ac:dyDescent="0.25">
      <c r="A554" s="182" t="s">
        <v>20</v>
      </c>
      <c r="B554" s="183">
        <v>45363.958333333336</v>
      </c>
      <c r="C554" s="183">
        <v>45364.125</v>
      </c>
      <c r="D554" s="113">
        <f>IF(punch[[#This Row],[Time Out]]="", "-", punch[[#This Row],[Time Out]]-punch[[#This Row],[Time In]])</f>
        <v>0.16666666666424135</v>
      </c>
      <c r="E554" s="178">
        <f>IF(punch[[#This Row],[Time In]]="", "-", WEEKNUM(punch[[#This Row],[Time In]],15))</f>
        <v>11</v>
      </c>
      <c r="F554" s="114" cm="1">
        <f t="array" ref="F554">getWeekTotalHours(punch[[#This Row],[Artist]], punch[[#This Row],[WeekNum]])</f>
        <v>1.3020833333357587</v>
      </c>
      <c r="G554" s="226" t="s">
        <v>235</v>
      </c>
    </row>
    <row r="555" spans="1:7" ht="23.25" customHeight="1" x14ac:dyDescent="0.25">
      <c r="A555" s="182" t="s">
        <v>12</v>
      </c>
      <c r="B555" s="183">
        <v>45364.36041666667</v>
      </c>
      <c r="C555" s="183">
        <v>45364.492361111108</v>
      </c>
      <c r="D555" s="113">
        <f>IF(punch[[#This Row],[Time Out]]="", "-", punch[[#This Row],[Time Out]]-punch[[#This Row],[Time In]])</f>
        <v>0.13194444443797693</v>
      </c>
      <c r="E555" s="178">
        <f>IF(punch[[#This Row],[Time In]]="", "-", WEEKNUM(punch[[#This Row],[Time In]],15))</f>
        <v>11</v>
      </c>
      <c r="F555" s="114" cm="1">
        <f t="array" ref="F555">getWeekTotalHours(punch[[#This Row],[Artist]], punch[[#This Row],[WeekNum]])</f>
        <v>0.70138888888322981</v>
      </c>
      <c r="G555" s="226" t="s">
        <v>245</v>
      </c>
    </row>
    <row r="556" spans="1:7" ht="23.25" customHeight="1" x14ac:dyDescent="0.25">
      <c r="A556" s="182" t="s">
        <v>18</v>
      </c>
      <c r="B556" s="183">
        <v>45364.418055555558</v>
      </c>
      <c r="C556" s="183">
        <v>45364.611805555556</v>
      </c>
      <c r="D556" s="113">
        <f>IF(punch[[#This Row],[Time Out]]="", "-", punch[[#This Row],[Time Out]]-punch[[#This Row],[Time In]])</f>
        <v>0.19374999999854481</v>
      </c>
      <c r="E556" s="178">
        <f>IF(punch[[#This Row],[Time In]]="", "-", WEEKNUM(punch[[#This Row],[Time In]],15))</f>
        <v>11</v>
      </c>
      <c r="F556" s="114" cm="1">
        <f t="array" ref="F556">getWeekTotalHours(punch[[#This Row],[Artist]], punch[[#This Row],[WeekNum]])</f>
        <v>1.5923611111211358</v>
      </c>
      <c r="G556" s="226"/>
    </row>
    <row r="557" spans="1:7" ht="23.25" customHeight="1" x14ac:dyDescent="0.25">
      <c r="A557" s="182" t="s">
        <v>20</v>
      </c>
      <c r="B557" s="183">
        <v>45364.402777777781</v>
      </c>
      <c r="C557" s="183">
        <v>45364.5</v>
      </c>
      <c r="D557" s="113">
        <f>IF(punch[[#This Row],[Time Out]]="", "-", punch[[#This Row],[Time Out]]-punch[[#This Row],[Time In]])</f>
        <v>9.7222222218988463E-2</v>
      </c>
      <c r="E557" s="178">
        <f>IF(punch[[#This Row],[Time In]]="", "-", WEEKNUM(punch[[#This Row],[Time In]],15))</f>
        <v>11</v>
      </c>
      <c r="F557" s="114" cm="1">
        <f t="array" ref="F557">getWeekTotalHours(punch[[#This Row],[Artist]], punch[[#This Row],[WeekNum]])</f>
        <v>1.3020833333357587</v>
      </c>
      <c r="G557" s="226" t="s">
        <v>246</v>
      </c>
    </row>
    <row r="558" spans="1:7" ht="23.25" customHeight="1" x14ac:dyDescent="0.25">
      <c r="A558" s="182" t="s">
        <v>12</v>
      </c>
      <c r="B558" s="183">
        <v>45364.541666666664</v>
      </c>
      <c r="C558" s="183">
        <v>45364.583333333336</v>
      </c>
      <c r="D558" s="113">
        <f>IF(punch[[#This Row],[Time Out]]="", "-", punch[[#This Row],[Time Out]]-punch[[#This Row],[Time In]])</f>
        <v>4.1666666671517305E-2</v>
      </c>
      <c r="E558" s="178">
        <f>IF(punch[[#This Row],[Time In]]="", "-", WEEKNUM(punch[[#This Row],[Time In]],15))</f>
        <v>11</v>
      </c>
      <c r="F558" s="114" cm="1">
        <f t="array" ref="F558">getWeekTotalHours(punch[[#This Row],[Artist]], punch[[#This Row],[WeekNum]])</f>
        <v>0.70138888888322981</v>
      </c>
      <c r="G558" s="226" t="s">
        <v>247</v>
      </c>
    </row>
    <row r="559" spans="1:7" ht="23.25" customHeight="1" x14ac:dyDescent="0.25">
      <c r="A559" s="182" t="s">
        <v>20</v>
      </c>
      <c r="B559" s="183">
        <v>45364.666666666664</v>
      </c>
      <c r="C559" s="183">
        <v>45364.75</v>
      </c>
      <c r="D559" s="113">
        <f>IF(punch[[#This Row],[Time Out]]="", "-", punch[[#This Row],[Time Out]]-punch[[#This Row],[Time In]])</f>
        <v>8.3333333335758653E-2</v>
      </c>
      <c r="E559" s="178">
        <f>IF(punch[[#This Row],[Time In]]="", "-", WEEKNUM(punch[[#This Row],[Time In]],15))</f>
        <v>11</v>
      </c>
      <c r="F559" s="114" cm="1">
        <f t="array" ref="F559">getWeekTotalHours(punch[[#This Row],[Artist]], punch[[#This Row],[WeekNum]])</f>
        <v>1.3020833333357587</v>
      </c>
      <c r="G559" s="226" t="s">
        <v>248</v>
      </c>
    </row>
    <row r="560" spans="1:7" ht="23.25" customHeight="1" x14ac:dyDescent="0.25">
      <c r="A560" s="182" t="s">
        <v>16</v>
      </c>
      <c r="B560" s="183">
        <v>45364.416666666664</v>
      </c>
      <c r="C560" s="183">
        <v>45364.754166666666</v>
      </c>
      <c r="D560" s="113">
        <f>IF(punch[[#This Row],[Time Out]]="", "-", punch[[#This Row],[Time Out]]-punch[[#This Row],[Time In]])</f>
        <v>0.33750000000145519</v>
      </c>
      <c r="E560" s="178">
        <f>IF(punch[[#This Row],[Time In]]="", "-", WEEKNUM(punch[[#This Row],[Time In]],15))</f>
        <v>11</v>
      </c>
      <c r="F560" s="114" cm="1">
        <f t="array" ref="F560">getWeekTotalHours(punch[[#This Row],[Artist]], punch[[#This Row],[WeekNum]])</f>
        <v>1.8965277777751908</v>
      </c>
      <c r="G560" s="226" t="s">
        <v>249</v>
      </c>
    </row>
    <row r="561" spans="1:7" ht="23.25" customHeight="1" x14ac:dyDescent="0.25">
      <c r="A561" s="182" t="s">
        <v>16</v>
      </c>
      <c r="B561" s="183">
        <v>45365.55972222222</v>
      </c>
      <c r="C561" s="183">
        <v>45365.715277777781</v>
      </c>
      <c r="D561" s="113">
        <f>IF(punch[[#This Row],[Time Out]]="", "-", punch[[#This Row],[Time Out]]-punch[[#This Row],[Time In]])</f>
        <v>0.15555555556056788</v>
      </c>
      <c r="E561" s="178">
        <f>IF(punch[[#This Row],[Time In]]="", "-", WEEKNUM(punch[[#This Row],[Time In]],15))</f>
        <v>11</v>
      </c>
      <c r="F561" s="114" cm="1">
        <f t="array" ref="F561">getWeekTotalHours(punch[[#This Row],[Artist]], punch[[#This Row],[WeekNum]])</f>
        <v>1.8965277777751908</v>
      </c>
      <c r="G561" s="226"/>
    </row>
    <row r="562" spans="1:7" ht="23.25" customHeight="1" x14ac:dyDescent="0.25">
      <c r="A562" s="182" t="s">
        <v>18</v>
      </c>
      <c r="B562" s="183">
        <v>45365.732638888891</v>
      </c>
      <c r="C562" s="183">
        <v>45365.830555555556</v>
      </c>
      <c r="D562" s="113">
        <f>IF(punch[[#This Row],[Time Out]]="", "-", punch[[#This Row],[Time Out]]-punch[[#This Row],[Time In]])</f>
        <v>9.7916666665696539E-2</v>
      </c>
      <c r="E562" s="178">
        <f>IF(punch[[#This Row],[Time In]]="", "-", WEEKNUM(punch[[#This Row],[Time In]],15))</f>
        <v>11</v>
      </c>
      <c r="F562" s="114" cm="1">
        <f t="array" ref="F562">getWeekTotalHours(punch[[#This Row],[Artist]], punch[[#This Row],[WeekNum]])</f>
        <v>1.5923611111211358</v>
      </c>
      <c r="G562" s="226" t="s">
        <v>250</v>
      </c>
    </row>
    <row r="563" spans="1:7" ht="23.25" customHeight="1" x14ac:dyDescent="0.25">
      <c r="A563" s="182" t="s">
        <v>16</v>
      </c>
      <c r="B563" s="183">
        <v>45365.87222222222</v>
      </c>
      <c r="C563" s="183">
        <v>45366.116666666669</v>
      </c>
      <c r="D563" s="113">
        <f>IF(punch[[#This Row],[Time Out]]="", "-", punch[[#This Row],[Time Out]]-punch[[#This Row],[Time In]])</f>
        <v>0.24444444444816327</v>
      </c>
      <c r="E563" s="178">
        <f>IF(punch[[#This Row],[Time In]]="", "-", WEEKNUM(punch[[#This Row],[Time In]],15))</f>
        <v>11</v>
      </c>
      <c r="F563" s="114" cm="1">
        <f t="array" ref="F563">getWeekTotalHours(punch[[#This Row],[Artist]], punch[[#This Row],[WeekNum]])</f>
        <v>1.8965277777751908</v>
      </c>
      <c r="G563" s="226" t="s">
        <v>251</v>
      </c>
    </row>
    <row r="564" spans="1:7" ht="23.25" customHeight="1" x14ac:dyDescent="0.25">
      <c r="A564" s="275" t="s">
        <v>20</v>
      </c>
      <c r="B564" s="183">
        <v>45365.958333333336</v>
      </c>
      <c r="C564" s="183">
        <v>45366.118055555555</v>
      </c>
      <c r="D564" s="113">
        <f>IF(punch[[#This Row],[Time Out]]="", "-", punch[[#This Row],[Time Out]]-punch[[#This Row],[Time In]])</f>
        <v>0.15972222221898846</v>
      </c>
      <c r="E564" s="178">
        <f>IF(punch[[#This Row],[Time In]]="", "-", WEEKNUM(punch[[#This Row],[Time In]],15))</f>
        <v>11</v>
      </c>
      <c r="F564" s="114" cm="1">
        <f t="array" ref="F564">getWeekTotalHours(punch[[#This Row],[Artist]], punch[[#This Row],[WeekNum]])</f>
        <v>1.3020833333357587</v>
      </c>
      <c r="G564" s="226" t="s">
        <v>252</v>
      </c>
    </row>
    <row r="565" spans="1:7" ht="23.25" customHeight="1" x14ac:dyDescent="0.25">
      <c r="A565" s="182" t="s">
        <v>12</v>
      </c>
      <c r="B565" s="183">
        <v>45365.875</v>
      </c>
      <c r="C565" s="183">
        <v>45365.9375</v>
      </c>
      <c r="D565" s="113">
        <f>IF(punch[[#This Row],[Time Out]]="", "-", punch[[#This Row],[Time Out]]-punch[[#This Row],[Time In]])</f>
        <v>6.25E-2</v>
      </c>
      <c r="E565" s="178">
        <f>IF(punch[[#This Row],[Time In]]="", "-", WEEKNUM(punch[[#This Row],[Time In]],15))</f>
        <v>11</v>
      </c>
      <c r="F565" s="114" cm="1">
        <f t="array" ref="F565">getWeekTotalHours(punch[[#This Row],[Artist]], punch[[#This Row],[WeekNum]])</f>
        <v>0.70138888888322981</v>
      </c>
      <c r="G565" s="226" t="s">
        <v>253</v>
      </c>
    </row>
    <row r="566" spans="1:7" ht="23.25" customHeight="1" x14ac:dyDescent="0.25">
      <c r="A566" s="182" t="s">
        <v>20</v>
      </c>
      <c r="B566" s="183">
        <v>45365.625</v>
      </c>
      <c r="C566" s="183">
        <v>45365.708333333336</v>
      </c>
      <c r="D566" s="113">
        <f>IF(punch[[#This Row],[Time Out]]="", "-", punch[[#This Row],[Time Out]]-punch[[#This Row],[Time In]])</f>
        <v>8.3333333335758653E-2</v>
      </c>
      <c r="E566" s="178">
        <f>IF(punch[[#This Row],[Time In]]="", "-", WEEKNUM(punch[[#This Row],[Time In]],15))</f>
        <v>11</v>
      </c>
      <c r="F566" s="114" cm="1">
        <f t="array" ref="F566">getWeekTotalHours(punch[[#This Row],[Artist]], punch[[#This Row],[WeekNum]])</f>
        <v>1.3020833333357587</v>
      </c>
      <c r="G566" s="226" t="s">
        <v>225</v>
      </c>
    </row>
    <row r="567" spans="1:7" ht="23.25" customHeight="1" x14ac:dyDescent="0.25">
      <c r="A567" s="182" t="s">
        <v>12</v>
      </c>
      <c r="B567" s="183">
        <v>45366.84375</v>
      </c>
      <c r="C567" s="183">
        <v>45366.868055555555</v>
      </c>
      <c r="D567" s="113">
        <f>IF(punch[[#This Row],[Time Out]]="", "-", punch[[#This Row],[Time Out]]-punch[[#This Row],[Time In]])</f>
        <v>2.4305555554747116E-2</v>
      </c>
      <c r="E567" s="178">
        <f>IF(punch[[#This Row],[Time In]]="", "-", WEEKNUM(punch[[#This Row],[Time In]],15))</f>
        <v>12</v>
      </c>
      <c r="F567" s="114" cm="1">
        <f t="array" ref="F567">getWeekTotalHours(punch[[#This Row],[Artist]], punch[[#This Row],[WeekNum]])</f>
        <v>0.28611111110512866</v>
      </c>
      <c r="G567" s="226" t="s">
        <v>665</v>
      </c>
    </row>
    <row r="568" spans="1:7" ht="23.25" customHeight="1" x14ac:dyDescent="0.25">
      <c r="A568" s="182" t="s">
        <v>16</v>
      </c>
      <c r="B568" s="183">
        <v>45366.940972222219</v>
      </c>
      <c r="C568" s="183">
        <v>45367.00277777778</v>
      </c>
      <c r="D568" s="113">
        <f>IF(punch[[#This Row],[Time Out]]="", "-", punch[[#This Row],[Time Out]]-punch[[#This Row],[Time In]])</f>
        <v>6.1805555560567882E-2</v>
      </c>
      <c r="E568" s="178">
        <f>IF(punch[[#This Row],[Time In]]="", "-", WEEKNUM(punch[[#This Row],[Time In]],15))</f>
        <v>12</v>
      </c>
      <c r="F568" s="114" cm="1">
        <f t="array" ref="F568">getWeekTotalHours(punch[[#This Row],[Artist]], punch[[#This Row],[WeekNum]])</f>
        <v>0.8868055555576575</v>
      </c>
      <c r="G568" s="226"/>
    </row>
    <row r="569" spans="1:7" ht="23.25" customHeight="1" x14ac:dyDescent="0.25">
      <c r="A569" s="182" t="s">
        <v>18</v>
      </c>
      <c r="B569" s="183">
        <v>45367.359722222223</v>
      </c>
      <c r="C569" s="183">
        <v>45367.520833333336</v>
      </c>
      <c r="D569" s="113">
        <f>IF(punch[[#This Row],[Time Out]]="", "-", punch[[#This Row],[Time Out]]-punch[[#This Row],[Time In]])</f>
        <v>0.16111111111240461</v>
      </c>
      <c r="E569" s="178">
        <f>IF(punch[[#This Row],[Time In]]="", "-", WEEKNUM(punch[[#This Row],[Time In]],15))</f>
        <v>12</v>
      </c>
      <c r="F569" s="114" cm="1">
        <f t="array" ref="F569">getWeekTotalHours(punch[[#This Row],[Artist]], punch[[#This Row],[WeekNum]])</f>
        <v>1.0201388888890506</v>
      </c>
      <c r="G569" s="226" t="s">
        <v>667</v>
      </c>
    </row>
    <row r="570" spans="1:7" ht="23.25" customHeight="1" x14ac:dyDescent="0.25">
      <c r="A570" s="182" t="s">
        <v>16</v>
      </c>
      <c r="B570" s="183">
        <v>45367.427083333336</v>
      </c>
      <c r="C570" s="183">
        <v>45367.480555555558</v>
      </c>
      <c r="D570" s="113">
        <f>IF(punch[[#This Row],[Time Out]]="", "-", punch[[#This Row],[Time Out]]-punch[[#This Row],[Time In]])</f>
        <v>5.3472222221898846E-2</v>
      </c>
      <c r="E570" s="178">
        <f>IF(punch[[#This Row],[Time In]]="", "-", WEEKNUM(punch[[#This Row],[Time In]],15))</f>
        <v>12</v>
      </c>
      <c r="F570" s="114" cm="1">
        <f t="array" ref="F570">getWeekTotalHours(punch[[#This Row],[Artist]], punch[[#This Row],[WeekNum]])</f>
        <v>0.8868055555576575</v>
      </c>
      <c r="G570" s="226"/>
    </row>
    <row r="571" spans="1:7" ht="23.25" customHeight="1" x14ac:dyDescent="0.25">
      <c r="A571" s="182" t="s">
        <v>18</v>
      </c>
      <c r="B571" s="183">
        <v>45367.574999999997</v>
      </c>
      <c r="C571" s="183">
        <v>45367.663194444445</v>
      </c>
      <c r="D571" s="113">
        <f>IF(punch[[#This Row],[Time Out]]="", "-", punch[[#This Row],[Time Out]]-punch[[#This Row],[Time In]])</f>
        <v>8.8194444448163267E-2</v>
      </c>
      <c r="E571" s="178">
        <f>IF(punch[[#This Row],[Time In]]="", "-", WEEKNUM(punch[[#This Row],[Time In]],15))</f>
        <v>12</v>
      </c>
      <c r="F571" s="114" cm="1">
        <f t="array" ref="F571">getWeekTotalHours(punch[[#This Row],[Artist]], punch[[#This Row],[WeekNum]])</f>
        <v>1.0201388888890506</v>
      </c>
      <c r="G571" s="226" t="s">
        <v>668</v>
      </c>
    </row>
    <row r="572" spans="1:7" ht="23.25" customHeight="1" x14ac:dyDescent="0.25">
      <c r="A572" s="182" t="s">
        <v>18</v>
      </c>
      <c r="B572" s="183">
        <v>45368.354166666664</v>
      </c>
      <c r="C572" s="183">
        <v>45368.57708333333</v>
      </c>
      <c r="D572" s="113">
        <f>IF(punch[[#This Row],[Time Out]]="", "-", punch[[#This Row],[Time Out]]-punch[[#This Row],[Time In]])</f>
        <v>0.22291666666569654</v>
      </c>
      <c r="E572" s="178">
        <f>IF(punch[[#This Row],[Time In]]="", "-", WEEKNUM(punch[[#This Row],[Time In]],15))</f>
        <v>12</v>
      </c>
      <c r="F572" s="114" cm="1">
        <f t="array" ref="F572">getWeekTotalHours(punch[[#This Row],[Artist]], punch[[#This Row],[WeekNum]])</f>
        <v>1.0201388888890506</v>
      </c>
      <c r="G572" s="226" t="s">
        <v>671</v>
      </c>
    </row>
    <row r="573" spans="1:7" ht="23.25" customHeight="1" x14ac:dyDescent="0.25">
      <c r="A573" s="182" t="s">
        <v>12</v>
      </c>
      <c r="B573" s="183">
        <v>45368.375</v>
      </c>
      <c r="C573" s="183">
        <v>45368.4375</v>
      </c>
      <c r="D573" s="113">
        <f>IF(punch[[#This Row],[Time Out]]="", "-", punch[[#This Row],[Time Out]]-punch[[#This Row],[Time In]])</f>
        <v>6.25E-2</v>
      </c>
      <c r="E573" s="178">
        <f>IF(punch[[#This Row],[Time In]]="", "-", WEEKNUM(punch[[#This Row],[Time In]],15))</f>
        <v>12</v>
      </c>
      <c r="F573" s="114" cm="1">
        <f t="array" ref="F573">getWeekTotalHours(punch[[#This Row],[Artist]], punch[[#This Row],[WeekNum]])</f>
        <v>0.28611111110512866</v>
      </c>
      <c r="G573" s="226" t="s">
        <v>669</v>
      </c>
    </row>
    <row r="574" spans="1:7" ht="23.25" customHeight="1" x14ac:dyDescent="0.25">
      <c r="A574" s="182" t="s">
        <v>12</v>
      </c>
      <c r="B574" s="183">
        <v>45368.488888888889</v>
      </c>
      <c r="C574" s="183">
        <v>45368.530555555553</v>
      </c>
      <c r="D574" s="113">
        <f>IF(punch[[#This Row],[Time Out]]="", "-", punch[[#This Row],[Time Out]]-punch[[#This Row],[Time In]])</f>
        <v>4.1666666664241347E-2</v>
      </c>
      <c r="E574" s="178">
        <f>IF(punch[[#This Row],[Time In]]="", "-", WEEKNUM(punch[[#This Row],[Time In]],15))</f>
        <v>12</v>
      </c>
      <c r="F574" s="114" cm="1">
        <f t="array" ref="F574">getWeekTotalHours(punch[[#This Row],[Artist]], punch[[#This Row],[WeekNum]])</f>
        <v>0.28611111110512866</v>
      </c>
      <c r="G574" s="226" t="s">
        <v>670</v>
      </c>
    </row>
    <row r="575" spans="1:7" ht="23.25" customHeight="1" x14ac:dyDescent="0.25">
      <c r="A575" s="182" t="s">
        <v>18</v>
      </c>
      <c r="B575" s="183">
        <v>45369.37222222222</v>
      </c>
      <c r="C575" s="183">
        <v>45369.688888888886</v>
      </c>
      <c r="D575" s="113">
        <f>IF(punch[[#This Row],[Time Out]]="", "-", punch[[#This Row],[Time Out]]-punch[[#This Row],[Time In]])</f>
        <v>0.31666666666569654</v>
      </c>
      <c r="E575" s="178">
        <f>IF(punch[[#This Row],[Time In]]="", "-", WEEKNUM(punch[[#This Row],[Time In]],15))</f>
        <v>12</v>
      </c>
      <c r="F575" s="114" cm="1">
        <f t="array" ref="F575">getWeekTotalHours(punch[[#This Row],[Artist]], punch[[#This Row],[WeekNum]])</f>
        <v>1.0201388888890506</v>
      </c>
      <c r="G575" s="226" t="s">
        <v>674</v>
      </c>
    </row>
    <row r="576" spans="1:7" ht="23.25" customHeight="1" x14ac:dyDescent="0.25">
      <c r="A576" s="182" t="s">
        <v>12</v>
      </c>
      <c r="B576" s="183">
        <v>45369.385416666664</v>
      </c>
      <c r="C576" s="183">
        <v>45369.5</v>
      </c>
      <c r="D576" s="113">
        <f>IF(punch[[#This Row],[Time Out]]="", "-", punch[[#This Row],[Time Out]]-punch[[#This Row],[Time In]])</f>
        <v>0.11458333333575865</v>
      </c>
      <c r="E576" s="178">
        <f>IF(punch[[#This Row],[Time In]]="", "-", WEEKNUM(punch[[#This Row],[Time In]],15))</f>
        <v>12</v>
      </c>
      <c r="F576" s="114" cm="1">
        <f t="array" ref="F576">getWeekTotalHours(punch[[#This Row],[Artist]], punch[[#This Row],[WeekNum]])</f>
        <v>0.28611111110512866</v>
      </c>
      <c r="G576" s="226" t="s">
        <v>672</v>
      </c>
    </row>
    <row r="577" spans="1:7" ht="23.25" customHeight="1" x14ac:dyDescent="0.25">
      <c r="A577" s="182" t="s">
        <v>16</v>
      </c>
      <c r="B577" s="183">
        <v>45369.506944444445</v>
      </c>
      <c r="C577" s="183">
        <v>45369.993055555555</v>
      </c>
      <c r="D577" s="113">
        <f>IF(punch[[#This Row],[Time Out]]="", "-", punch[[#This Row],[Time Out]]-punch[[#This Row],[Time In]])</f>
        <v>0.48611111110949423</v>
      </c>
      <c r="E577" s="178">
        <f>IF(punch[[#This Row],[Time In]]="", "-", WEEKNUM(punch[[#This Row],[Time In]],15))</f>
        <v>12</v>
      </c>
      <c r="F577" s="114" cm="1">
        <f t="array" ref="F577">getWeekTotalHours(punch[[#This Row],[Artist]], punch[[#This Row],[WeekNum]])</f>
        <v>0.8868055555576575</v>
      </c>
      <c r="G577" s="226"/>
    </row>
    <row r="578" spans="1:7" ht="23.25" customHeight="1" x14ac:dyDescent="0.25">
      <c r="A578" s="182" t="s">
        <v>12</v>
      </c>
      <c r="B578" s="183">
        <v>45369.552083333336</v>
      </c>
      <c r="C578" s="183">
        <v>45369.595138888886</v>
      </c>
      <c r="D578" s="113">
        <f>IF(punch[[#This Row],[Time Out]]="", "-", punch[[#This Row],[Time Out]]-punch[[#This Row],[Time In]])</f>
        <v>4.3055555550381541E-2</v>
      </c>
      <c r="E578" s="178">
        <f>IF(punch[[#This Row],[Time In]]="", "-", WEEKNUM(punch[[#This Row],[Time In]],15))</f>
        <v>12</v>
      </c>
      <c r="F578" s="114" cm="1">
        <f t="array" ref="F578">getWeekTotalHours(punch[[#This Row],[Artist]], punch[[#This Row],[WeekNum]])</f>
        <v>0.28611111110512866</v>
      </c>
      <c r="G578" s="226" t="s">
        <v>672</v>
      </c>
    </row>
    <row r="579" spans="1:7" ht="23.25" customHeight="1" x14ac:dyDescent="0.25">
      <c r="A579" s="182" t="s">
        <v>16</v>
      </c>
      <c r="B579" s="183">
        <v>45370.422222222223</v>
      </c>
      <c r="C579" s="183">
        <v>45370.509722222225</v>
      </c>
      <c r="D579" s="113">
        <f>IF(punch[[#This Row],[Time Out]]="", "-", punch[[#This Row],[Time Out]]-punch[[#This Row],[Time In]])</f>
        <v>8.7500000001455192E-2</v>
      </c>
      <c r="E579" s="178">
        <f>IF(punch[[#This Row],[Time In]]="", "-", WEEKNUM(punch[[#This Row],[Time In]],15))</f>
        <v>12</v>
      </c>
      <c r="F579" s="114" cm="1">
        <f t="array" ref="F579">getWeekTotalHours(punch[[#This Row],[Artist]], punch[[#This Row],[WeekNum]])</f>
        <v>0.8868055555576575</v>
      </c>
      <c r="G579" s="226"/>
    </row>
    <row r="580" spans="1:7" ht="23.25" customHeight="1" x14ac:dyDescent="0.25">
      <c r="A580" s="182" t="s">
        <v>18</v>
      </c>
      <c r="B580" s="183">
        <v>45370.462500000001</v>
      </c>
      <c r="C580" s="183">
        <v>45370.541666666664</v>
      </c>
      <c r="D580" s="113">
        <f>IF(punch[[#This Row],[Time Out]]="", "-", punch[[#This Row],[Time Out]]-punch[[#This Row],[Time In]])</f>
        <v>7.9166666662786156E-2</v>
      </c>
      <c r="E580" s="178">
        <f>IF(punch[[#This Row],[Time In]]="", "-", WEEKNUM(punch[[#This Row],[Time In]],15))</f>
        <v>12</v>
      </c>
      <c r="F580" s="114" cm="1">
        <f t="array" ref="F580">getWeekTotalHours(punch[[#This Row],[Artist]], punch[[#This Row],[WeekNum]])</f>
        <v>1.0201388888890506</v>
      </c>
      <c r="G580" s="226" t="s">
        <v>679</v>
      </c>
    </row>
    <row r="581" spans="1:7" ht="23.25" customHeight="1" x14ac:dyDescent="0.25">
      <c r="A581" s="182" t="s">
        <v>16</v>
      </c>
      <c r="B581" s="183">
        <v>45370.576388888891</v>
      </c>
      <c r="C581" s="183">
        <v>45370.774305555555</v>
      </c>
      <c r="D581" s="113">
        <f>IF(punch[[#This Row],[Time Out]]="", "-", punch[[#This Row],[Time Out]]-punch[[#This Row],[Time In]])</f>
        <v>0.19791666666424135</v>
      </c>
      <c r="E581" s="178">
        <f>IF(punch[[#This Row],[Time In]]="", "-", WEEKNUM(punch[[#This Row],[Time In]],15))</f>
        <v>12</v>
      </c>
      <c r="F581" s="114" cm="1">
        <f t="array" ref="F581">getWeekTotalHours(punch[[#This Row],[Artist]], punch[[#This Row],[WeekNum]])</f>
        <v>0.8868055555576575</v>
      </c>
      <c r="G581" s="226"/>
    </row>
    <row r="582" spans="1:7" ht="23.25" customHeight="1" x14ac:dyDescent="0.25">
      <c r="A582" s="182" t="s">
        <v>18</v>
      </c>
      <c r="B582" s="183">
        <v>45370.569444444445</v>
      </c>
      <c r="C582" s="183">
        <v>45370.72152777778</v>
      </c>
      <c r="D582" s="113">
        <f>IF(punch[[#This Row],[Time Out]]="", "-", punch[[#This Row],[Time Out]]-punch[[#This Row],[Time In]])</f>
        <v>0.15208333333430346</v>
      </c>
      <c r="E582" s="178">
        <f>IF(punch[[#This Row],[Time In]]="", "-", WEEKNUM(punch[[#This Row],[Time In]],15))</f>
        <v>12</v>
      </c>
      <c r="F582" s="114" cm="1">
        <f t="array" ref="F582">getWeekTotalHours(punch[[#This Row],[Artist]], punch[[#This Row],[WeekNum]])</f>
        <v>1.0201388888890506</v>
      </c>
      <c r="G582" s="226" t="s">
        <v>680</v>
      </c>
    </row>
  </sheetData>
  <sheetProtection selectLockedCells="1" autoFilter="0"/>
  <mergeCells count="1">
    <mergeCell ref="A1:B3"/>
  </mergeCells>
  <phoneticPr fontId="3" type="noConversion"/>
  <pageMargins left="0.7" right="0.7" top="0.75" bottom="0.75" header="0.3" footer="0.3"/>
  <pageSetup paperSize="9" orientation="portrait" horizontalDpi="360" verticalDpi="360"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B38D8F70-CC00-4B76-A8A1-F2A476F6865D}">
          <x14:formula1>
            <xm:f>_data_!$G$3:$G$7</xm:f>
          </x14:formula1>
          <xm:sqref>J2</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3C7EA-9804-4FF7-A79A-A7207D6089BD}">
  <sheetPr codeName="Feuil17">
    <tabColor theme="3" tint="0.39997558519241921"/>
  </sheetPr>
  <dimension ref="A1:AH86"/>
  <sheetViews>
    <sheetView showRowColHeaders="0" zoomScaleNormal="100" workbookViewId="0">
      <pane ySplit="1" topLeftCell="A2" activePane="bottomLeft" state="frozen"/>
      <selection pane="bottomLeft" activeCell="M93" sqref="M93"/>
    </sheetView>
  </sheetViews>
  <sheetFormatPr baseColWidth="10" defaultColWidth="7.140625" defaultRowHeight="20.100000000000001" customHeight="1" outlineLevelRow="1" x14ac:dyDescent="0.25"/>
  <cols>
    <col min="1" max="1" width="10" style="3" customWidth="1"/>
    <col min="2" max="2" width="7.85546875" style="2" customWidth="1"/>
    <col min="3" max="5" width="7.7109375" style="2" bestFit="1" customWidth="1"/>
    <col min="6" max="7" width="7.85546875" style="2" bestFit="1" customWidth="1"/>
    <col min="8" max="11" width="7.7109375" style="2" bestFit="1" customWidth="1"/>
    <col min="12" max="13" width="7.85546875" style="2" bestFit="1" customWidth="1"/>
    <col min="14" max="18" width="7.7109375" style="2" bestFit="1" customWidth="1"/>
    <col min="19" max="20" width="7.85546875" style="2" bestFit="1" customWidth="1"/>
    <col min="21" max="25" width="7.7109375" style="2" bestFit="1" customWidth="1"/>
    <col min="26" max="27" width="7.85546875" style="2" bestFit="1" customWidth="1"/>
    <col min="28" max="29" width="7.7109375" style="2" bestFit="1" customWidth="1"/>
    <col min="30" max="30" width="5.42578125" style="9" customWidth="1"/>
    <col min="31" max="31" width="9.28515625" style="9" customWidth="1"/>
    <col min="32" max="32" width="9.42578125" style="9" customWidth="1"/>
    <col min="33" max="33" width="11.85546875" style="9" customWidth="1"/>
    <col min="34" max="34" width="11.42578125" style="9" customWidth="1"/>
    <col min="35" max="35" width="7.140625" style="9" customWidth="1"/>
    <col min="36" max="16384" width="7.140625" style="9"/>
  </cols>
  <sheetData>
    <row r="1" spans="1:34" ht="20.100000000000001" customHeight="1" x14ac:dyDescent="0.25">
      <c r="B1" s="200">
        <f>WEEKDAY(B$3)</f>
        <v>1</v>
      </c>
      <c r="C1" s="200">
        <f t="shared" ref="C1:AC1" si="0">WEEKDAY(C$3)</f>
        <v>2</v>
      </c>
      <c r="D1" s="200">
        <f t="shared" si="0"/>
        <v>3</v>
      </c>
      <c r="E1" s="200">
        <f t="shared" si="0"/>
        <v>4</v>
      </c>
      <c r="F1" s="200">
        <f t="shared" si="0"/>
        <v>5</v>
      </c>
      <c r="G1" s="200">
        <f t="shared" si="0"/>
        <v>6</v>
      </c>
      <c r="H1" s="200">
        <f t="shared" si="0"/>
        <v>7</v>
      </c>
      <c r="I1" s="200">
        <f t="shared" si="0"/>
        <v>1</v>
      </c>
      <c r="J1" s="200">
        <f t="shared" si="0"/>
        <v>2</v>
      </c>
      <c r="K1" s="200">
        <f t="shared" si="0"/>
        <v>3</v>
      </c>
      <c r="L1" s="200">
        <f t="shared" si="0"/>
        <v>4</v>
      </c>
      <c r="M1" s="200">
        <f t="shared" si="0"/>
        <v>5</v>
      </c>
      <c r="N1" s="200">
        <f t="shared" si="0"/>
        <v>6</v>
      </c>
      <c r="O1" s="200">
        <f t="shared" si="0"/>
        <v>7</v>
      </c>
      <c r="P1" s="200">
        <f t="shared" si="0"/>
        <v>1</v>
      </c>
      <c r="Q1" s="200">
        <f t="shared" si="0"/>
        <v>2</v>
      </c>
      <c r="R1" s="200">
        <f t="shared" si="0"/>
        <v>3</v>
      </c>
      <c r="S1" s="200">
        <f t="shared" si="0"/>
        <v>4</v>
      </c>
      <c r="T1" s="200">
        <f t="shared" si="0"/>
        <v>5</v>
      </c>
      <c r="U1" s="200">
        <f t="shared" si="0"/>
        <v>6</v>
      </c>
      <c r="V1" s="200">
        <f t="shared" si="0"/>
        <v>7</v>
      </c>
      <c r="W1" s="200">
        <f t="shared" si="0"/>
        <v>1</v>
      </c>
      <c r="X1" s="200">
        <f t="shared" si="0"/>
        <v>2</v>
      </c>
      <c r="Y1" s="200">
        <f t="shared" si="0"/>
        <v>3</v>
      </c>
      <c r="Z1" s="200">
        <f t="shared" si="0"/>
        <v>4</v>
      </c>
      <c r="AA1" s="200">
        <f t="shared" si="0"/>
        <v>5</v>
      </c>
      <c r="AB1" s="200">
        <f t="shared" si="0"/>
        <v>6</v>
      </c>
      <c r="AC1" s="200">
        <f t="shared" si="0"/>
        <v>7</v>
      </c>
    </row>
    <row r="2" spans="1:34" s="10" customFormat="1" ht="63.75" customHeight="1" x14ac:dyDescent="0.25">
      <c r="A2" s="3"/>
      <c r="B2" s="201" t="str" cm="1">
        <f t="array" ref="B2">_xlfn.IFNA(_xlfn.XLOOKUP(B$3, deliveryDates[[Date]:[Date]], deliveryDates[[Remise]:[Remise]]), "")</f>
        <v/>
      </c>
      <c r="C2" s="201" t="str" cm="1">
        <f t="array" ref="C2">_xlfn.IFNA(_xlfn.XLOOKUP(C$3, deliveryDates[[Date]:[Date]], deliveryDates[[Type]:[Type]]), "")</f>
        <v/>
      </c>
      <c r="D2" s="201" t="str" cm="1">
        <f t="array" ref="D2">_xlfn.IFNA(_xlfn.XLOOKUP(D$3, deliveryDates[[Date]:[Date]], deliveryDates[[Type]:[Type]]), "")</f>
        <v/>
      </c>
      <c r="E2" s="201" t="str" cm="1">
        <f t="array" ref="E2">_xlfn.IFNA(_xlfn.XLOOKUP(E$3, deliveryDates[[Date]:[Date]], deliveryDates[[Type]:[Type]]), "")</f>
        <v/>
      </c>
      <c r="F2" s="201" t="str" cm="1">
        <f t="array" ref="F2">_xlfn.IFNA(_xlfn.XLOOKUP(F$3, deliveryDates[[Date]:[Date]], deliveryDates[[Type]:[Type]]), "")</f>
        <v/>
      </c>
      <c r="G2" s="201" t="str" cm="1">
        <f t="array" ref="G2">_xlfn.IFNA(_xlfn.XLOOKUP(G$3, deliveryDates[[Date]:[Date]], deliveryDates[[Type]:[Type]]), "")</f>
        <v/>
      </c>
      <c r="H2" s="201" t="str" cm="1">
        <f t="array" ref="H2">_xlfn.IFNA(_xlfn.XLOOKUP(H$3, deliveryDates[[Date]:[Date]], deliveryDates[[Type]:[Type]]), "")</f>
        <v/>
      </c>
      <c r="I2" s="201" t="str" cm="1">
        <f t="array" ref="I2">_xlfn.IFNA(_xlfn.XLOOKUP(I$3, deliveryDates[[Date]:[Date]], deliveryDates[[Type]:[Type]]), "")</f>
        <v/>
      </c>
      <c r="J2" s="201" t="str" cm="1">
        <f t="array" ref="J2">_xlfn.IFNA(_xlfn.XLOOKUP(J$3, deliveryDates[[Date]:[Date]], deliveryDates[[Type]:[Type]]), "")</f>
        <v/>
      </c>
      <c r="K2" s="201" t="str" cm="1">
        <f t="array" ref="K2">_xlfn.IFNA(_xlfn.XLOOKUP(K$3, deliveryDates[[Date]:[Date]], deliveryDates[[Type]:[Type]]), "")</f>
        <v/>
      </c>
      <c r="L2" s="201" t="str" cm="1">
        <f t="array" ref="L2">_xlfn.IFNA(_xlfn.XLOOKUP(L$3, deliveryDates[[Date]:[Date]], deliveryDates[[Type]:[Type]]), "")</f>
        <v>Suivi</v>
      </c>
      <c r="M2" s="201" t="str" cm="1">
        <f t="array" ref="M2">_xlfn.IFNA(_xlfn.XLOOKUP(M$3, deliveryDates[[Date]:[Date]], deliveryDates[[Type]:[Type]]), "")</f>
        <v/>
      </c>
      <c r="N2" s="201" t="str" cm="1">
        <f t="array" ref="N2">_xlfn.IFNA(_xlfn.XLOOKUP(N$3, deliveryDates[[Date]:[Date]], deliveryDates[[Type]:[Type]]), "")</f>
        <v/>
      </c>
      <c r="O2" s="201" t="str" cm="1">
        <f t="array" ref="O2">_xlfn.IFNA(_xlfn.XLOOKUP(O$3, deliveryDates[[Date]:[Date]], deliveryDates[[Type]:[Type]]), "")</f>
        <v/>
      </c>
      <c r="P2" s="201" t="str" cm="1">
        <f t="array" ref="P2">_xlfn.IFNA(_xlfn.XLOOKUP(P$3, deliveryDates[[Date]:[Date]], deliveryDates[[Type]:[Type]]), "")</f>
        <v/>
      </c>
      <c r="Q2" s="201" t="str" cm="1">
        <f t="array" ref="Q2">_xlfn.IFNA(_xlfn.XLOOKUP(Q$3, deliveryDates[[Date]:[Date]], deliveryDates[[Type]:[Type]]), "")</f>
        <v/>
      </c>
      <c r="R2" s="201" t="str" cm="1">
        <f t="array" ref="R2">_xlfn.IFNA(_xlfn.XLOOKUP(R$3, deliveryDates[[Date]:[Date]], deliveryDates[[Type]:[Type]]), "")</f>
        <v/>
      </c>
      <c r="S2" s="201" t="str" cm="1">
        <f t="array" ref="S2">_xlfn.IFNA(_xlfn.XLOOKUP(S$3, deliveryDates[[Date]:[Date]], deliveryDates[[Type]:[Type]]), "")</f>
        <v>Production</v>
      </c>
      <c r="T2" s="201" t="str" cm="1">
        <f t="array" ref="T2">_xlfn.IFNA(_xlfn.XLOOKUP(T$3, deliveryDates[[Date]:[Date]], deliveryDates[[Type]:[Type]]), "")</f>
        <v/>
      </c>
      <c r="U2" s="201" t="str" cm="1">
        <f t="array" ref="U2">_xlfn.IFNA(_xlfn.XLOOKUP(U$3, deliveryDates[[Date]:[Date]], deliveryDates[[Type]:[Type]]), "")</f>
        <v/>
      </c>
      <c r="V2" s="201" t="str" cm="1">
        <f t="array" ref="V2">_xlfn.IFNA(_xlfn.XLOOKUP(V$3, deliveryDates[[Date]:[Date]], deliveryDates[[Type]:[Type]]), "")</f>
        <v/>
      </c>
      <c r="W2" s="201" t="str" cm="1">
        <f t="array" ref="W2">_xlfn.IFNA(_xlfn.XLOOKUP(W$3, deliveryDates[[Date]:[Date]], deliveryDates[[Type]:[Type]]), "")</f>
        <v/>
      </c>
      <c r="X2" s="201" t="str" cm="1">
        <f t="array" ref="X2">_xlfn.IFNA(_xlfn.XLOOKUP(X$3, deliveryDates[[Date]:[Date]], deliveryDates[[Type]:[Type]]), "")</f>
        <v/>
      </c>
      <c r="Y2" s="201" t="str" cm="1">
        <f t="array" ref="Y2">_xlfn.IFNA(_xlfn.XLOOKUP(Y$3, deliveryDates[[Date]:[Date]], deliveryDates[[Type]:[Type]]), "")</f>
        <v/>
      </c>
      <c r="Z2" s="201" t="str" cm="1">
        <f t="array" ref="Z2">_xlfn.IFNA(_xlfn.XLOOKUP(Z$3, deliveryDates[[Date]:[Date]], deliveryDates[[Type]:[Type]]), "")</f>
        <v>Suivi</v>
      </c>
      <c r="AA2" s="201" t="str" cm="1">
        <f t="array" ref="AA2">_xlfn.IFNA(_xlfn.XLOOKUP(AA$3, deliveryDates[[Date]:[Date]], deliveryDates[[Type]:[Type]]), "")</f>
        <v/>
      </c>
      <c r="AB2" s="201" t="str" cm="1">
        <f t="array" ref="AB2">_xlfn.IFNA(_xlfn.XLOOKUP(AB$3, deliveryDates[[Date]:[Date]], deliveryDates[[Type]:[Type]]), "")</f>
        <v/>
      </c>
      <c r="AC2" s="201" t="str" cm="1">
        <f t="array" ref="AC2">_xlfn.IFNA(_xlfn.XLOOKUP(AC$3, deliveryDates[[Date]:[Date]], deliveryDates[[Type]:[Type]]), "")</f>
        <v/>
      </c>
    </row>
    <row r="3" spans="1:34" ht="20.100000000000001" customHeight="1" x14ac:dyDescent="0.25">
      <c r="B3" s="4" cm="1">
        <f t="array" ref="B3:AC3">DATE(2023, 10, 28)+_xlfn.SEQUENCE(1,28)</f>
        <v>45228</v>
      </c>
      <c r="C3" s="4">
        <v>45229</v>
      </c>
      <c r="D3" s="4">
        <v>45230</v>
      </c>
      <c r="E3" s="4">
        <v>45231</v>
      </c>
      <c r="F3" s="4">
        <v>45232</v>
      </c>
      <c r="G3" s="4">
        <v>45233</v>
      </c>
      <c r="H3" s="4">
        <v>45234</v>
      </c>
      <c r="I3" s="4">
        <v>45235</v>
      </c>
      <c r="J3" s="4">
        <v>45236</v>
      </c>
      <c r="K3" s="4">
        <v>45237</v>
      </c>
      <c r="L3" s="4">
        <v>45238</v>
      </c>
      <c r="M3" s="4">
        <v>45239</v>
      </c>
      <c r="N3" s="4">
        <v>45240</v>
      </c>
      <c r="O3" s="4">
        <v>45241</v>
      </c>
      <c r="P3" s="4">
        <v>45242</v>
      </c>
      <c r="Q3" s="4">
        <v>45243</v>
      </c>
      <c r="R3" s="4">
        <v>45244</v>
      </c>
      <c r="S3" s="4">
        <v>45245</v>
      </c>
      <c r="T3" s="4">
        <v>45246</v>
      </c>
      <c r="U3" s="4">
        <v>45247</v>
      </c>
      <c r="V3" s="4">
        <v>45248</v>
      </c>
      <c r="W3" s="4">
        <v>45249</v>
      </c>
      <c r="X3" s="4">
        <v>45250</v>
      </c>
      <c r="Y3" s="4">
        <v>45251</v>
      </c>
      <c r="Z3" s="4">
        <v>45252</v>
      </c>
      <c r="AA3" s="4">
        <v>45253</v>
      </c>
      <c r="AB3" s="4">
        <v>45254</v>
      </c>
      <c r="AC3" s="4">
        <v>45255</v>
      </c>
    </row>
    <row r="4" spans="1:34" ht="20.100000000000001" hidden="1" customHeight="1" outlineLevel="1" x14ac:dyDescent="0.25">
      <c r="A4" s="281" t="s">
        <v>12</v>
      </c>
      <c r="B4" s="283" t="s">
        <v>254</v>
      </c>
      <c r="C4" s="283"/>
      <c r="D4" s="283"/>
      <c r="E4" s="283"/>
      <c r="F4" s="283"/>
      <c r="G4" s="283"/>
      <c r="H4" s="283"/>
      <c r="I4" s="283"/>
      <c r="J4" s="283"/>
      <c r="K4" s="283"/>
      <c r="L4" s="283"/>
      <c r="M4" s="283"/>
      <c r="N4" s="283" t="s">
        <v>255</v>
      </c>
      <c r="O4" s="283"/>
      <c r="P4" s="283"/>
      <c r="Q4" s="283"/>
      <c r="R4" s="283"/>
      <c r="S4" s="283"/>
      <c r="T4" s="187" t="s">
        <v>256</v>
      </c>
      <c r="U4" s="187"/>
      <c r="V4" s="187"/>
      <c r="W4" s="187"/>
      <c r="X4" s="187"/>
      <c r="Y4" s="187"/>
      <c r="Z4" s="187"/>
      <c r="AA4" s="187"/>
      <c r="AB4" s="187"/>
      <c r="AC4" s="187"/>
    </row>
    <row r="5" spans="1:34" ht="20.100000000000001" hidden="1" customHeight="1" outlineLevel="1" x14ac:dyDescent="0.25">
      <c r="A5" s="281"/>
      <c r="B5" s="187">
        <v>0</v>
      </c>
      <c r="C5" s="187">
        <v>0</v>
      </c>
      <c r="D5" s="187">
        <v>0</v>
      </c>
      <c r="E5" s="187">
        <v>0</v>
      </c>
      <c r="F5" s="187">
        <v>0</v>
      </c>
      <c r="G5" s="187">
        <v>0</v>
      </c>
      <c r="H5" s="187">
        <v>0</v>
      </c>
      <c r="I5" s="187">
        <v>0</v>
      </c>
      <c r="J5" s="187">
        <v>0</v>
      </c>
      <c r="K5" s="187">
        <v>0</v>
      </c>
      <c r="L5" s="187">
        <v>0</v>
      </c>
      <c r="M5" s="187">
        <v>0</v>
      </c>
      <c r="N5" s="187">
        <v>0</v>
      </c>
      <c r="O5" s="187">
        <v>0</v>
      </c>
      <c r="P5" s="187">
        <v>0</v>
      </c>
      <c r="Q5" s="187">
        <v>0</v>
      </c>
      <c r="R5" s="187">
        <v>0</v>
      </c>
      <c r="S5" s="187">
        <v>0</v>
      </c>
      <c r="T5" s="187">
        <v>0</v>
      </c>
      <c r="U5" s="187">
        <v>0</v>
      </c>
      <c r="V5" s="187">
        <v>0</v>
      </c>
      <c r="W5" s="187">
        <v>0</v>
      </c>
      <c r="X5" s="187">
        <v>0</v>
      </c>
      <c r="Y5" s="187">
        <v>0</v>
      </c>
      <c r="Z5" s="187">
        <v>0</v>
      </c>
      <c r="AA5" s="187"/>
      <c r="AB5" s="187"/>
      <c r="AC5" s="187"/>
      <c r="AE5" s="92" t="str" cm="1">
        <f t="array" ref="AE5:AH10">plannerTable[#All]</f>
        <v>Artist</v>
      </c>
      <c r="AF5" s="92" t="str">
        <v>Planned</v>
      </c>
      <c r="AG5" s="92" t="str">
        <v>Hours to do</v>
      </c>
      <c r="AH5" s="92" t="str">
        <v>Difference</v>
      </c>
    </row>
    <row r="6" spans="1:34" ht="20.100000000000001" hidden="1" customHeight="1" outlineLevel="1" x14ac:dyDescent="0.25">
      <c r="A6" s="278" t="s">
        <v>14</v>
      </c>
      <c r="B6" s="187"/>
      <c r="C6" s="187"/>
      <c r="D6" s="187"/>
      <c r="E6" s="187"/>
      <c r="F6" s="202"/>
      <c r="G6" s="187"/>
      <c r="H6" s="187"/>
      <c r="I6" s="187"/>
      <c r="J6" s="187"/>
      <c r="K6" s="187"/>
      <c r="L6" s="187"/>
      <c r="M6" s="187"/>
      <c r="N6" s="187"/>
      <c r="O6" s="187"/>
      <c r="P6" s="187"/>
      <c r="Q6" s="187"/>
      <c r="R6" s="187"/>
      <c r="S6" s="187"/>
      <c r="T6" s="187"/>
      <c r="U6" s="187"/>
      <c r="V6" s="187"/>
      <c r="W6" s="187"/>
      <c r="X6" s="187"/>
      <c r="Y6" s="187"/>
      <c r="Z6" s="187"/>
      <c r="AA6" s="187"/>
      <c r="AB6" s="187"/>
      <c r="AC6" s="187"/>
      <c r="AE6" s="180" t="str">
        <v>P-A</v>
      </c>
      <c r="AF6" s="92">
        <v>216</v>
      </c>
      <c r="AG6" s="179">
        <v>5.3000000000000016</v>
      </c>
      <c r="AH6" s="179" t="str">
        <v>211 hrs</v>
      </c>
    </row>
    <row r="7" spans="1:34" ht="20.100000000000001" hidden="1" customHeight="1" outlineLevel="1" x14ac:dyDescent="0.25">
      <c r="A7" s="278"/>
      <c r="B7" s="187"/>
      <c r="C7" s="187"/>
      <c r="D7" s="187"/>
      <c r="E7" s="187"/>
      <c r="F7" s="187"/>
      <c r="G7" s="187"/>
      <c r="H7" s="187">
        <v>0</v>
      </c>
      <c r="I7" s="187">
        <v>0</v>
      </c>
      <c r="J7" s="187">
        <v>0</v>
      </c>
      <c r="K7" s="187">
        <v>0</v>
      </c>
      <c r="L7" s="187">
        <v>0</v>
      </c>
      <c r="M7" s="187">
        <v>0</v>
      </c>
      <c r="N7" s="187">
        <v>0</v>
      </c>
      <c r="O7" s="187">
        <v>0</v>
      </c>
      <c r="P7" s="187">
        <v>0</v>
      </c>
      <c r="Q7" s="187">
        <v>0</v>
      </c>
      <c r="R7" s="187">
        <v>0</v>
      </c>
      <c r="S7" s="187">
        <v>0</v>
      </c>
      <c r="T7" s="187">
        <v>0</v>
      </c>
      <c r="U7" s="187">
        <v>0</v>
      </c>
      <c r="V7" s="187">
        <v>0</v>
      </c>
      <c r="W7" s="187">
        <v>0</v>
      </c>
      <c r="X7" s="187">
        <v>0</v>
      </c>
      <c r="Y7" s="187">
        <v>0</v>
      </c>
      <c r="Z7" s="187">
        <v>0</v>
      </c>
      <c r="AA7" s="187">
        <v>0</v>
      </c>
      <c r="AB7" s="187">
        <v>0</v>
      </c>
      <c r="AC7" s="187">
        <v>0</v>
      </c>
      <c r="AE7" s="180" t="str">
        <v>Fred</v>
      </c>
      <c r="AF7" s="92">
        <v>268</v>
      </c>
      <c r="AG7" s="179">
        <v>3.0000000000000027</v>
      </c>
      <c r="AH7" s="179" t="str">
        <v>265 hrs</v>
      </c>
    </row>
    <row r="8" spans="1:34" ht="20.100000000000001" hidden="1" customHeight="1" outlineLevel="1" x14ac:dyDescent="0.25">
      <c r="A8" s="277" t="s">
        <v>16</v>
      </c>
      <c r="B8" s="187"/>
      <c r="C8" s="187"/>
      <c r="D8" s="187"/>
      <c r="E8" s="187"/>
      <c r="F8" s="187"/>
      <c r="G8" s="187"/>
      <c r="H8" s="203" t="s">
        <v>254</v>
      </c>
      <c r="I8" s="203"/>
      <c r="J8" s="203"/>
      <c r="K8" s="203"/>
      <c r="L8" s="203"/>
      <c r="M8" s="203"/>
      <c r="N8" s="203"/>
      <c r="O8" s="203"/>
      <c r="P8" s="204" t="s">
        <v>257</v>
      </c>
      <c r="Q8" s="205" t="s">
        <v>258</v>
      </c>
      <c r="R8" s="205"/>
      <c r="S8" s="205"/>
      <c r="T8" s="203" t="s">
        <v>254</v>
      </c>
      <c r="U8" s="203"/>
      <c r="V8" s="203"/>
      <c r="W8" s="203"/>
      <c r="X8" s="203"/>
      <c r="Y8" s="203"/>
      <c r="Z8" s="203"/>
      <c r="AA8" s="203"/>
      <c r="AB8" s="206" t="s">
        <v>259</v>
      </c>
      <c r="AC8" s="206"/>
      <c r="AE8" s="180" t="str">
        <v>AnnLau</v>
      </c>
      <c r="AF8" s="92">
        <v>0</v>
      </c>
      <c r="AG8" s="179">
        <v>177.77</v>
      </c>
      <c r="AH8" s="179" t="str">
        <v>-178 hrs</v>
      </c>
    </row>
    <row r="9" spans="1:34" ht="20.100000000000001" hidden="1" customHeight="1" outlineLevel="1" x14ac:dyDescent="0.25">
      <c r="A9" s="277"/>
      <c r="B9" s="187"/>
      <c r="C9" s="187"/>
      <c r="D9" s="187"/>
      <c r="E9" s="187"/>
      <c r="F9" s="187"/>
      <c r="G9" s="187"/>
      <c r="H9" s="187">
        <v>0</v>
      </c>
      <c r="I9" s="187">
        <v>0</v>
      </c>
      <c r="J9" s="187">
        <v>0</v>
      </c>
      <c r="K9" s="187">
        <v>0</v>
      </c>
      <c r="L9" s="187">
        <v>0</v>
      </c>
      <c r="M9" s="187">
        <v>0</v>
      </c>
      <c r="N9" s="187">
        <v>0</v>
      </c>
      <c r="O9" s="187">
        <v>0</v>
      </c>
      <c r="P9" s="207">
        <v>0</v>
      </c>
      <c r="Q9" s="187">
        <v>0</v>
      </c>
      <c r="R9" s="187">
        <v>0</v>
      </c>
      <c r="S9" s="187">
        <v>0</v>
      </c>
      <c r="T9" s="187">
        <v>0</v>
      </c>
      <c r="U9" s="187">
        <v>0</v>
      </c>
      <c r="V9" s="187">
        <v>0</v>
      </c>
      <c r="W9" s="187">
        <v>0</v>
      </c>
      <c r="X9" s="187">
        <v>0</v>
      </c>
      <c r="Y9" s="187">
        <v>0</v>
      </c>
      <c r="Z9" s="187">
        <v>0</v>
      </c>
      <c r="AA9" s="187">
        <v>0</v>
      </c>
      <c r="AB9" s="187">
        <v>0</v>
      </c>
      <c r="AC9" s="187">
        <v>0</v>
      </c>
      <c r="AE9" s="180" t="str">
        <v>Jacob</v>
      </c>
      <c r="AF9" s="83">
        <v>81</v>
      </c>
      <c r="AG9" s="179">
        <v>103.46</v>
      </c>
      <c r="AH9" s="179" t="str">
        <v>-22 hrs</v>
      </c>
    </row>
    <row r="10" spans="1:34" ht="20.100000000000001" hidden="1" customHeight="1" outlineLevel="1" x14ac:dyDescent="0.25">
      <c r="A10" s="279" t="s">
        <v>18</v>
      </c>
      <c r="B10" s="284" t="s">
        <v>259</v>
      </c>
      <c r="C10" s="284"/>
      <c r="D10" s="284"/>
      <c r="E10" s="284"/>
      <c r="F10" s="284"/>
      <c r="G10" s="284"/>
      <c r="H10" s="284"/>
      <c r="I10" s="284"/>
      <c r="J10" s="284"/>
      <c r="K10" s="284"/>
      <c r="L10" s="284"/>
      <c r="M10" s="208" t="s">
        <v>255</v>
      </c>
      <c r="N10" s="208"/>
      <c r="O10" s="208"/>
      <c r="P10" s="208"/>
      <c r="Q10" s="208"/>
      <c r="R10" s="208"/>
      <c r="S10" s="208"/>
      <c r="T10" s="206" t="s">
        <v>259</v>
      </c>
      <c r="U10" s="206"/>
      <c r="V10" s="206"/>
      <c r="W10" s="206"/>
      <c r="X10" s="206"/>
      <c r="Y10" s="206"/>
      <c r="Z10" s="206"/>
      <c r="AA10" s="206"/>
      <c r="AB10" s="206"/>
      <c r="AC10" s="206"/>
      <c r="AE10" s="180" t="str">
        <v>Mym</v>
      </c>
      <c r="AF10" s="92">
        <v>110</v>
      </c>
      <c r="AG10" s="179">
        <v>177.89999999999998</v>
      </c>
      <c r="AH10" s="179" t="str">
        <v>-68 hrs</v>
      </c>
    </row>
    <row r="11" spans="1:34" ht="20.100000000000001" hidden="1" customHeight="1" outlineLevel="1" x14ac:dyDescent="0.25">
      <c r="A11" s="279"/>
      <c r="B11" s="187">
        <v>0</v>
      </c>
      <c r="C11" s="187">
        <v>0</v>
      </c>
      <c r="D11" s="187">
        <v>0</v>
      </c>
      <c r="E11" s="187">
        <v>0</v>
      </c>
      <c r="F11" s="187">
        <v>0</v>
      </c>
      <c r="G11" s="187">
        <v>0</v>
      </c>
      <c r="H11" s="187">
        <v>0</v>
      </c>
      <c r="I11" s="187">
        <v>0</v>
      </c>
      <c r="J11" s="187">
        <v>0</v>
      </c>
      <c r="K11" s="187">
        <v>0</v>
      </c>
      <c r="L11" s="187">
        <v>0</v>
      </c>
      <c r="M11" s="187">
        <v>0</v>
      </c>
      <c r="N11" s="187">
        <v>0</v>
      </c>
      <c r="O11" s="187">
        <v>0</v>
      </c>
      <c r="P11" s="187">
        <v>0</v>
      </c>
      <c r="Q11" s="187">
        <v>0</v>
      </c>
      <c r="R11" s="187">
        <v>0</v>
      </c>
      <c r="S11" s="187">
        <v>0</v>
      </c>
      <c r="T11" s="187">
        <v>0</v>
      </c>
      <c r="U11" s="187">
        <v>0</v>
      </c>
      <c r="V11" s="187">
        <v>0</v>
      </c>
      <c r="W11" s="187">
        <v>0</v>
      </c>
      <c r="X11" s="187">
        <v>0</v>
      </c>
      <c r="Y11" s="187">
        <v>0</v>
      </c>
      <c r="Z11" s="187">
        <v>0</v>
      </c>
      <c r="AA11" s="187">
        <v>0</v>
      </c>
      <c r="AB11" s="187">
        <v>0</v>
      </c>
      <c r="AC11" s="187">
        <v>0</v>
      </c>
    </row>
    <row r="12" spans="1:34" ht="20.100000000000001" hidden="1" customHeight="1" outlineLevel="1" x14ac:dyDescent="0.25">
      <c r="A12" s="280" t="s">
        <v>20</v>
      </c>
      <c r="B12" s="187"/>
      <c r="C12" s="187"/>
      <c r="D12" s="187"/>
      <c r="E12" s="187"/>
      <c r="F12" s="187"/>
      <c r="G12" s="187"/>
      <c r="H12" s="187"/>
      <c r="I12" s="187"/>
      <c r="J12" s="187"/>
      <c r="K12" s="187"/>
      <c r="L12" s="187"/>
      <c r="M12" s="187"/>
      <c r="N12" s="187"/>
      <c r="O12" s="187"/>
      <c r="P12" s="187"/>
      <c r="Q12" s="187"/>
      <c r="R12" s="187"/>
      <c r="S12" s="187"/>
      <c r="T12" s="187"/>
      <c r="U12" s="187"/>
      <c r="V12" s="187"/>
      <c r="W12" s="187"/>
      <c r="X12" s="187"/>
      <c r="Y12" s="187"/>
      <c r="Z12" s="187"/>
      <c r="AA12" s="187"/>
      <c r="AB12" s="187"/>
      <c r="AC12" s="187"/>
    </row>
    <row r="13" spans="1:34" ht="20.100000000000001" hidden="1" customHeight="1" outlineLevel="1" x14ac:dyDescent="0.25">
      <c r="A13" s="280"/>
      <c r="B13" s="187"/>
      <c r="C13" s="187">
        <v>0</v>
      </c>
      <c r="D13" s="187">
        <v>0</v>
      </c>
      <c r="E13" s="187">
        <v>0</v>
      </c>
      <c r="F13" s="187">
        <v>0</v>
      </c>
      <c r="G13" s="187">
        <v>0</v>
      </c>
      <c r="H13" s="187">
        <v>0</v>
      </c>
      <c r="I13" s="187">
        <v>0</v>
      </c>
      <c r="J13" s="187">
        <v>0</v>
      </c>
      <c r="K13" s="187">
        <v>0</v>
      </c>
      <c r="L13" s="187">
        <v>0</v>
      </c>
      <c r="M13" s="187">
        <v>0</v>
      </c>
      <c r="N13" s="187">
        <v>0</v>
      </c>
      <c r="O13" s="187">
        <v>0</v>
      </c>
      <c r="P13" s="187">
        <v>0</v>
      </c>
      <c r="Q13" s="187">
        <v>0</v>
      </c>
      <c r="R13" s="187">
        <v>0</v>
      </c>
      <c r="S13" s="187">
        <v>0</v>
      </c>
      <c r="T13" s="187">
        <v>0</v>
      </c>
      <c r="U13" s="187">
        <v>0</v>
      </c>
      <c r="V13" s="187">
        <v>0</v>
      </c>
      <c r="W13" s="187">
        <v>0</v>
      </c>
      <c r="X13" s="187">
        <v>0</v>
      </c>
      <c r="Y13" s="187">
        <v>0</v>
      </c>
      <c r="Z13" s="187">
        <v>0</v>
      </c>
      <c r="AA13" s="187">
        <v>0</v>
      </c>
      <c r="AB13" s="187">
        <v>0</v>
      </c>
      <c r="AC13" s="187">
        <v>0</v>
      </c>
    </row>
    <row r="14" spans="1:34" s="10" customFormat="1" ht="63.75" customHeight="1" collapsed="1" x14ac:dyDescent="0.25">
      <c r="A14" s="3"/>
      <c r="B14" s="201" t="str" cm="1">
        <f t="array" ref="B14">_xlfn.IFNA(_xlfn.XLOOKUP(B$15, deliveryDates[[Date]:[Date]], deliveryDates[[Type]:[Type]]), "")</f>
        <v/>
      </c>
      <c r="C14" s="201" t="str" cm="1">
        <f t="array" ref="C14">_xlfn.IFNA(_xlfn.XLOOKUP(C$15, deliveryDates[[Date]:[Date]], deliveryDates[[Type]:[Type]]), "")</f>
        <v/>
      </c>
      <c r="D14" s="201" t="str" cm="1">
        <f t="array" ref="D14">_xlfn.IFNA(_xlfn.XLOOKUP(D$15, deliveryDates[[Date]:[Date]], deliveryDates[[Type]:[Type]]), "")</f>
        <v/>
      </c>
      <c r="E14" s="201" t="str" cm="1">
        <f t="array" ref="E14">_xlfn.IFNA(_xlfn.XLOOKUP(E$15, deliveryDates[[Date]:[Date]], deliveryDates[[Type]:[Type]]), "")</f>
        <v/>
      </c>
      <c r="F14" s="201" t="str" cm="1">
        <f t="array" ref="F14">_xlfn.IFNA(_xlfn.XLOOKUP(F$15, deliveryDates[[Date]:[Date]], deliveryDates[[Type]:[Type]]), "")</f>
        <v/>
      </c>
      <c r="G14" s="201" t="str" cm="1">
        <f t="array" ref="G14">_xlfn.IFNA(_xlfn.XLOOKUP(G$15, deliveryDates[[Date]:[Date]], deliveryDates[[Type]:[Type]]), "")</f>
        <v/>
      </c>
      <c r="H14" s="201" t="str" cm="1">
        <f t="array" ref="H14">_xlfn.IFNA(_xlfn.XLOOKUP(H$15, deliveryDates[[Date]:[Date]], deliveryDates[[Type]:[Type]]), "")</f>
        <v/>
      </c>
      <c r="I14" s="201" t="str" cm="1">
        <f t="array" ref="I14">_xlfn.IFNA(_xlfn.XLOOKUP(I$15, deliveryDates[[Date]:[Date]], deliveryDates[[Type]:[Type]]), "")</f>
        <v/>
      </c>
      <c r="J14" s="201" t="str" cm="1">
        <f t="array" ref="J14">_xlfn.IFNA(_xlfn.XLOOKUP(J$15, deliveryDates[[Date]:[Date]], deliveryDates[[Type]:[Type]]), "")</f>
        <v/>
      </c>
      <c r="K14" s="201" t="str" cm="1">
        <f t="array" ref="K14">_xlfn.IFNA(_xlfn.XLOOKUP(K$15, deliveryDates[[Date]:[Date]], deliveryDates[[Type]:[Type]]), "")</f>
        <v/>
      </c>
      <c r="L14" s="201" t="str" cm="1">
        <f t="array" ref="L14">_xlfn.IFNA(_xlfn.XLOOKUP(L$15, deliveryDates[[Date]:[Date]], deliveryDates[[Type]:[Type]]), "")</f>
        <v/>
      </c>
      <c r="M14" s="201" t="str" cm="1">
        <f t="array" ref="M14">_xlfn.IFNA(_xlfn.XLOOKUP(M$15, deliveryDates[[Date]:[Date]], deliveryDates[[Type]:[Type]]), "")</f>
        <v/>
      </c>
      <c r="N14" s="201" t="str" cm="1">
        <f t="array" ref="N14">_xlfn.IFNA(_xlfn.XLOOKUP(N$15, deliveryDates[[Date]:[Date]], deliveryDates[[Type]:[Type]]), "")</f>
        <v/>
      </c>
      <c r="O14" s="201" t="str" cm="1">
        <f t="array" ref="O14">_xlfn.IFNA(_xlfn.XLOOKUP(O$15, deliveryDates[[Date]:[Date]], deliveryDates[[Type]:[Type]]), "")</f>
        <v/>
      </c>
      <c r="P14" s="201" t="str" cm="1">
        <f t="array" ref="P14">_xlfn.IFNA(_xlfn.XLOOKUP(P$15, deliveryDates[[Date]:[Date]], deliveryDates[[Type]:[Type]]), "")</f>
        <v/>
      </c>
      <c r="Q14" s="201" t="str" cm="1">
        <f t="array" ref="Q14">_xlfn.IFNA(_xlfn.XLOOKUP(Q$15, deliveryDates[[Date]:[Date]], deliveryDates[[Type]:[Type]]), "")</f>
        <v/>
      </c>
      <c r="R14" s="201" t="str" cm="1">
        <f t="array" ref="R14">_xlfn.IFNA(_xlfn.XLOOKUP(R$15, deliveryDates[[Date]:[Date]], deliveryDates[[Type]:[Type]]), "")</f>
        <v/>
      </c>
      <c r="S14" s="201" t="str" cm="1">
        <f t="array" ref="S14">_xlfn.IFNA(_xlfn.XLOOKUP(S$15, deliveryDates[[Date]:[Date]], deliveryDates[[Type]:[Type]]), "")</f>
        <v>Production</v>
      </c>
      <c r="T14" s="201" t="str" cm="1">
        <f t="array" ref="T14">_xlfn.IFNA(_xlfn.XLOOKUP(T$15, deliveryDates[[Date]:[Date]], deliveryDates[[Type]:[Type]]), "")</f>
        <v/>
      </c>
      <c r="U14" s="201" t="str" cm="1">
        <f t="array" ref="U14">_xlfn.IFNA(_xlfn.XLOOKUP(U$15, deliveryDates[[Date]:[Date]], deliveryDates[[Type]:[Type]]), "")</f>
        <v/>
      </c>
      <c r="V14" s="201" t="str" cm="1">
        <f t="array" ref="V14">_xlfn.IFNA(_xlfn.XLOOKUP(V$15, deliveryDates[[Date]:[Date]], deliveryDates[[Type]:[Type]]), "")</f>
        <v/>
      </c>
      <c r="W14" s="201" t="str" cm="1">
        <f t="array" ref="W14">_xlfn.IFNA(_xlfn.XLOOKUP(W$15, deliveryDates[[Date]:[Date]], deliveryDates[[Type]:[Type]]), "")</f>
        <v/>
      </c>
      <c r="X14" s="201" t="str" cm="1">
        <f t="array" ref="X14">_xlfn.IFNA(_xlfn.XLOOKUP(X$15, deliveryDates[[Date]:[Date]], deliveryDates[[Type]:[Type]]), "")</f>
        <v/>
      </c>
      <c r="Y14" s="201" t="str" cm="1">
        <f t="array" ref="Y14">_xlfn.IFNA(_xlfn.XLOOKUP(Y$15, deliveryDates[[Date]:[Date]], deliveryDates[[Type]:[Type]]), "")</f>
        <v/>
      </c>
      <c r="Z14" s="201" t="str" cm="1">
        <f t="array" ref="Z14">_xlfn.IFNA(_xlfn.XLOOKUP(Z$15, deliveryDates[[Date]:[Date]], deliveryDates[[Type]:[Type]]), "")</f>
        <v>Suivi</v>
      </c>
      <c r="AA14" s="201" t="str" cm="1">
        <f t="array" ref="AA14">_xlfn.IFNA(_xlfn.XLOOKUP(AA$15, deliveryDates[[Date]:[Date]], deliveryDates[[Type]:[Type]]), "")</f>
        <v/>
      </c>
      <c r="AB14" s="201" t="str" cm="1">
        <f t="array" ref="AB14">_xlfn.IFNA(_xlfn.XLOOKUP(AB$15, deliveryDates[[Date]:[Date]], deliveryDates[[Type]:[Type]]), "")</f>
        <v/>
      </c>
      <c r="AC14" s="201" t="str" cm="1">
        <f t="array" ref="AC14">_xlfn.IFNA(_xlfn.XLOOKUP(AC$15, deliveryDates[[Date]:[Date]], deliveryDates[[Type]:[Type]]), "")</f>
        <v/>
      </c>
    </row>
    <row r="15" spans="1:34" ht="20.100000000000001" customHeight="1" x14ac:dyDescent="0.25">
      <c r="B15" s="4" cm="1">
        <f t="array" ref="B15:AC15">DATE(2023, 11, 25)+_xlfn.SEQUENCE(1,28)</f>
        <v>45256</v>
      </c>
      <c r="C15" s="4">
        <v>45257</v>
      </c>
      <c r="D15" s="4">
        <v>45258</v>
      </c>
      <c r="E15" s="4">
        <v>45259</v>
      </c>
      <c r="F15" s="4">
        <v>45260</v>
      </c>
      <c r="G15" s="4">
        <v>45261</v>
      </c>
      <c r="H15" s="4">
        <v>45262</v>
      </c>
      <c r="I15" s="4">
        <v>45263</v>
      </c>
      <c r="J15" s="4">
        <v>45264</v>
      </c>
      <c r="K15" s="4">
        <v>45265</v>
      </c>
      <c r="L15" s="4">
        <v>45266</v>
      </c>
      <c r="M15" s="4">
        <v>45267</v>
      </c>
      <c r="N15" s="4">
        <v>45268</v>
      </c>
      <c r="O15" s="4">
        <v>45269</v>
      </c>
      <c r="P15" s="4">
        <v>45270</v>
      </c>
      <c r="Q15" s="4">
        <v>45271</v>
      </c>
      <c r="R15" s="4">
        <v>45272</v>
      </c>
      <c r="S15" s="4">
        <v>45273</v>
      </c>
      <c r="T15" s="4">
        <v>45274</v>
      </c>
      <c r="U15" s="4">
        <v>45275</v>
      </c>
      <c r="V15" s="4">
        <v>45276</v>
      </c>
      <c r="W15" s="4">
        <v>45277</v>
      </c>
      <c r="X15" s="4">
        <v>45278</v>
      </c>
      <c r="Y15" s="4">
        <v>45279</v>
      </c>
      <c r="Z15" s="4">
        <v>45280</v>
      </c>
      <c r="AA15" s="4">
        <v>45281</v>
      </c>
      <c r="AB15" s="4">
        <v>45282</v>
      </c>
      <c r="AC15" s="4">
        <v>45283</v>
      </c>
    </row>
    <row r="16" spans="1:34" ht="20.100000000000001" hidden="1" customHeight="1" outlineLevel="1" x14ac:dyDescent="0.25">
      <c r="A16" s="281" t="s">
        <v>12</v>
      </c>
      <c r="B16" s="187"/>
      <c r="C16" s="187"/>
      <c r="D16" s="187"/>
      <c r="E16" s="187"/>
      <c r="F16" s="187"/>
      <c r="G16" s="187"/>
      <c r="H16" s="187"/>
      <c r="I16" s="187"/>
      <c r="J16" s="187"/>
      <c r="K16" s="187"/>
      <c r="L16" s="187"/>
      <c r="M16" s="187"/>
      <c r="N16" s="187"/>
      <c r="O16" s="187"/>
      <c r="P16" s="187"/>
      <c r="Q16" s="187"/>
      <c r="R16" s="187"/>
      <c r="S16" s="187"/>
      <c r="T16" s="187"/>
      <c r="U16" s="187"/>
      <c r="V16" s="187"/>
      <c r="W16" s="187"/>
      <c r="X16" s="187"/>
      <c r="Y16" s="187"/>
      <c r="Z16" s="187"/>
      <c r="AA16" s="187"/>
      <c r="AB16" s="187"/>
      <c r="AC16" s="187"/>
    </row>
    <row r="17" spans="1:29" ht="20.100000000000001" hidden="1" customHeight="1" outlineLevel="1" x14ac:dyDescent="0.25">
      <c r="A17" s="281"/>
      <c r="B17" s="187"/>
      <c r="C17" s="187"/>
      <c r="D17" s="187"/>
      <c r="E17" s="187"/>
      <c r="F17" s="187">
        <v>0</v>
      </c>
      <c r="G17" s="187">
        <v>0</v>
      </c>
      <c r="H17" s="187">
        <v>0</v>
      </c>
      <c r="I17" s="187">
        <v>0</v>
      </c>
      <c r="J17" s="187">
        <v>0</v>
      </c>
      <c r="K17" s="187">
        <v>0</v>
      </c>
      <c r="L17" s="187">
        <v>0</v>
      </c>
      <c r="M17" s="187">
        <v>0</v>
      </c>
      <c r="N17" s="187">
        <v>0</v>
      </c>
      <c r="O17" s="187">
        <v>0</v>
      </c>
      <c r="P17" s="187">
        <v>0</v>
      </c>
      <c r="Q17" s="187">
        <v>0</v>
      </c>
      <c r="R17" s="187">
        <v>0</v>
      </c>
      <c r="S17" s="187">
        <v>0</v>
      </c>
      <c r="T17" s="187">
        <v>0</v>
      </c>
      <c r="U17" s="187">
        <v>0</v>
      </c>
      <c r="V17" s="187">
        <v>0</v>
      </c>
      <c r="W17" s="187">
        <v>0</v>
      </c>
      <c r="X17" s="187">
        <v>0</v>
      </c>
      <c r="Y17" s="187">
        <v>0</v>
      </c>
      <c r="Z17" s="187">
        <v>0</v>
      </c>
      <c r="AA17" s="187">
        <v>0</v>
      </c>
      <c r="AB17" s="187">
        <v>0</v>
      </c>
      <c r="AC17" s="187">
        <v>0</v>
      </c>
    </row>
    <row r="18" spans="1:29" ht="20.100000000000001" hidden="1" customHeight="1" outlineLevel="1" x14ac:dyDescent="0.25">
      <c r="A18" s="278" t="s">
        <v>14</v>
      </c>
      <c r="B18" s="187"/>
      <c r="C18" s="187" t="s">
        <v>260</v>
      </c>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row>
    <row r="19" spans="1:29" ht="20.100000000000001" hidden="1" customHeight="1" outlineLevel="1" x14ac:dyDescent="0.25">
      <c r="A19" s="278"/>
      <c r="B19" s="187">
        <v>0</v>
      </c>
      <c r="C19" s="187">
        <v>0</v>
      </c>
      <c r="D19" s="187">
        <v>0</v>
      </c>
      <c r="E19" s="187">
        <v>0</v>
      </c>
      <c r="F19" s="187">
        <v>0</v>
      </c>
      <c r="G19" s="187">
        <v>0</v>
      </c>
      <c r="H19" s="187">
        <v>0</v>
      </c>
      <c r="I19" s="187">
        <v>0</v>
      </c>
      <c r="J19" s="187">
        <v>0</v>
      </c>
      <c r="K19" s="187">
        <v>0</v>
      </c>
      <c r="L19" s="187">
        <v>0</v>
      </c>
      <c r="M19" s="187">
        <v>0</v>
      </c>
      <c r="N19" s="187">
        <v>0</v>
      </c>
      <c r="O19" s="187">
        <v>0</v>
      </c>
      <c r="P19" s="187">
        <v>0</v>
      </c>
      <c r="Q19" s="187">
        <v>0</v>
      </c>
      <c r="R19" s="187">
        <v>0</v>
      </c>
      <c r="S19" s="187">
        <v>0</v>
      </c>
      <c r="T19" s="187">
        <v>0</v>
      </c>
      <c r="U19" s="187">
        <v>0</v>
      </c>
      <c r="V19" s="187">
        <v>0</v>
      </c>
      <c r="W19" s="187">
        <v>0</v>
      </c>
      <c r="X19" s="187">
        <v>0</v>
      </c>
      <c r="Y19" s="187">
        <v>0</v>
      </c>
      <c r="Z19" s="187">
        <v>0</v>
      </c>
      <c r="AA19" s="187">
        <v>0</v>
      </c>
      <c r="AB19" s="187">
        <v>0</v>
      </c>
      <c r="AC19" s="187"/>
    </row>
    <row r="20" spans="1:29" ht="20.100000000000001" hidden="1" customHeight="1" outlineLevel="1" x14ac:dyDescent="0.25">
      <c r="A20" s="277" t="s">
        <v>16</v>
      </c>
      <c r="B20" s="206" t="s">
        <v>259</v>
      </c>
      <c r="C20" s="206"/>
      <c r="D20" s="206"/>
      <c r="E20" s="206"/>
      <c r="F20" s="209" t="s">
        <v>261</v>
      </c>
      <c r="G20" s="209"/>
      <c r="H20" s="209"/>
      <c r="I20" s="209"/>
      <c r="J20" s="209"/>
      <c r="K20" s="209"/>
      <c r="L20" s="209"/>
      <c r="M20" s="209"/>
      <c r="N20" s="209"/>
      <c r="O20" s="209"/>
      <c r="P20" s="209"/>
      <c r="Q20" s="209"/>
      <c r="R20" s="209"/>
      <c r="S20" s="209"/>
      <c r="T20" s="187"/>
      <c r="U20" s="187"/>
      <c r="V20" s="187"/>
      <c r="W20" s="187"/>
      <c r="X20" s="187"/>
      <c r="Y20" s="187"/>
      <c r="Z20" s="187"/>
      <c r="AA20" s="187"/>
      <c r="AB20" s="187"/>
      <c r="AC20" s="187"/>
    </row>
    <row r="21" spans="1:29" ht="20.100000000000001" hidden="1" customHeight="1" outlineLevel="1" x14ac:dyDescent="0.25">
      <c r="A21" s="277"/>
      <c r="B21" s="187">
        <v>0</v>
      </c>
      <c r="C21" s="187">
        <v>0</v>
      </c>
      <c r="D21" s="187">
        <v>0</v>
      </c>
      <c r="E21" s="187">
        <v>0</v>
      </c>
      <c r="F21" s="187">
        <v>0</v>
      </c>
      <c r="G21" s="187">
        <v>0</v>
      </c>
      <c r="H21" s="187">
        <v>0</v>
      </c>
      <c r="I21" s="187">
        <v>0</v>
      </c>
      <c r="J21" s="2">
        <v>0</v>
      </c>
      <c r="K21" s="187">
        <v>0</v>
      </c>
      <c r="L21" s="187">
        <v>0</v>
      </c>
      <c r="M21" s="187">
        <v>0</v>
      </c>
      <c r="N21" s="187">
        <v>0</v>
      </c>
      <c r="O21" s="187">
        <v>0</v>
      </c>
      <c r="P21" s="2">
        <v>0</v>
      </c>
      <c r="Q21" s="187">
        <v>0</v>
      </c>
      <c r="R21" s="187">
        <v>0</v>
      </c>
      <c r="S21" s="2">
        <v>0</v>
      </c>
      <c r="T21" s="187"/>
      <c r="U21" s="187"/>
      <c r="V21" s="187"/>
      <c r="W21" s="187"/>
      <c r="X21" s="187"/>
      <c r="Y21" s="187"/>
      <c r="Z21" s="187"/>
      <c r="AA21" s="187"/>
      <c r="AB21" s="187"/>
      <c r="AC21" s="187"/>
    </row>
    <row r="22" spans="1:29" ht="20.100000000000001" hidden="1" customHeight="1" outlineLevel="1" x14ac:dyDescent="0.25">
      <c r="A22" s="279" t="s">
        <v>18</v>
      </c>
      <c r="B22" s="208" t="s">
        <v>255</v>
      </c>
      <c r="C22" s="208"/>
      <c r="D22" s="208"/>
      <c r="E22" s="208"/>
      <c r="F22" s="208"/>
      <c r="G22" s="208"/>
      <c r="H22" s="208"/>
      <c r="I22" s="208"/>
      <c r="J22" s="208"/>
      <c r="K22" s="208"/>
      <c r="L22" s="208"/>
      <c r="M22" s="208"/>
      <c r="N22" s="208"/>
      <c r="O22" s="208"/>
      <c r="P22" s="208"/>
      <c r="Q22" s="208"/>
      <c r="R22" s="208"/>
      <c r="S22" s="208"/>
      <c r="T22" s="187"/>
      <c r="U22" s="210" t="s">
        <v>255</v>
      </c>
      <c r="V22" s="210"/>
      <c r="W22" s="210"/>
      <c r="X22" s="210"/>
      <c r="Y22" s="210"/>
      <c r="Z22" s="210"/>
      <c r="AA22" s="210"/>
      <c r="AB22" s="210"/>
      <c r="AC22" s="210"/>
    </row>
    <row r="23" spans="1:29" ht="20.100000000000001" hidden="1" customHeight="1" outlineLevel="1" x14ac:dyDescent="0.25">
      <c r="A23" s="279"/>
      <c r="B23" s="187">
        <v>0</v>
      </c>
      <c r="C23" s="187">
        <v>0</v>
      </c>
      <c r="D23" s="187">
        <v>0</v>
      </c>
      <c r="E23" s="187">
        <v>0</v>
      </c>
      <c r="F23" s="187">
        <v>0</v>
      </c>
      <c r="G23" s="187">
        <v>0</v>
      </c>
      <c r="H23" s="187">
        <v>0</v>
      </c>
      <c r="I23" s="187">
        <v>0</v>
      </c>
      <c r="J23" s="187">
        <v>0</v>
      </c>
      <c r="K23" s="187">
        <v>0</v>
      </c>
      <c r="L23" s="187">
        <v>0</v>
      </c>
      <c r="M23" s="187">
        <v>0</v>
      </c>
      <c r="N23" s="187">
        <v>0</v>
      </c>
      <c r="O23" s="187">
        <v>0</v>
      </c>
      <c r="P23" s="187">
        <v>0</v>
      </c>
      <c r="Q23" s="187">
        <v>0</v>
      </c>
      <c r="R23" s="187">
        <v>0</v>
      </c>
      <c r="S23" s="187">
        <v>0</v>
      </c>
      <c r="T23" s="187"/>
      <c r="U23" s="187">
        <v>0</v>
      </c>
      <c r="V23" s="187">
        <v>0</v>
      </c>
      <c r="W23" s="187">
        <v>0</v>
      </c>
      <c r="X23" s="187">
        <v>0</v>
      </c>
      <c r="Y23" s="187">
        <v>0</v>
      </c>
      <c r="Z23" s="187">
        <v>0</v>
      </c>
      <c r="AA23" s="187">
        <v>8</v>
      </c>
      <c r="AB23" s="187">
        <v>6</v>
      </c>
      <c r="AC23" s="187">
        <v>7</v>
      </c>
    </row>
    <row r="24" spans="1:29" ht="20.100000000000001" hidden="1" customHeight="1" outlineLevel="1" x14ac:dyDescent="0.25">
      <c r="A24" s="280" t="s">
        <v>20</v>
      </c>
      <c r="B24" s="187"/>
      <c r="C24" s="187"/>
      <c r="D24" s="187"/>
      <c r="E24" s="187"/>
      <c r="F24" s="187"/>
      <c r="G24" s="187"/>
      <c r="H24" s="187"/>
      <c r="I24" s="187"/>
      <c r="J24" s="187"/>
      <c r="K24" s="187"/>
      <c r="L24" s="187"/>
      <c r="M24" s="187"/>
      <c r="N24" s="187"/>
      <c r="O24" s="187"/>
      <c r="P24" s="187"/>
      <c r="Q24" s="187"/>
      <c r="R24" s="187"/>
      <c r="S24" s="187"/>
      <c r="T24" s="187"/>
      <c r="U24" s="187"/>
      <c r="V24" s="187"/>
      <c r="W24" s="187"/>
      <c r="X24" s="187"/>
      <c r="Y24" s="187"/>
      <c r="Z24" s="187"/>
      <c r="AA24" s="187"/>
      <c r="AB24" s="187"/>
      <c r="AC24" s="187"/>
    </row>
    <row r="25" spans="1:29" ht="20.100000000000001" hidden="1" customHeight="1" outlineLevel="1" x14ac:dyDescent="0.25">
      <c r="A25" s="280"/>
      <c r="B25" s="187">
        <v>0</v>
      </c>
      <c r="C25" s="187">
        <v>0</v>
      </c>
      <c r="D25" s="187">
        <v>0</v>
      </c>
      <c r="E25" s="187">
        <v>0</v>
      </c>
      <c r="F25" s="187">
        <v>0</v>
      </c>
      <c r="G25" s="187">
        <v>0</v>
      </c>
      <c r="H25" s="187">
        <v>0</v>
      </c>
      <c r="I25" s="187">
        <v>0</v>
      </c>
      <c r="J25" s="187">
        <v>0</v>
      </c>
      <c r="K25" s="187">
        <v>0</v>
      </c>
      <c r="L25" s="187">
        <v>0</v>
      </c>
      <c r="M25" s="187">
        <v>0</v>
      </c>
      <c r="N25" s="187">
        <v>0</v>
      </c>
      <c r="O25" s="187">
        <v>0</v>
      </c>
      <c r="P25" s="187">
        <v>0</v>
      </c>
      <c r="Q25" s="187">
        <v>0</v>
      </c>
      <c r="R25" s="187">
        <v>0</v>
      </c>
      <c r="S25" s="187">
        <v>0</v>
      </c>
      <c r="T25" s="187">
        <v>0</v>
      </c>
      <c r="U25" s="187">
        <v>0</v>
      </c>
      <c r="V25" s="187">
        <v>0</v>
      </c>
      <c r="W25" s="187">
        <v>0</v>
      </c>
      <c r="X25" s="187">
        <v>0</v>
      </c>
      <c r="Y25" s="187">
        <v>0</v>
      </c>
      <c r="Z25" s="187">
        <v>0</v>
      </c>
      <c r="AA25" s="187">
        <v>5</v>
      </c>
      <c r="AB25" s="187">
        <v>3</v>
      </c>
      <c r="AC25" s="187">
        <v>2</v>
      </c>
    </row>
    <row r="26" spans="1:29" s="10" customFormat="1" ht="63.75" customHeight="1" collapsed="1" x14ac:dyDescent="0.25">
      <c r="A26" s="3"/>
      <c r="B26" s="201" t="str" cm="1">
        <f t="array" ref="B26">_xlfn.IFNA(_xlfn.XLOOKUP(B$27, deliveryDates[[Date]:[Date]], deliveryDates[[Type]:[Type]]), "")</f>
        <v/>
      </c>
      <c r="C26" s="201" t="str" cm="1">
        <f t="array" ref="C26">_xlfn.IFNA(_xlfn.XLOOKUP(C$27, deliveryDates[[Date]:[Date]], deliveryDates[[Type]:[Type]]), "")</f>
        <v/>
      </c>
      <c r="D26" s="201" t="str" cm="1">
        <f t="array" ref="D26">_xlfn.IFNA(_xlfn.XLOOKUP(D$27, deliveryDates[[Date]:[Date]], deliveryDates[[Type]:[Type]]), "")</f>
        <v/>
      </c>
      <c r="E26" s="201" t="str" cm="1">
        <f t="array" ref="E26">_xlfn.IFNA(_xlfn.XLOOKUP(E$27, deliveryDates[[Date]:[Date]], deliveryDates[[Type]:[Type]]), "")</f>
        <v/>
      </c>
      <c r="F26" s="201" t="str" cm="1">
        <f t="array" ref="F26">_xlfn.IFNA(_xlfn.XLOOKUP(F$27, deliveryDates[[Date]:[Date]], deliveryDates[[Type]:[Type]]), "")</f>
        <v/>
      </c>
      <c r="G26" s="201" t="str" cm="1">
        <f t="array" ref="G26">_xlfn.IFNA(_xlfn.XLOOKUP(G$27, deliveryDates[[Date]:[Date]], deliveryDates[[Type]:[Type]]), "")</f>
        <v/>
      </c>
      <c r="H26" s="201" t="str" cm="1">
        <f t="array" ref="H26">_xlfn.IFNA(_xlfn.XLOOKUP(H$27, deliveryDates[[Date]:[Date]], deliveryDates[[Type]:[Type]]), "")</f>
        <v/>
      </c>
      <c r="I26" s="201" t="str" cm="1">
        <f t="array" ref="I26">_xlfn.IFNA(_xlfn.XLOOKUP(I$27, deliveryDates[[Date]:[Date]], deliveryDates[[Type]:[Type]]), "")</f>
        <v/>
      </c>
      <c r="J26" s="201" t="str" cm="1">
        <f t="array" ref="J26">_xlfn.IFNA(_xlfn.XLOOKUP(J$27, deliveryDates[[Date]:[Date]], deliveryDates[[Type]:[Type]]), "")</f>
        <v/>
      </c>
      <c r="K26" s="201" t="str" cm="1">
        <f t="array" ref="K26">_xlfn.IFNA(_xlfn.XLOOKUP(K$27, deliveryDates[[Date]:[Date]], deliveryDates[[Type]:[Type]]), "")</f>
        <v/>
      </c>
      <c r="L26" s="201" t="str" cm="1">
        <f t="array" ref="L26">_xlfn.IFNA(_xlfn.XLOOKUP(L$27, deliveryDates[[Date]:[Date]], deliveryDates[[Type]:[Type]]), "")</f>
        <v/>
      </c>
      <c r="M26" s="201" t="str" cm="1">
        <f t="array" ref="M26">_xlfn.IFNA(_xlfn.XLOOKUP(M$27, deliveryDates[[Date]:[Date]], deliveryDates[[Type]:[Type]]), "")</f>
        <v/>
      </c>
      <c r="N26" s="201" t="str" cm="1">
        <f t="array" ref="N26">_xlfn.IFNA(_xlfn.XLOOKUP(N$27, deliveryDates[[Date]:[Date]], deliveryDates[[Type]:[Type]]), "")</f>
        <v/>
      </c>
      <c r="O26" s="201" t="str" cm="1">
        <f t="array" ref="O26">_xlfn.IFNA(_xlfn.XLOOKUP(O$27, deliveryDates[[Date]:[Date]], deliveryDates[[Type]:[Type]]), "")</f>
        <v/>
      </c>
      <c r="P26" s="201" t="str" cm="1">
        <f t="array" ref="P26">_xlfn.IFNA(_xlfn.XLOOKUP(P$27, deliveryDates[[Date]:[Date]], deliveryDates[[Type]:[Type]]), "")</f>
        <v/>
      </c>
      <c r="Q26" s="201" t="str" cm="1">
        <f t="array" ref="Q26">_xlfn.IFNA(_xlfn.XLOOKUP(Q$27, deliveryDates[[Date]:[Date]], deliveryDates[[Type]:[Type]]), "")</f>
        <v/>
      </c>
      <c r="R26" s="201" t="str" cm="1">
        <f t="array" ref="R26">_xlfn.IFNA(_xlfn.XLOOKUP(R$27, deliveryDates[[Date]:[Date]], deliveryDates[[Type]:[Type]]), "")</f>
        <v/>
      </c>
      <c r="S26" s="201" t="str" cm="1">
        <f t="array" ref="S26">_xlfn.IFNA(_xlfn.XLOOKUP(S$27, deliveryDates[[Date]:[Date]], deliveryDates[[Type]:[Type]]), "")</f>
        <v/>
      </c>
      <c r="T26" s="201" t="str" cm="1">
        <f t="array" ref="T26">_xlfn.IFNA(_xlfn.XLOOKUP(T$27, deliveryDates[[Date]:[Date]], deliveryDates[[Type]:[Type]]), "")</f>
        <v/>
      </c>
      <c r="U26" s="201" t="str" cm="1">
        <f t="array" ref="U26">_xlfn.IFNA(_xlfn.XLOOKUP(U$27, deliveryDates[[Date]:[Date]], deliveryDates[[Type]:[Type]]), "")</f>
        <v/>
      </c>
      <c r="V26" s="201" t="str" cm="1">
        <f t="array" ref="V26">_xlfn.IFNA(_xlfn.XLOOKUP(V$27, deliveryDates[[Date]:[Date]], deliveryDates[[Type]:[Type]]), "")</f>
        <v/>
      </c>
      <c r="W26" s="201" t="str" cm="1">
        <f t="array" ref="W26">_xlfn.IFNA(_xlfn.XLOOKUP(W$27, deliveryDates[[Date]:[Date]], deliveryDates[[Type]:[Type]]), "")</f>
        <v/>
      </c>
      <c r="X26" s="201" t="str" cm="1">
        <f t="array" ref="X26">_xlfn.IFNA(_xlfn.XLOOKUP(X$27, deliveryDates[[Date]:[Date]], deliveryDates[[Type]:[Type]]), "")</f>
        <v/>
      </c>
      <c r="Y26" s="201" t="str" cm="1">
        <f t="array" ref="Y26">_xlfn.IFNA(_xlfn.XLOOKUP(Y$27, deliveryDates[[Date]:[Date]], deliveryDates[[Type]:[Type]]), "")</f>
        <v/>
      </c>
      <c r="Z26" s="201" t="str" cm="1">
        <f t="array" ref="Z26">_xlfn.IFNA(_xlfn.XLOOKUP(Z$27, deliveryDates[[Date]:[Date]], deliveryDates[[Type]:[Type]]), "")</f>
        <v/>
      </c>
      <c r="AA26" s="201" t="str" cm="1">
        <f t="array" ref="AA26">_xlfn.IFNA(_xlfn.XLOOKUP(AA$27, deliveryDates[[Date]:[Date]], deliveryDates[[Type]:[Type]]), "")</f>
        <v/>
      </c>
      <c r="AB26" s="201" t="str" cm="1">
        <f t="array" ref="AB26">_xlfn.IFNA(_xlfn.XLOOKUP(AB$27, deliveryDates[[Date]:[Date]], deliveryDates[[Type]:[Type]]), "")</f>
        <v/>
      </c>
      <c r="AC26" s="201" t="str" cm="1">
        <f t="array" ref="AC26">_xlfn.IFNA(_xlfn.XLOOKUP(AC$27, deliveryDates[[Date]:[Date]], deliveryDates[[Type]:[Type]]), "")</f>
        <v/>
      </c>
    </row>
    <row r="27" spans="1:29" ht="20.100000000000001" customHeight="1" x14ac:dyDescent="0.25">
      <c r="B27" s="4" cm="1">
        <f t="array" ref="B27:AC27">DATE(2023, 12, 23)+_xlfn.SEQUENCE(1,28)</f>
        <v>45284</v>
      </c>
      <c r="C27" s="4">
        <v>45285</v>
      </c>
      <c r="D27" s="4">
        <v>45286</v>
      </c>
      <c r="E27" s="4">
        <v>45287</v>
      </c>
      <c r="F27" s="4">
        <v>45288</v>
      </c>
      <c r="G27" s="4">
        <v>45289</v>
      </c>
      <c r="H27" s="4">
        <v>45290</v>
      </c>
      <c r="I27" s="4">
        <v>45291</v>
      </c>
      <c r="J27" s="4">
        <v>45292</v>
      </c>
      <c r="K27" s="4">
        <v>45293</v>
      </c>
      <c r="L27" s="4">
        <v>45294</v>
      </c>
      <c r="M27" s="4">
        <v>45295</v>
      </c>
      <c r="N27" s="4">
        <v>45296</v>
      </c>
      <c r="O27" s="4">
        <v>45297</v>
      </c>
      <c r="P27" s="4">
        <v>45298</v>
      </c>
      <c r="Q27" s="4">
        <v>45299</v>
      </c>
      <c r="R27" s="4">
        <v>45300</v>
      </c>
      <c r="S27" s="4">
        <v>45301</v>
      </c>
      <c r="T27" s="4">
        <v>45302</v>
      </c>
      <c r="U27" s="4">
        <v>45303</v>
      </c>
      <c r="V27" s="4">
        <v>45304</v>
      </c>
      <c r="W27" s="4">
        <v>45305</v>
      </c>
      <c r="X27" s="4">
        <v>45306</v>
      </c>
      <c r="Y27" s="4">
        <v>45307</v>
      </c>
      <c r="Z27" s="4">
        <v>45308</v>
      </c>
      <c r="AA27" s="4">
        <v>45309</v>
      </c>
      <c r="AB27" s="4">
        <v>45310</v>
      </c>
      <c r="AC27" s="4">
        <v>45311</v>
      </c>
    </row>
    <row r="28" spans="1:29" ht="20.100000000000001" hidden="1" customHeight="1" outlineLevel="1" x14ac:dyDescent="0.25">
      <c r="A28" s="281" t="s">
        <v>12</v>
      </c>
      <c r="B28" s="187"/>
      <c r="C28" s="187"/>
      <c r="D28" s="187"/>
      <c r="E28" s="187"/>
      <c r="F28" s="187"/>
      <c r="G28" s="187"/>
      <c r="H28" s="187"/>
      <c r="I28" s="187"/>
      <c r="J28" s="187"/>
      <c r="K28" s="187"/>
      <c r="L28" s="187"/>
      <c r="M28" s="187"/>
      <c r="N28" s="187"/>
      <c r="O28" s="187"/>
      <c r="P28" s="187"/>
      <c r="Q28" s="187"/>
      <c r="R28" s="187"/>
      <c r="S28" s="187"/>
      <c r="T28" s="187"/>
      <c r="U28" s="187"/>
      <c r="V28" s="187"/>
      <c r="W28" s="187"/>
      <c r="X28" s="187"/>
      <c r="Y28" s="187"/>
      <c r="Z28" s="187"/>
      <c r="AA28" s="187"/>
      <c r="AB28" s="187"/>
      <c r="AC28" s="187"/>
    </row>
    <row r="29" spans="1:29" ht="20.100000000000001" hidden="1" customHeight="1" outlineLevel="1" x14ac:dyDescent="0.25">
      <c r="A29" s="281"/>
      <c r="B29" s="187">
        <v>0</v>
      </c>
      <c r="C29" s="187">
        <v>0</v>
      </c>
      <c r="D29" s="187">
        <v>0</v>
      </c>
      <c r="E29" s="187">
        <v>0</v>
      </c>
      <c r="F29" s="187">
        <v>0</v>
      </c>
      <c r="G29" s="187">
        <v>0</v>
      </c>
      <c r="H29" s="187">
        <v>0</v>
      </c>
      <c r="I29" s="187">
        <v>0</v>
      </c>
      <c r="J29" s="187">
        <v>0</v>
      </c>
      <c r="K29" s="187">
        <v>0</v>
      </c>
      <c r="L29" s="187">
        <v>0</v>
      </c>
      <c r="M29" s="187">
        <v>0</v>
      </c>
      <c r="N29" s="187">
        <v>0</v>
      </c>
      <c r="O29" s="187">
        <v>0</v>
      </c>
      <c r="P29" s="187">
        <v>0</v>
      </c>
      <c r="Q29" s="187">
        <v>2</v>
      </c>
      <c r="R29" s="187">
        <v>8</v>
      </c>
      <c r="S29" s="187">
        <v>6</v>
      </c>
      <c r="T29" s="187">
        <v>2</v>
      </c>
      <c r="U29" s="187">
        <v>2</v>
      </c>
      <c r="V29" s="187">
        <v>8</v>
      </c>
      <c r="W29" s="187">
        <v>6</v>
      </c>
      <c r="X29" s="187">
        <v>2</v>
      </c>
      <c r="Y29" s="187">
        <v>8</v>
      </c>
      <c r="Z29" s="187">
        <v>6</v>
      </c>
      <c r="AA29" s="187"/>
      <c r="AB29" s="187"/>
      <c r="AC29" s="187"/>
    </row>
    <row r="30" spans="1:29" ht="20.100000000000001" hidden="1" customHeight="1" outlineLevel="1" x14ac:dyDescent="0.25">
      <c r="A30" s="278" t="s">
        <v>14</v>
      </c>
      <c r="B30" s="187"/>
      <c r="C30" s="187"/>
      <c r="D30" s="187"/>
      <c r="E30" s="187"/>
      <c r="F30" s="187"/>
      <c r="G30" s="187"/>
      <c r="H30" s="187"/>
      <c r="I30" s="187"/>
      <c r="J30" s="187"/>
      <c r="K30" s="187"/>
      <c r="L30" s="187"/>
      <c r="M30" s="187"/>
      <c r="N30" s="187"/>
      <c r="O30" s="187"/>
      <c r="P30" s="187"/>
      <c r="Q30" s="187"/>
      <c r="R30" s="187"/>
      <c r="S30" s="187"/>
      <c r="T30" s="187"/>
      <c r="U30" s="187"/>
      <c r="V30" s="187"/>
      <c r="W30" s="187"/>
      <c r="X30" s="187"/>
      <c r="Y30" s="187"/>
      <c r="Z30" s="187"/>
      <c r="AA30" s="187"/>
      <c r="AB30" s="187"/>
      <c r="AC30" s="187"/>
    </row>
    <row r="31" spans="1:29" ht="20.100000000000001" hidden="1" customHeight="1" outlineLevel="1" x14ac:dyDescent="0.25">
      <c r="A31" s="278"/>
      <c r="B31" s="187">
        <v>0</v>
      </c>
      <c r="C31" s="187">
        <v>0</v>
      </c>
      <c r="D31" s="187">
        <v>0</v>
      </c>
      <c r="E31" s="187">
        <v>0</v>
      </c>
      <c r="F31" s="187">
        <v>0</v>
      </c>
      <c r="G31" s="187">
        <v>0</v>
      </c>
      <c r="H31" s="187">
        <v>0</v>
      </c>
      <c r="I31" s="187">
        <v>0</v>
      </c>
      <c r="J31" s="187">
        <v>0</v>
      </c>
      <c r="K31" s="187">
        <v>0</v>
      </c>
      <c r="L31" s="187">
        <v>0</v>
      </c>
      <c r="M31" s="187">
        <v>0</v>
      </c>
      <c r="N31" s="187">
        <v>0</v>
      </c>
      <c r="O31" s="187">
        <v>0</v>
      </c>
      <c r="P31" s="187">
        <v>4</v>
      </c>
      <c r="Q31" s="187">
        <v>8</v>
      </c>
      <c r="R31" s="187">
        <v>8</v>
      </c>
      <c r="S31" s="187">
        <v>0</v>
      </c>
      <c r="T31" s="187">
        <v>4</v>
      </c>
      <c r="U31" s="187">
        <v>0</v>
      </c>
      <c r="V31" s="187">
        <v>8</v>
      </c>
      <c r="W31" s="187">
        <v>4</v>
      </c>
      <c r="X31" s="187">
        <v>8</v>
      </c>
      <c r="Y31" s="187">
        <v>8</v>
      </c>
      <c r="Z31" s="187">
        <v>0</v>
      </c>
      <c r="AA31" s="187">
        <v>4</v>
      </c>
      <c r="AB31" s="187">
        <v>0</v>
      </c>
      <c r="AC31" s="187">
        <v>8</v>
      </c>
    </row>
    <row r="32" spans="1:29" ht="20.100000000000001" hidden="1" customHeight="1" outlineLevel="1" x14ac:dyDescent="0.25">
      <c r="A32" s="277" t="s">
        <v>16</v>
      </c>
      <c r="B32" s="187"/>
      <c r="C32" s="187"/>
      <c r="D32" s="187"/>
      <c r="E32" s="187"/>
      <c r="F32" s="187"/>
      <c r="G32" s="187"/>
      <c r="H32" s="187"/>
      <c r="I32" s="187"/>
      <c r="J32" s="187"/>
      <c r="K32" s="187"/>
      <c r="L32" s="187"/>
      <c r="M32" s="187"/>
      <c r="N32" s="187"/>
      <c r="O32" s="187"/>
      <c r="P32" s="187"/>
      <c r="Q32" s="187"/>
      <c r="R32" s="187"/>
      <c r="S32" s="187"/>
      <c r="T32" s="187"/>
      <c r="U32" s="187"/>
      <c r="V32" s="187"/>
      <c r="W32" s="187"/>
      <c r="X32" s="187"/>
      <c r="Y32" s="187"/>
      <c r="Z32" s="187"/>
      <c r="AA32" s="187"/>
      <c r="AB32" s="187"/>
      <c r="AC32" s="187"/>
    </row>
    <row r="33" spans="1:29" ht="20.100000000000001" hidden="1" customHeight="1" outlineLevel="1" x14ac:dyDescent="0.25">
      <c r="A33" s="277"/>
      <c r="B33" s="187"/>
      <c r="C33" s="187"/>
      <c r="D33" s="187"/>
      <c r="E33" s="187"/>
      <c r="F33" s="187"/>
      <c r="G33" s="187"/>
      <c r="H33" s="187"/>
      <c r="I33" s="187"/>
      <c r="J33" s="187"/>
      <c r="K33" s="187"/>
      <c r="L33" s="187"/>
      <c r="M33" s="187"/>
      <c r="N33" s="187"/>
      <c r="O33" s="187"/>
      <c r="P33" s="187"/>
      <c r="Q33" s="187"/>
      <c r="R33" s="187"/>
      <c r="S33" s="187"/>
      <c r="T33" s="187"/>
      <c r="U33" s="187"/>
      <c r="V33" s="187"/>
      <c r="W33" s="187"/>
      <c r="X33" s="187"/>
      <c r="Y33" s="187"/>
      <c r="Z33" s="187"/>
      <c r="AA33" s="187"/>
      <c r="AB33" s="187"/>
      <c r="AC33" s="187"/>
    </row>
    <row r="34" spans="1:29" ht="20.100000000000001" hidden="1" customHeight="1" outlineLevel="1" x14ac:dyDescent="0.25">
      <c r="A34" s="279" t="s">
        <v>18</v>
      </c>
      <c r="B34" s="208" t="s">
        <v>255</v>
      </c>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c r="AA34" s="208"/>
      <c r="AB34" s="208"/>
      <c r="AC34" s="208"/>
    </row>
    <row r="35" spans="1:29" ht="20.100000000000001" hidden="1" customHeight="1" outlineLevel="1" x14ac:dyDescent="0.25">
      <c r="A35" s="279"/>
      <c r="B35" s="187">
        <v>0</v>
      </c>
      <c r="C35" s="187">
        <v>0</v>
      </c>
      <c r="D35" s="187">
        <v>0</v>
      </c>
      <c r="E35" s="187">
        <v>0</v>
      </c>
      <c r="F35" s="187">
        <v>0</v>
      </c>
      <c r="G35" s="187">
        <v>0</v>
      </c>
      <c r="H35" s="187">
        <v>0</v>
      </c>
      <c r="I35" s="187">
        <v>0</v>
      </c>
      <c r="J35" s="187">
        <v>0</v>
      </c>
      <c r="K35" s="187">
        <v>0</v>
      </c>
      <c r="L35" s="187">
        <v>0</v>
      </c>
      <c r="M35" s="187">
        <v>0</v>
      </c>
      <c r="N35" s="187">
        <v>0</v>
      </c>
      <c r="O35" s="187">
        <v>0</v>
      </c>
      <c r="P35" s="187">
        <v>0</v>
      </c>
      <c r="Q35" s="187">
        <v>0</v>
      </c>
      <c r="R35" s="187">
        <v>0</v>
      </c>
      <c r="S35" s="187">
        <v>0</v>
      </c>
      <c r="T35" s="187">
        <v>0</v>
      </c>
      <c r="U35" s="187">
        <v>0</v>
      </c>
      <c r="V35" s="187">
        <v>0</v>
      </c>
      <c r="W35" s="187">
        <v>0</v>
      </c>
      <c r="X35" s="187">
        <v>0</v>
      </c>
      <c r="Y35" s="187">
        <v>0</v>
      </c>
      <c r="Z35" s="187">
        <v>0</v>
      </c>
      <c r="AA35" s="187">
        <v>0</v>
      </c>
      <c r="AB35" s="187">
        <v>0</v>
      </c>
      <c r="AC35" s="187">
        <v>0</v>
      </c>
    </row>
    <row r="36" spans="1:29" ht="20.100000000000001" hidden="1" customHeight="1" outlineLevel="1" x14ac:dyDescent="0.25">
      <c r="A36" s="280" t="s">
        <v>20</v>
      </c>
      <c r="B36" s="187"/>
      <c r="C36" s="187"/>
      <c r="D36" s="187"/>
      <c r="E36" s="187"/>
      <c r="F36" s="187"/>
      <c r="G36" s="187"/>
      <c r="H36" s="187"/>
      <c r="I36" s="187"/>
      <c r="J36" s="187"/>
      <c r="K36" s="187"/>
      <c r="L36" s="187"/>
      <c r="M36" s="187"/>
      <c r="N36" s="187"/>
      <c r="O36" s="187"/>
      <c r="P36" s="187"/>
      <c r="Q36" s="187"/>
      <c r="R36" s="187"/>
      <c r="S36" s="187"/>
      <c r="T36" s="187"/>
      <c r="U36" s="187"/>
      <c r="V36" s="187"/>
      <c r="W36" s="187"/>
      <c r="X36" s="187"/>
      <c r="Y36" s="187"/>
      <c r="Z36" s="187"/>
      <c r="AA36" s="187"/>
      <c r="AB36" s="187"/>
      <c r="AC36" s="187"/>
    </row>
    <row r="37" spans="1:29" ht="20.100000000000001" hidden="1" customHeight="1" outlineLevel="1" x14ac:dyDescent="0.25">
      <c r="A37" s="280"/>
      <c r="B37" s="187">
        <v>0</v>
      </c>
      <c r="C37" s="187">
        <v>0</v>
      </c>
      <c r="D37" s="187">
        <v>0</v>
      </c>
      <c r="E37" s="187">
        <v>0</v>
      </c>
      <c r="F37" s="187">
        <v>0</v>
      </c>
      <c r="G37" s="187">
        <v>0</v>
      </c>
      <c r="H37" s="187">
        <v>0</v>
      </c>
      <c r="I37" s="187">
        <v>0</v>
      </c>
      <c r="J37" s="187">
        <v>0</v>
      </c>
      <c r="K37" s="187">
        <v>0</v>
      </c>
      <c r="L37" s="187">
        <v>0</v>
      </c>
      <c r="M37" s="187">
        <v>0</v>
      </c>
      <c r="N37" s="187">
        <v>0</v>
      </c>
      <c r="O37" s="187">
        <v>0</v>
      </c>
      <c r="P37" s="187">
        <v>0</v>
      </c>
      <c r="Q37" s="187">
        <v>0</v>
      </c>
      <c r="R37" s="187">
        <v>0</v>
      </c>
      <c r="S37" s="187">
        <v>0</v>
      </c>
      <c r="T37" s="187">
        <v>0</v>
      </c>
      <c r="U37" s="187">
        <v>0</v>
      </c>
      <c r="V37" s="187">
        <v>0</v>
      </c>
      <c r="W37" s="187">
        <v>0</v>
      </c>
      <c r="X37" s="187">
        <v>0</v>
      </c>
      <c r="Y37" s="187">
        <v>0</v>
      </c>
      <c r="Z37" s="187">
        <v>0</v>
      </c>
      <c r="AA37" s="187">
        <v>0</v>
      </c>
      <c r="AB37" s="187">
        <v>0</v>
      </c>
      <c r="AC37" s="187">
        <v>0</v>
      </c>
    </row>
    <row r="38" spans="1:29" s="10" customFormat="1" ht="63.75" customHeight="1" collapsed="1" x14ac:dyDescent="0.25">
      <c r="A38" s="3"/>
      <c r="B38" s="201" t="str" cm="1">
        <f t="array" ref="B38">_xlfn.IFNA(_xlfn.XLOOKUP(B$39, deliveryDates[[Date]:[Date]], deliveryDates[[Type]:[Type]]), "")</f>
        <v/>
      </c>
      <c r="C38" s="201" t="str" cm="1">
        <f t="array" ref="C38">_xlfn.IFNA(_xlfn.XLOOKUP(C$39, deliveryDates[[Date]:[Date]], deliveryDates[[Type]:[Type]]), "")</f>
        <v/>
      </c>
      <c r="D38" s="201" t="str" cm="1">
        <f t="array" ref="D38">_xlfn.IFNA(_xlfn.XLOOKUP(D$39, deliveryDates[[Date]:[Date]], deliveryDates[[Type]:[Type]]), "")</f>
        <v/>
      </c>
      <c r="E38" s="201" t="str" cm="1">
        <f t="array" ref="E38">_xlfn.IFNA(_xlfn.XLOOKUP(E$39, deliveryDates[[Date]:[Date]], deliveryDates[[Type]:[Type]]), "")</f>
        <v/>
      </c>
      <c r="F38" s="201" t="str" cm="1">
        <f t="array" ref="F38">_xlfn.IFNA(_xlfn.XLOOKUP(F$39, deliveryDates[[Date]:[Date]], deliveryDates[[Type]:[Type]]), "")</f>
        <v/>
      </c>
      <c r="G38" s="201" t="str" cm="1">
        <f t="array" ref="G38">_xlfn.IFNA(_xlfn.XLOOKUP(G$39, deliveryDates[[Date]:[Date]], deliveryDates[[Type]:[Type]]), "")</f>
        <v/>
      </c>
      <c r="H38" s="201" t="str" cm="1">
        <f t="array" ref="H38">_xlfn.IFNA(_xlfn.XLOOKUP(H$39, deliveryDates[[Date]:[Date]], deliveryDates[[Type]:[Type]]), "")</f>
        <v/>
      </c>
      <c r="I38" s="201" t="str" cm="1">
        <f t="array" ref="I38">_xlfn.IFNA(_xlfn.XLOOKUP(I$39, deliveryDates[[Date]:[Date]], deliveryDates[[Type]:[Type]]), "")</f>
        <v/>
      </c>
      <c r="J38" s="201" t="str" cm="1">
        <f t="array" ref="J38">_xlfn.IFNA(_xlfn.XLOOKUP(J$39, deliveryDates[[Date]:[Date]], deliveryDates[[Type]:[Type]]), "")</f>
        <v/>
      </c>
      <c r="K38" s="201" t="str" cm="1">
        <f t="array" ref="K38">_xlfn.IFNA(_xlfn.XLOOKUP(K$39, deliveryDates[[Date]:[Date]], deliveryDates[[Type]:[Type]]), "")</f>
        <v/>
      </c>
      <c r="L38" s="201" t="str" cm="1">
        <f t="array" ref="L38">_xlfn.IFNA(_xlfn.XLOOKUP(L$39, deliveryDates[[Date]:[Date]], deliveryDates[[Type]:[Type]]), "")</f>
        <v/>
      </c>
      <c r="M38" s="201" t="str" cm="1">
        <f t="array" ref="M38">_xlfn.IFNA(_xlfn.XLOOKUP(M$39, deliveryDates[[Date]:[Date]], deliveryDates[[Type]:[Type]]), "")</f>
        <v>Production</v>
      </c>
      <c r="N38" s="201" t="str" cm="1">
        <f t="array" ref="N38">_xlfn.IFNA(_xlfn.XLOOKUP(N$39, deliveryDates[[Date]:[Date]], deliveryDates[[Type]:[Type]]), "")</f>
        <v/>
      </c>
      <c r="O38" s="201" t="str" cm="1">
        <f t="array" ref="O38">_xlfn.IFNA(_xlfn.XLOOKUP(O$39, deliveryDates[[Date]:[Date]], deliveryDates[[Type]:[Type]]), "")</f>
        <v/>
      </c>
      <c r="P38" s="201" t="str" cm="1">
        <f t="array" ref="P38">_xlfn.IFNA(_xlfn.XLOOKUP(P$39, deliveryDates[[Date]:[Date]], deliveryDates[[Type]:[Type]]), "")</f>
        <v/>
      </c>
      <c r="Q38" s="201" t="str" cm="1">
        <f t="array" ref="Q38">_xlfn.IFNA(_xlfn.XLOOKUP(Q$39, deliveryDates[[Date]:[Date]], deliveryDates[[Type]:[Type]]), "")</f>
        <v/>
      </c>
      <c r="R38" s="201" t="str" cm="1">
        <f t="array" ref="R38">_xlfn.IFNA(_xlfn.XLOOKUP(R$39, deliveryDates[[Date]:[Date]], deliveryDates[[Type]:[Type]]), "")</f>
        <v/>
      </c>
      <c r="S38" s="201" t="str" cm="1">
        <f t="array" ref="S38">_xlfn.IFNA(_xlfn.XLOOKUP(S$39, deliveryDates[[Date]:[Date]], deliveryDates[[Type]:[Type]]), "")</f>
        <v/>
      </c>
      <c r="T38" s="201" t="str" cm="1">
        <f t="array" ref="T38">_xlfn.IFNA(_xlfn.XLOOKUP(T$39, deliveryDates[[Date]:[Date]], deliveryDates[[Type]:[Type]]), "")</f>
        <v/>
      </c>
      <c r="U38" s="201" t="str" cm="1">
        <f t="array" ref="U38">_xlfn.IFNA(_xlfn.XLOOKUP(U$39, deliveryDates[[Date]:[Date]], deliveryDates[[Type]:[Type]]), "")</f>
        <v/>
      </c>
      <c r="V38" s="201" t="str" cm="1">
        <f t="array" ref="V38">_xlfn.IFNA(_xlfn.XLOOKUP(V$39, deliveryDates[[Date]:[Date]], deliveryDates[[Type]:[Type]]), "")</f>
        <v/>
      </c>
      <c r="W38" s="201" t="str" cm="1">
        <f t="array" ref="W38">_xlfn.IFNA(_xlfn.XLOOKUP(W$39, deliveryDates[[Date]:[Date]], deliveryDates[[Type]:[Type]]), "")</f>
        <v/>
      </c>
      <c r="X38" s="201" t="str" cm="1">
        <f t="array" ref="X38">_xlfn.IFNA(_xlfn.XLOOKUP(X$39, deliveryDates[[Date]:[Date]], deliveryDates[[Type]:[Type]]), "")</f>
        <v/>
      </c>
      <c r="Y38" s="201" t="str" cm="1">
        <f t="array" ref="Y38">_xlfn.IFNA(_xlfn.XLOOKUP(Y$39, deliveryDates[[Date]:[Date]], deliveryDates[[Type]:[Type]]), "")</f>
        <v/>
      </c>
      <c r="Z38" s="201" t="str" cm="1">
        <f t="array" ref="Z38">_xlfn.IFNA(_xlfn.XLOOKUP(Z$39, deliveryDates[[Date]:[Date]], deliveryDates[[Type]:[Type]]), "")</f>
        <v/>
      </c>
      <c r="AA38" s="201" t="str" cm="1">
        <f t="array" ref="AA38">_xlfn.IFNA(_xlfn.XLOOKUP(AA$39, deliveryDates[[Date]:[Date]], deliveryDates[[Type]:[Type]]), "")</f>
        <v/>
      </c>
      <c r="AB38" s="201" t="str" cm="1">
        <f t="array" ref="AB38">_xlfn.IFNA(_xlfn.XLOOKUP(AB$39, deliveryDates[[Date]:[Date]], deliveryDates[[Type]:[Type]]), "")</f>
        <v/>
      </c>
      <c r="AC38" s="201" t="str" cm="1">
        <f t="array" ref="AC38">_xlfn.IFNA(_xlfn.XLOOKUP(AC$39, deliveryDates[[Date]:[Date]], deliveryDates[[Type]:[Type]]), "")</f>
        <v/>
      </c>
    </row>
    <row r="39" spans="1:29" ht="20.100000000000001" customHeight="1" x14ac:dyDescent="0.25">
      <c r="B39" s="4" cm="1">
        <f t="array" ref="B39:AC39">DATE(2024, 1, 20)+_xlfn.SEQUENCE(1,28)</f>
        <v>45312</v>
      </c>
      <c r="C39" s="4">
        <v>45313</v>
      </c>
      <c r="D39" s="4">
        <v>45314</v>
      </c>
      <c r="E39" s="4">
        <v>45315</v>
      </c>
      <c r="F39" s="4">
        <v>45316</v>
      </c>
      <c r="G39" s="4">
        <v>45317</v>
      </c>
      <c r="H39" s="4">
        <v>45318</v>
      </c>
      <c r="I39" s="4">
        <v>45319</v>
      </c>
      <c r="J39" s="4">
        <v>45320</v>
      </c>
      <c r="K39" s="4">
        <v>45321</v>
      </c>
      <c r="L39" s="4">
        <v>45322</v>
      </c>
      <c r="M39" s="4">
        <v>45323</v>
      </c>
      <c r="N39" s="4">
        <v>45324</v>
      </c>
      <c r="O39" s="4">
        <v>45325</v>
      </c>
      <c r="P39" s="4">
        <v>45326</v>
      </c>
      <c r="Q39" s="4">
        <v>45327</v>
      </c>
      <c r="R39" s="4">
        <v>45328</v>
      </c>
      <c r="S39" s="4">
        <v>45329</v>
      </c>
      <c r="T39" s="4">
        <v>45330</v>
      </c>
      <c r="U39" s="4">
        <v>45331</v>
      </c>
      <c r="V39" s="4">
        <v>45332</v>
      </c>
      <c r="W39" s="4">
        <v>45333</v>
      </c>
      <c r="X39" s="4">
        <v>45334</v>
      </c>
      <c r="Y39" s="4">
        <v>45335</v>
      </c>
      <c r="Z39" s="4">
        <v>45336</v>
      </c>
      <c r="AA39" s="4">
        <v>45337</v>
      </c>
      <c r="AB39" s="4">
        <v>45338</v>
      </c>
      <c r="AC39" s="4">
        <v>45339</v>
      </c>
    </row>
    <row r="40" spans="1:29" ht="20.100000000000001" hidden="1" customHeight="1" outlineLevel="1" x14ac:dyDescent="0.25">
      <c r="A40" s="281" t="s">
        <v>12</v>
      </c>
      <c r="B40" s="187"/>
      <c r="C40" s="187"/>
      <c r="D40" s="187"/>
      <c r="E40" s="187"/>
      <c r="F40" s="187"/>
      <c r="G40" s="187"/>
      <c r="H40" s="187"/>
      <c r="I40" s="187"/>
      <c r="J40" s="187"/>
      <c r="K40" s="187"/>
      <c r="L40" s="187"/>
      <c r="M40" s="187"/>
      <c r="N40" s="187"/>
      <c r="O40" s="187"/>
      <c r="P40" s="187"/>
      <c r="Q40" s="187"/>
      <c r="R40" s="187"/>
      <c r="S40" s="187"/>
      <c r="T40" s="187"/>
      <c r="U40" s="187"/>
      <c r="V40" s="187" t="s">
        <v>262</v>
      </c>
      <c r="W40" s="187"/>
      <c r="X40" s="187"/>
      <c r="Y40" s="187"/>
      <c r="Z40" s="187"/>
      <c r="AA40" s="187"/>
      <c r="AB40" s="187"/>
      <c r="AC40" s="187"/>
    </row>
    <row r="41" spans="1:29" ht="20.100000000000001" hidden="1" customHeight="1" outlineLevel="1" x14ac:dyDescent="0.25">
      <c r="A41" s="281"/>
      <c r="B41" s="187">
        <v>0</v>
      </c>
      <c r="C41" s="187">
        <v>0</v>
      </c>
      <c r="D41" s="187">
        <v>0</v>
      </c>
      <c r="E41" s="187">
        <v>0</v>
      </c>
      <c r="F41" s="187">
        <v>0</v>
      </c>
      <c r="G41" s="187">
        <v>0</v>
      </c>
      <c r="H41" s="187">
        <v>0</v>
      </c>
      <c r="I41" s="187">
        <v>0</v>
      </c>
      <c r="J41" s="187">
        <v>0</v>
      </c>
      <c r="K41" s="187">
        <v>0</v>
      </c>
      <c r="L41" s="187">
        <v>0</v>
      </c>
      <c r="M41" s="187">
        <v>0</v>
      </c>
      <c r="N41" s="187">
        <v>0</v>
      </c>
      <c r="O41" s="187">
        <v>0</v>
      </c>
      <c r="P41" s="187">
        <v>0</v>
      </c>
      <c r="Q41" s="187">
        <v>0</v>
      </c>
      <c r="R41" s="187">
        <v>0</v>
      </c>
      <c r="S41" s="187">
        <v>0</v>
      </c>
      <c r="T41" s="187">
        <v>0</v>
      </c>
      <c r="U41" s="187">
        <v>0</v>
      </c>
      <c r="V41" s="187">
        <v>0</v>
      </c>
      <c r="W41" s="187"/>
      <c r="X41" s="187"/>
      <c r="Y41" s="187"/>
      <c r="Z41" s="187"/>
      <c r="AA41" s="187"/>
      <c r="AB41" s="187"/>
      <c r="AC41" s="187"/>
    </row>
    <row r="42" spans="1:29" ht="20.100000000000001" hidden="1" customHeight="1" outlineLevel="1" x14ac:dyDescent="0.25">
      <c r="A42" s="278" t="s">
        <v>14</v>
      </c>
      <c r="B42" s="187"/>
      <c r="C42" s="187"/>
      <c r="D42" s="187"/>
      <c r="E42" s="187"/>
      <c r="F42" s="187"/>
      <c r="G42" s="187"/>
      <c r="H42" s="187"/>
      <c r="I42" s="187"/>
      <c r="J42" s="187"/>
      <c r="K42" s="187"/>
      <c r="L42" s="187"/>
      <c r="M42" s="187"/>
      <c r="N42" s="187"/>
      <c r="O42" s="187"/>
      <c r="P42" s="187"/>
      <c r="Q42" s="187"/>
      <c r="R42" s="187"/>
      <c r="S42" s="187"/>
      <c r="T42" s="187"/>
      <c r="U42" s="187"/>
      <c r="V42" s="187"/>
      <c r="W42" s="187"/>
      <c r="X42" s="187"/>
      <c r="Y42" s="187"/>
      <c r="Z42" s="187"/>
      <c r="AA42" s="187"/>
      <c r="AB42" s="187"/>
      <c r="AC42" s="187"/>
    </row>
    <row r="43" spans="1:29" ht="20.100000000000001" hidden="1" customHeight="1" outlineLevel="1" x14ac:dyDescent="0.25">
      <c r="A43" s="278"/>
      <c r="B43" s="187">
        <v>0</v>
      </c>
      <c r="C43" s="187">
        <v>0</v>
      </c>
      <c r="D43" s="187">
        <v>0</v>
      </c>
      <c r="E43" s="187">
        <v>0</v>
      </c>
      <c r="F43" s="187">
        <v>0</v>
      </c>
      <c r="G43" s="187">
        <v>0</v>
      </c>
      <c r="H43" s="187">
        <v>0</v>
      </c>
      <c r="I43" s="187">
        <v>0</v>
      </c>
      <c r="J43" s="187">
        <v>0</v>
      </c>
      <c r="K43" s="187">
        <v>0</v>
      </c>
      <c r="L43" s="187">
        <v>0</v>
      </c>
      <c r="M43" s="187">
        <v>0</v>
      </c>
      <c r="N43" s="187">
        <v>0</v>
      </c>
      <c r="O43" s="187">
        <v>0</v>
      </c>
      <c r="P43" s="187">
        <v>0</v>
      </c>
      <c r="Q43" s="187">
        <v>0</v>
      </c>
      <c r="R43" s="187">
        <v>0</v>
      </c>
      <c r="S43" s="187">
        <v>0</v>
      </c>
      <c r="T43" s="187">
        <v>0</v>
      </c>
      <c r="U43" s="187">
        <v>0</v>
      </c>
      <c r="V43" s="187">
        <v>0</v>
      </c>
      <c r="W43" s="187">
        <v>0</v>
      </c>
      <c r="X43" s="187">
        <v>0</v>
      </c>
      <c r="Y43" s="187">
        <v>0</v>
      </c>
      <c r="Z43" s="187">
        <v>0</v>
      </c>
      <c r="AA43" s="187">
        <v>0</v>
      </c>
      <c r="AB43" s="187">
        <v>0</v>
      </c>
      <c r="AC43" s="187">
        <v>0</v>
      </c>
    </row>
    <row r="44" spans="1:29" ht="20.100000000000001" hidden="1" customHeight="1" outlineLevel="1" x14ac:dyDescent="0.25">
      <c r="A44" s="277" t="s">
        <v>16</v>
      </c>
      <c r="B44" s="187"/>
      <c r="C44" s="187"/>
      <c r="D44" s="187"/>
      <c r="E44" s="187"/>
      <c r="F44" s="187"/>
      <c r="G44" s="187"/>
      <c r="H44" s="187"/>
      <c r="I44" s="187"/>
      <c r="J44" s="187"/>
      <c r="K44" s="187"/>
      <c r="L44" s="187"/>
      <c r="M44" s="187"/>
      <c r="N44" s="187"/>
      <c r="O44" s="187"/>
      <c r="P44" s="187"/>
      <c r="Q44" s="187"/>
      <c r="R44" s="187"/>
      <c r="S44" s="187"/>
      <c r="T44" s="187"/>
      <c r="U44" s="187"/>
      <c r="V44" s="187"/>
      <c r="W44" s="187"/>
      <c r="X44" s="187"/>
      <c r="Y44" s="187"/>
      <c r="Z44" s="187"/>
      <c r="AA44" s="187"/>
      <c r="AB44" s="187"/>
      <c r="AC44" s="187"/>
    </row>
    <row r="45" spans="1:29" ht="20.100000000000001" hidden="1" customHeight="1" outlineLevel="1" x14ac:dyDescent="0.25">
      <c r="A45" s="277"/>
      <c r="B45" s="187"/>
      <c r="C45" s="187"/>
      <c r="D45" s="187"/>
      <c r="E45" s="187"/>
      <c r="F45" s="187"/>
      <c r="G45" s="187"/>
      <c r="H45" s="187"/>
      <c r="I45" s="187"/>
      <c r="J45" s="187"/>
      <c r="K45" s="187"/>
      <c r="L45" s="187"/>
      <c r="M45" s="187"/>
      <c r="N45" s="187"/>
      <c r="O45" s="187"/>
      <c r="P45" s="187"/>
      <c r="Q45" s="187"/>
      <c r="R45" s="187"/>
      <c r="S45" s="187"/>
      <c r="T45" s="187"/>
      <c r="U45" s="187"/>
      <c r="V45" s="187"/>
      <c r="W45" s="187"/>
      <c r="X45" s="187"/>
      <c r="Y45" s="187"/>
      <c r="Z45" s="187"/>
      <c r="AA45" s="187"/>
      <c r="AB45" s="187"/>
      <c r="AC45" s="187"/>
    </row>
    <row r="46" spans="1:29" ht="20.100000000000001" hidden="1" customHeight="1" outlineLevel="1" x14ac:dyDescent="0.25">
      <c r="A46" s="279" t="s">
        <v>18</v>
      </c>
      <c r="B46" s="208" t="s">
        <v>255</v>
      </c>
      <c r="C46" s="208"/>
      <c r="D46" s="208"/>
      <c r="E46" s="208"/>
      <c r="F46" s="208"/>
      <c r="G46" s="208"/>
      <c r="H46" s="208"/>
      <c r="I46" s="208"/>
      <c r="J46" s="208"/>
      <c r="K46" s="208"/>
      <c r="L46" s="208"/>
      <c r="M46" s="211"/>
      <c r="N46" s="211"/>
      <c r="O46" s="208" t="s">
        <v>255</v>
      </c>
      <c r="P46" s="208"/>
      <c r="Q46" s="208"/>
      <c r="R46" s="208"/>
      <c r="S46" s="208"/>
      <c r="T46" s="208"/>
      <c r="U46" s="211"/>
      <c r="V46" s="205" t="s">
        <v>258</v>
      </c>
      <c r="W46" s="205"/>
      <c r="X46" s="205"/>
      <c r="Y46" s="205"/>
      <c r="Z46" s="205"/>
      <c r="AA46" s="205"/>
      <c r="AB46" s="205"/>
      <c r="AC46" s="205"/>
    </row>
    <row r="47" spans="1:29" ht="20.100000000000001" hidden="1" customHeight="1" outlineLevel="1" x14ac:dyDescent="0.25">
      <c r="A47" s="279"/>
      <c r="B47" s="187">
        <v>0</v>
      </c>
      <c r="C47" s="187">
        <v>0</v>
      </c>
      <c r="D47" s="187">
        <v>0</v>
      </c>
      <c r="E47" s="187">
        <v>0</v>
      </c>
      <c r="F47" s="187">
        <v>0</v>
      </c>
      <c r="G47" s="187">
        <v>0</v>
      </c>
      <c r="H47" s="187">
        <v>0</v>
      </c>
      <c r="I47" s="187">
        <v>0</v>
      </c>
      <c r="J47" s="187">
        <v>0</v>
      </c>
      <c r="K47" s="187">
        <v>0</v>
      </c>
      <c r="L47" s="187">
        <v>0</v>
      </c>
      <c r="M47" s="187"/>
      <c r="N47" s="187"/>
      <c r="O47" s="187">
        <v>0</v>
      </c>
      <c r="P47" s="187">
        <v>0</v>
      </c>
      <c r="Q47" s="187">
        <v>0</v>
      </c>
      <c r="R47" s="187">
        <v>0</v>
      </c>
      <c r="S47" s="187">
        <v>0</v>
      </c>
      <c r="T47" s="187">
        <v>0</v>
      </c>
      <c r="U47" s="187"/>
      <c r="V47" s="187">
        <v>0</v>
      </c>
      <c r="W47" s="187">
        <v>0</v>
      </c>
      <c r="X47" s="187">
        <v>0</v>
      </c>
      <c r="Y47" s="187">
        <v>0</v>
      </c>
      <c r="Z47" s="187">
        <v>0</v>
      </c>
      <c r="AA47" s="187">
        <v>0</v>
      </c>
      <c r="AB47" s="187">
        <v>0</v>
      </c>
      <c r="AC47" s="187">
        <v>0</v>
      </c>
    </row>
    <row r="48" spans="1:29" ht="20.100000000000001" hidden="1" customHeight="1" outlineLevel="1" x14ac:dyDescent="0.25">
      <c r="A48" s="280" t="s">
        <v>20</v>
      </c>
      <c r="B48" s="187"/>
      <c r="C48" s="187"/>
      <c r="D48" s="187"/>
      <c r="E48" s="187"/>
      <c r="F48" s="187"/>
      <c r="G48" s="187"/>
      <c r="H48" s="187"/>
      <c r="I48" s="187"/>
      <c r="J48" s="187"/>
      <c r="K48" s="187"/>
      <c r="L48" s="187"/>
      <c r="M48" s="187"/>
      <c r="N48" s="187"/>
      <c r="O48" s="187"/>
      <c r="P48" s="187"/>
      <c r="Q48" s="187"/>
      <c r="R48" s="187"/>
      <c r="S48" s="187"/>
      <c r="T48" s="187"/>
      <c r="U48" s="187"/>
      <c r="V48" s="187"/>
      <c r="W48" s="187"/>
      <c r="X48" s="187"/>
      <c r="Y48" s="187"/>
      <c r="Z48" s="187"/>
      <c r="AA48" s="187"/>
      <c r="AB48" s="187"/>
      <c r="AC48" s="187"/>
    </row>
    <row r="49" spans="1:29" ht="20.100000000000001" hidden="1" customHeight="1" outlineLevel="1" x14ac:dyDescent="0.25">
      <c r="A49" s="280"/>
      <c r="B49" s="187">
        <v>0</v>
      </c>
      <c r="C49" s="187">
        <v>0</v>
      </c>
      <c r="D49" s="187">
        <v>0</v>
      </c>
      <c r="E49" s="187">
        <v>0</v>
      </c>
      <c r="F49" s="187">
        <v>0</v>
      </c>
      <c r="G49" s="187">
        <v>0</v>
      </c>
      <c r="H49" s="187">
        <v>0</v>
      </c>
      <c r="I49" s="187">
        <v>0</v>
      </c>
      <c r="J49" s="187">
        <v>0</v>
      </c>
      <c r="K49" s="187">
        <v>0</v>
      </c>
      <c r="L49" s="187">
        <v>0</v>
      </c>
      <c r="M49" s="187">
        <v>0</v>
      </c>
      <c r="N49" s="187">
        <v>0</v>
      </c>
      <c r="O49" s="187">
        <v>0</v>
      </c>
      <c r="P49" s="187">
        <v>0</v>
      </c>
      <c r="Q49" s="187">
        <v>0</v>
      </c>
      <c r="R49" s="187">
        <v>0</v>
      </c>
      <c r="S49" s="187">
        <v>0</v>
      </c>
      <c r="T49" s="187">
        <v>0</v>
      </c>
      <c r="U49" s="187">
        <v>0</v>
      </c>
      <c r="V49" s="187">
        <v>0</v>
      </c>
      <c r="W49" s="187">
        <v>0</v>
      </c>
      <c r="X49" s="187">
        <v>0</v>
      </c>
      <c r="Y49" s="187">
        <v>0</v>
      </c>
      <c r="Z49" s="187">
        <v>0</v>
      </c>
    </row>
    <row r="50" spans="1:29" s="10" customFormat="1" ht="63.75" customHeight="1" collapsed="1" x14ac:dyDescent="0.25">
      <c r="A50" s="3"/>
      <c r="B50" s="201" t="str" cm="1">
        <f t="array" ref="B50">_xlfn.IFNA(_xlfn.XLOOKUP(B$51, deliveryDates[[Date]:[Date]], deliveryDates[[Type]:[Type]]), "")</f>
        <v/>
      </c>
      <c r="C50" s="201" t="str" cm="1">
        <f t="array" ref="C50">_xlfn.IFNA(_xlfn.XLOOKUP(C$51, deliveryDates[[Date]:[Date]], deliveryDates[[Type]:[Type]]), "")</f>
        <v/>
      </c>
      <c r="D50" s="201" t="str" cm="1">
        <f t="array" ref="D50">_xlfn.IFNA(_xlfn.XLOOKUP(D$51, deliveryDates[[Date]:[Date]], deliveryDates[[Type]:[Type]]), "")</f>
        <v/>
      </c>
      <c r="E50" s="201" t="str" cm="1">
        <f t="array" ref="E50">_xlfn.IFNA(_xlfn.XLOOKUP(E$51, deliveryDates[[Date]:[Date]], deliveryDates[[Type]:[Type]]), "")</f>
        <v/>
      </c>
      <c r="F50" s="201" t="str" cm="1">
        <f t="array" ref="F50">_xlfn.IFNA(_xlfn.XLOOKUP(F$51, deliveryDates[[Date]:[Date]], deliveryDates[[Type]:[Type]]), "")</f>
        <v/>
      </c>
      <c r="G50" s="201" t="str" cm="1">
        <f t="array" ref="G50">_xlfn.IFNA(_xlfn.XLOOKUP(G$51, deliveryDates[[Date]:[Date]], deliveryDates[[Type]:[Type]]), "")</f>
        <v>Suivi</v>
      </c>
      <c r="H50" s="201" t="str" cm="1">
        <f t="array" ref="H50">_xlfn.IFNA(_xlfn.XLOOKUP(H$51, deliveryDates[[Date]:[Date]], deliveryDates[[Type]:[Type]]), "")</f>
        <v/>
      </c>
      <c r="I50" s="201" t="str" cm="1">
        <f t="array" ref="I50">_xlfn.IFNA(_xlfn.XLOOKUP(I$51, deliveryDates[[Date]:[Date]], deliveryDates[[Type]:[Type]]), "")</f>
        <v/>
      </c>
      <c r="J50" s="201" t="str" cm="1">
        <f t="array" ref="J50">_xlfn.IFNA(_xlfn.XLOOKUP(J$51, deliveryDates[[Date]:[Date]], deliveryDates[[Type]:[Type]]), "")</f>
        <v/>
      </c>
      <c r="K50" s="201" t="str" cm="1">
        <f t="array" ref="K50">_xlfn.IFNA(_xlfn.XLOOKUP(K$51, deliveryDates[[Date]:[Date]], deliveryDates[[Type]:[Type]]), "")</f>
        <v/>
      </c>
      <c r="L50" s="201" t="str" cm="1">
        <f t="array" ref="L50">_xlfn.IFNA(_xlfn.XLOOKUP(L$51, deliveryDates[[Date]:[Date]], deliveryDates[[Type]:[Type]]), "")</f>
        <v/>
      </c>
      <c r="M50" s="201" t="str" cm="1">
        <f t="array" ref="M50">_xlfn.IFNA(_xlfn.XLOOKUP(M$51, deliveryDates[[Date]:[Date]], deliveryDates[[Type]:[Type]]), "")</f>
        <v>Production</v>
      </c>
      <c r="N50" s="201" t="str" cm="1">
        <f t="array" ref="N50">_xlfn.IFNA(_xlfn.XLOOKUP(N$51, deliveryDates[[Date]:[Date]], deliveryDates[[Type]:[Type]]), "")</f>
        <v>Suivi</v>
      </c>
      <c r="O50" s="201" t="str" cm="1">
        <f t="array" ref="O50">_xlfn.IFNA(_xlfn.XLOOKUP(O$51, deliveryDates[[Date]:[Date]], deliveryDates[[Type]:[Type]]), "")</f>
        <v/>
      </c>
      <c r="P50" s="201" t="str" cm="1">
        <f t="array" ref="P50">_xlfn.IFNA(_xlfn.XLOOKUP(P$51, deliveryDates[[Date]:[Date]], deliveryDates[[Type]:[Type]]), "")</f>
        <v/>
      </c>
      <c r="Q50" s="201" t="str" cm="1">
        <f t="array" ref="Q50">_xlfn.IFNA(_xlfn.XLOOKUP(Q$51, deliveryDates[[Date]:[Date]], deliveryDates[[Type]:[Type]]), "")</f>
        <v/>
      </c>
      <c r="R50" s="201" t="str" cm="1">
        <f t="array" ref="R50">_xlfn.IFNA(_xlfn.XLOOKUP(R$51, deliveryDates[[Date]:[Date]], deliveryDates[[Type]:[Type]]), "")</f>
        <v/>
      </c>
      <c r="S50" s="201" t="str" cm="1">
        <f t="array" ref="S50">_xlfn.IFNA(_xlfn.XLOOKUP(S$51, deliveryDates[[Date]:[Date]], deliveryDates[[Type]:[Type]]), "")</f>
        <v/>
      </c>
      <c r="T50" s="201" t="str" cm="1">
        <f t="array" ref="T50">_xlfn.IFNA(_xlfn.XLOOKUP(T$51, deliveryDates[[Date]:[Date]], deliveryDates[[Type]:[Type]]), "")</f>
        <v/>
      </c>
      <c r="U50" s="201" t="str" cm="1">
        <f t="array" ref="U50">_xlfn.IFNA(_xlfn.XLOOKUP(U$51, deliveryDates[[Date]:[Date]], deliveryDates[[Type]:[Type]]), "")</f>
        <v/>
      </c>
      <c r="V50" s="201" t="str" cm="1">
        <f t="array" ref="V50">_xlfn.IFNA(_xlfn.XLOOKUP(V$51, deliveryDates[[Date]:[Date]], deliveryDates[[Type]:[Type]]), "")</f>
        <v/>
      </c>
      <c r="W50" s="201" t="str" cm="1">
        <f t="array" ref="W50">_xlfn.IFNA(_xlfn.XLOOKUP(W$51, deliveryDates[[Date]:[Date]], deliveryDates[[Type]:[Type]]), "")</f>
        <v/>
      </c>
      <c r="X50" s="201" t="str" cm="1">
        <f t="array" ref="X50">_xlfn.IFNA(_xlfn.XLOOKUP(X$51, deliveryDates[[Date]:[Date]], deliveryDates[[Type]:[Type]]), "")</f>
        <v/>
      </c>
      <c r="Y50" s="201" t="str" cm="1">
        <f t="array" ref="Y50">_xlfn.IFNA(_xlfn.XLOOKUP(Y$51, deliveryDates[[Date]:[Date]], deliveryDates[[Type]:[Type]]), "")</f>
        <v/>
      </c>
      <c r="Z50" s="201" t="str" cm="1">
        <f t="array" ref="Z50">_xlfn.IFNA(_xlfn.XLOOKUP(Z$51, deliveryDates[[Date]:[Date]], deliveryDates[[Type]:[Type]]), "")</f>
        <v/>
      </c>
      <c r="AA50" s="201" t="str" cm="1">
        <f t="array" ref="AA50">_xlfn.IFNA(_xlfn.XLOOKUP(AA$51, deliveryDates[[Date]:[Date]], deliveryDates[[Type]:[Type]]), "")</f>
        <v>Suivi</v>
      </c>
      <c r="AB50" s="201" t="str" cm="1">
        <f t="array" ref="AB50">_xlfn.IFNA(_xlfn.XLOOKUP(AB$51, deliveryDates[[Date]:[Date]], deliveryDates[[Type]:[Type]]), "")</f>
        <v/>
      </c>
      <c r="AC50" s="201" t="str" cm="1">
        <f t="array" ref="AC50">_xlfn.IFNA(_xlfn.XLOOKUP(AC$51, deliveryDates[[Date]:[Date]], deliveryDates[[Type]:[Type]]), "")</f>
        <v/>
      </c>
    </row>
    <row r="51" spans="1:29" ht="20.100000000000001" customHeight="1" x14ac:dyDescent="0.25">
      <c r="B51" s="4" cm="1">
        <f t="array" ref="B51:AC51">DATE(2024, 2, 17)+_xlfn.SEQUENCE(1,28)</f>
        <v>45340</v>
      </c>
      <c r="C51" s="4">
        <v>45341</v>
      </c>
      <c r="D51" s="4">
        <v>45342</v>
      </c>
      <c r="E51" s="4">
        <v>45343</v>
      </c>
      <c r="F51" s="4">
        <v>45344</v>
      </c>
      <c r="G51" s="4">
        <v>45345</v>
      </c>
      <c r="H51" s="4">
        <v>45346</v>
      </c>
      <c r="I51" s="4">
        <v>45347</v>
      </c>
      <c r="J51" s="4">
        <v>45348</v>
      </c>
      <c r="K51" s="4">
        <v>45349</v>
      </c>
      <c r="L51" s="4">
        <v>45350</v>
      </c>
      <c r="M51" s="4">
        <v>45351</v>
      </c>
      <c r="N51" s="4">
        <v>45352</v>
      </c>
      <c r="O51" s="4">
        <v>45353</v>
      </c>
      <c r="P51" s="4">
        <v>45354</v>
      </c>
      <c r="Q51" s="4">
        <v>45355</v>
      </c>
      <c r="R51" s="4">
        <v>45356</v>
      </c>
      <c r="S51" s="4">
        <v>45357</v>
      </c>
      <c r="T51" s="4">
        <v>45358</v>
      </c>
      <c r="U51" s="4">
        <v>45359</v>
      </c>
      <c r="V51" s="4">
        <v>45360</v>
      </c>
      <c r="W51" s="4">
        <v>45361</v>
      </c>
      <c r="X51" s="4">
        <v>45362</v>
      </c>
      <c r="Y51" s="4">
        <v>45363</v>
      </c>
      <c r="Z51" s="4">
        <v>45364</v>
      </c>
      <c r="AA51" s="4">
        <v>45365</v>
      </c>
      <c r="AB51" s="4">
        <v>45366</v>
      </c>
      <c r="AC51" s="4">
        <v>45367</v>
      </c>
    </row>
    <row r="52" spans="1:29" ht="20.100000000000001" hidden="1" customHeight="1" outlineLevel="1" x14ac:dyDescent="0.25">
      <c r="A52" s="281" t="s">
        <v>12</v>
      </c>
      <c r="B52" s="187"/>
      <c r="C52" s="187"/>
      <c r="D52" s="187"/>
      <c r="E52" s="187"/>
      <c r="F52" s="187"/>
      <c r="G52" s="187"/>
      <c r="H52" s="187"/>
      <c r="I52" s="187"/>
      <c r="J52" s="187"/>
      <c r="K52" s="187"/>
      <c r="L52" s="187"/>
      <c r="M52" s="187"/>
      <c r="N52" s="187"/>
      <c r="O52" s="187"/>
      <c r="P52" s="187"/>
      <c r="Q52" s="187"/>
      <c r="R52" s="187"/>
      <c r="S52" s="187"/>
      <c r="T52" s="187"/>
      <c r="U52" s="187"/>
      <c r="V52" s="187"/>
      <c r="W52" s="187"/>
      <c r="X52" s="187"/>
      <c r="Y52" s="187"/>
      <c r="Z52" s="187"/>
      <c r="AA52" s="187"/>
      <c r="AB52" s="187"/>
      <c r="AC52" s="187"/>
    </row>
    <row r="53" spans="1:29" ht="20.100000000000001" hidden="1" customHeight="1" outlineLevel="1" x14ac:dyDescent="0.25">
      <c r="A53" s="281"/>
      <c r="B53" s="187"/>
      <c r="C53" s="187"/>
      <c r="D53" s="187"/>
      <c r="E53" s="187"/>
      <c r="F53" s="187"/>
      <c r="G53" s="187"/>
      <c r="H53" s="187"/>
      <c r="I53" s="187"/>
      <c r="J53" s="187"/>
      <c r="K53" s="187"/>
      <c r="L53" s="187"/>
      <c r="M53" s="187">
        <v>6</v>
      </c>
      <c r="N53" s="187">
        <v>0</v>
      </c>
      <c r="O53" s="187">
        <v>0</v>
      </c>
      <c r="P53" s="187">
        <v>3</v>
      </c>
      <c r="Q53" s="187">
        <v>4</v>
      </c>
      <c r="R53" s="187">
        <v>5</v>
      </c>
      <c r="S53" s="187">
        <v>0</v>
      </c>
      <c r="T53" s="187">
        <v>0</v>
      </c>
      <c r="U53" s="187">
        <v>8</v>
      </c>
      <c r="V53" s="187">
        <v>0</v>
      </c>
      <c r="W53" s="187">
        <v>3</v>
      </c>
      <c r="X53" s="187">
        <v>4</v>
      </c>
      <c r="Y53" s="187">
        <v>5</v>
      </c>
      <c r="Z53" s="187">
        <v>0</v>
      </c>
      <c r="AA53" s="187">
        <v>0</v>
      </c>
      <c r="AB53" s="187">
        <v>8</v>
      </c>
      <c r="AC53" s="187">
        <v>0</v>
      </c>
    </row>
    <row r="54" spans="1:29" ht="20.100000000000001" hidden="1" customHeight="1" outlineLevel="1" x14ac:dyDescent="0.25">
      <c r="A54" s="278" t="s">
        <v>14</v>
      </c>
      <c r="B54" s="187"/>
      <c r="C54" s="187"/>
      <c r="D54" s="187"/>
      <c r="E54" s="187"/>
      <c r="F54" s="187"/>
      <c r="G54" s="187"/>
      <c r="H54" s="187"/>
      <c r="I54" s="187"/>
      <c r="J54" s="187"/>
      <c r="K54" s="187"/>
      <c r="L54" s="187"/>
      <c r="M54" s="187"/>
      <c r="N54" s="187"/>
      <c r="O54" s="187"/>
      <c r="P54" s="187"/>
      <c r="Q54" s="187"/>
      <c r="R54" s="187"/>
      <c r="S54" s="187"/>
      <c r="T54" s="187"/>
      <c r="U54" s="187"/>
      <c r="V54" s="187"/>
      <c r="W54" s="187"/>
      <c r="X54" s="187"/>
      <c r="Y54" s="187"/>
      <c r="Z54" s="187"/>
      <c r="AA54" s="187"/>
      <c r="AB54" s="187"/>
      <c r="AC54" s="187"/>
    </row>
    <row r="55" spans="1:29" ht="20.100000000000001" hidden="1" customHeight="1" outlineLevel="1" x14ac:dyDescent="0.25">
      <c r="A55" s="278"/>
      <c r="B55" s="187">
        <v>0</v>
      </c>
      <c r="C55" s="187">
        <v>0</v>
      </c>
      <c r="D55" s="187">
        <v>0</v>
      </c>
      <c r="E55" s="187">
        <v>0</v>
      </c>
      <c r="F55" s="187">
        <v>0</v>
      </c>
      <c r="G55" s="187">
        <v>0</v>
      </c>
      <c r="H55" s="187">
        <v>0</v>
      </c>
      <c r="I55" s="187">
        <v>0</v>
      </c>
      <c r="J55" s="187">
        <v>0</v>
      </c>
      <c r="K55" s="187">
        <v>0</v>
      </c>
      <c r="L55" s="187">
        <v>0</v>
      </c>
      <c r="M55" s="187">
        <v>4</v>
      </c>
      <c r="N55" s="187">
        <v>0</v>
      </c>
      <c r="O55" s="187">
        <v>8</v>
      </c>
      <c r="P55" s="187">
        <v>4</v>
      </c>
      <c r="Q55" s="187">
        <v>8</v>
      </c>
      <c r="R55" s="187">
        <v>8</v>
      </c>
      <c r="S55" s="187">
        <v>0</v>
      </c>
      <c r="T55" s="187">
        <v>4</v>
      </c>
      <c r="U55" s="187">
        <v>0</v>
      </c>
      <c r="V55" s="187">
        <v>8</v>
      </c>
      <c r="W55" s="187">
        <v>4</v>
      </c>
      <c r="X55" s="187">
        <v>8</v>
      </c>
      <c r="Y55" s="187">
        <v>8</v>
      </c>
      <c r="Z55" s="187">
        <v>0</v>
      </c>
      <c r="AA55" s="187">
        <v>4</v>
      </c>
      <c r="AB55" s="187">
        <v>0</v>
      </c>
      <c r="AC55" s="187">
        <v>8</v>
      </c>
    </row>
    <row r="56" spans="1:29" ht="20.100000000000001" hidden="1" customHeight="1" outlineLevel="1" x14ac:dyDescent="0.25">
      <c r="A56" s="277" t="s">
        <v>16</v>
      </c>
      <c r="B56" s="187"/>
      <c r="C56" s="187"/>
      <c r="D56" s="187"/>
      <c r="E56" s="187"/>
      <c r="F56" s="187"/>
      <c r="G56" s="187"/>
      <c r="H56" s="187"/>
      <c r="I56" s="187"/>
      <c r="J56" s="187"/>
      <c r="K56" s="187"/>
      <c r="L56" s="187"/>
      <c r="M56" s="187"/>
      <c r="N56" s="187"/>
      <c r="O56" s="187"/>
      <c r="P56" s="187"/>
      <c r="Q56" s="187"/>
      <c r="R56" s="187"/>
      <c r="S56" s="187"/>
      <c r="T56" s="187"/>
      <c r="U56" s="187"/>
      <c r="V56" s="187"/>
      <c r="W56" s="187"/>
      <c r="X56" s="187"/>
      <c r="Y56" s="187"/>
      <c r="Z56" s="187"/>
      <c r="AA56" s="187"/>
      <c r="AB56" s="187"/>
      <c r="AC56" s="187"/>
    </row>
    <row r="57" spans="1:29" ht="20.100000000000001" hidden="1" customHeight="1" outlineLevel="1" x14ac:dyDescent="0.25">
      <c r="A57" s="277"/>
      <c r="B57" s="187"/>
      <c r="C57" s="187"/>
      <c r="D57" s="187"/>
      <c r="E57" s="187"/>
      <c r="F57" s="187"/>
      <c r="G57" s="187"/>
      <c r="H57" s="187"/>
      <c r="I57" s="187"/>
      <c r="J57" s="187"/>
      <c r="K57" s="187"/>
      <c r="L57" s="187"/>
      <c r="M57" s="187"/>
      <c r="N57" s="187"/>
      <c r="O57" s="187"/>
      <c r="P57" s="187"/>
      <c r="Q57" s="187"/>
      <c r="R57" s="187"/>
      <c r="S57" s="187"/>
      <c r="T57" s="187"/>
      <c r="U57" s="187"/>
      <c r="V57" s="187"/>
      <c r="W57" s="187"/>
      <c r="X57" s="187"/>
      <c r="Y57" s="187"/>
      <c r="Z57" s="187"/>
      <c r="AA57" s="187"/>
      <c r="AB57" s="187"/>
      <c r="AC57" s="187"/>
    </row>
    <row r="58" spans="1:29" ht="20.100000000000001" hidden="1" customHeight="1" outlineLevel="1" x14ac:dyDescent="0.25">
      <c r="A58" s="279" t="s">
        <v>18</v>
      </c>
      <c r="B58" s="205" t="s">
        <v>258</v>
      </c>
      <c r="C58" s="205"/>
      <c r="D58" s="205"/>
      <c r="E58" s="205"/>
      <c r="F58" s="211"/>
      <c r="G58" s="211"/>
      <c r="H58" s="205" t="s">
        <v>258</v>
      </c>
      <c r="I58" s="205"/>
      <c r="J58" s="205"/>
      <c r="K58" s="205"/>
      <c r="L58" s="205"/>
      <c r="M58" s="211"/>
      <c r="N58" s="211"/>
      <c r="O58" s="205" t="s">
        <v>258</v>
      </c>
      <c r="P58" s="205"/>
      <c r="Q58" s="205"/>
      <c r="R58" s="205"/>
      <c r="S58" s="205"/>
      <c r="T58" s="211"/>
      <c r="U58" s="211"/>
      <c r="V58" s="205" t="s">
        <v>258</v>
      </c>
      <c r="W58" s="205"/>
      <c r="X58" s="205"/>
      <c r="Y58" s="205"/>
      <c r="Z58" s="205"/>
      <c r="AA58" s="211"/>
      <c r="AB58" s="211"/>
      <c r="AC58" s="205" t="s">
        <v>258</v>
      </c>
    </row>
    <row r="59" spans="1:29" ht="20.100000000000001" hidden="1" customHeight="1" outlineLevel="1" x14ac:dyDescent="0.25">
      <c r="A59" s="279"/>
      <c r="B59" s="187">
        <v>0</v>
      </c>
      <c r="C59" s="187">
        <v>0</v>
      </c>
      <c r="D59" s="187">
        <v>0</v>
      </c>
      <c r="E59" s="187">
        <v>0</v>
      </c>
      <c r="F59" s="187"/>
      <c r="G59" s="187"/>
      <c r="H59" s="187">
        <v>0</v>
      </c>
      <c r="I59" s="187">
        <v>0</v>
      </c>
      <c r="J59" s="187">
        <v>0</v>
      </c>
      <c r="K59" s="187">
        <v>0</v>
      </c>
      <c r="L59" s="187">
        <v>0</v>
      </c>
      <c r="M59" s="187"/>
      <c r="N59" s="187"/>
      <c r="O59" s="187">
        <v>4</v>
      </c>
      <c r="P59" s="187">
        <v>4</v>
      </c>
      <c r="Q59" s="187">
        <v>5</v>
      </c>
      <c r="R59" s="187">
        <v>5</v>
      </c>
      <c r="S59" s="187">
        <v>4</v>
      </c>
      <c r="T59" s="187"/>
      <c r="U59" s="187"/>
      <c r="V59" s="187">
        <v>4</v>
      </c>
      <c r="W59" s="187">
        <v>5</v>
      </c>
      <c r="X59" s="187">
        <v>3</v>
      </c>
      <c r="Y59" s="187">
        <v>4</v>
      </c>
      <c r="Z59" s="187">
        <v>3</v>
      </c>
      <c r="AA59" s="187"/>
      <c r="AB59" s="187"/>
      <c r="AC59" s="187">
        <v>5</v>
      </c>
    </row>
    <row r="60" spans="1:29" ht="20.100000000000001" hidden="1" customHeight="1" outlineLevel="1" x14ac:dyDescent="0.25">
      <c r="A60" s="280" t="s">
        <v>20</v>
      </c>
      <c r="B60" s="187"/>
      <c r="C60" s="187"/>
      <c r="D60" s="187"/>
      <c r="E60" s="187"/>
      <c r="F60" s="187"/>
      <c r="G60" s="187"/>
      <c r="H60" s="187"/>
      <c r="I60" s="187"/>
      <c r="J60" s="187"/>
      <c r="K60" s="187"/>
      <c r="L60" s="187"/>
      <c r="M60" s="187"/>
      <c r="N60" s="187"/>
      <c r="O60" s="187"/>
      <c r="P60" s="187"/>
      <c r="Q60" s="187"/>
      <c r="R60" s="187"/>
      <c r="S60" s="187"/>
      <c r="T60" s="187"/>
      <c r="U60" s="187"/>
      <c r="V60" s="187"/>
      <c r="W60" s="187"/>
      <c r="X60" s="187"/>
      <c r="Y60" s="187"/>
      <c r="Z60" s="187"/>
      <c r="AA60" s="187"/>
      <c r="AB60" s="187"/>
      <c r="AC60" s="187"/>
    </row>
    <row r="61" spans="1:29" ht="20.100000000000001" hidden="1" customHeight="1" outlineLevel="1" x14ac:dyDescent="0.25">
      <c r="A61" s="280"/>
      <c r="B61" s="187">
        <v>0</v>
      </c>
      <c r="C61" s="187">
        <v>0</v>
      </c>
      <c r="D61" s="187">
        <v>0</v>
      </c>
      <c r="E61" s="187">
        <v>0</v>
      </c>
      <c r="F61" s="187">
        <v>0</v>
      </c>
      <c r="G61" s="187">
        <v>0</v>
      </c>
      <c r="H61" s="187">
        <v>0</v>
      </c>
      <c r="I61" s="187">
        <v>0</v>
      </c>
      <c r="J61" s="187">
        <v>0</v>
      </c>
      <c r="K61" s="187">
        <v>0</v>
      </c>
      <c r="L61" s="187">
        <v>0</v>
      </c>
      <c r="M61" s="187">
        <v>5</v>
      </c>
      <c r="N61" s="187">
        <v>3</v>
      </c>
      <c r="O61" s="187">
        <v>2</v>
      </c>
      <c r="P61" s="187">
        <v>3</v>
      </c>
      <c r="Q61" s="187">
        <v>3</v>
      </c>
      <c r="R61" s="187">
        <v>4</v>
      </c>
      <c r="S61" s="187">
        <v>3</v>
      </c>
      <c r="T61" s="187">
        <v>5</v>
      </c>
      <c r="U61" s="187">
        <v>3</v>
      </c>
      <c r="V61" s="187">
        <v>2</v>
      </c>
      <c r="W61" s="187">
        <v>3</v>
      </c>
      <c r="X61" s="187">
        <v>3</v>
      </c>
      <c r="Y61" s="187">
        <v>4</v>
      </c>
      <c r="Z61" s="187">
        <v>3</v>
      </c>
      <c r="AA61" s="187">
        <v>5</v>
      </c>
      <c r="AB61" s="187">
        <v>3</v>
      </c>
      <c r="AC61" s="187">
        <v>2</v>
      </c>
    </row>
    <row r="62" spans="1:29" s="10" customFormat="1" ht="63.75" customHeight="1" collapsed="1" x14ac:dyDescent="0.25">
      <c r="A62" s="3"/>
      <c r="B62" s="201" t="str" cm="1">
        <f t="array" ref="B62">_xlfn.IFNA(_xlfn.XLOOKUP(B$63, deliveryDates[[Date]:[Date]], deliveryDates[[Type]:[Type]]), "")</f>
        <v/>
      </c>
      <c r="C62" s="201" t="str" cm="1">
        <f t="array" ref="C62">_xlfn.IFNA(_xlfn.XLOOKUP(C$63, deliveryDates[[Date]:[Date]], deliveryDates[[Type]:[Type]]), "")</f>
        <v/>
      </c>
      <c r="D62" s="201" t="str" cm="1">
        <f t="array" ref="D62">_xlfn.IFNA(_xlfn.XLOOKUP(D$63, deliveryDates[[Date]:[Date]], deliveryDates[[Type]:[Type]]), "")</f>
        <v/>
      </c>
      <c r="E62" s="201" t="str" cm="1">
        <f t="array" ref="E62">_xlfn.IFNA(_xlfn.XLOOKUP(E$63, deliveryDates[[Date]:[Date]], deliveryDates[[Type]:[Type]]), "")</f>
        <v/>
      </c>
      <c r="F62" s="201" t="str" cm="1">
        <f t="array" ref="F62">_xlfn.IFNA(_xlfn.XLOOKUP(F$63, deliveryDates[[Date]:[Date]], deliveryDates[[Type]:[Type]]), "")</f>
        <v>Production</v>
      </c>
      <c r="G62" s="201" t="str" cm="1">
        <f t="array" ref="G62">_xlfn.IFNA(_xlfn.XLOOKUP(G$63, deliveryDates[[Date]:[Date]], deliveryDates[[Type]:[Type]]), "")</f>
        <v/>
      </c>
      <c r="H62" s="201" t="str" cm="1">
        <f t="array" ref="H62">_xlfn.IFNA(_xlfn.XLOOKUP(H$63, deliveryDates[[Date]:[Date]], deliveryDates[[Type]:[Type]]), "")</f>
        <v/>
      </c>
      <c r="I62" s="201" t="str" cm="1">
        <f t="array" ref="I62">_xlfn.IFNA(_xlfn.XLOOKUP(I$63, deliveryDates[[Date]:[Date]], deliveryDates[[Type]:[Type]]), "")</f>
        <v/>
      </c>
      <c r="J62" s="201" t="str" cm="1">
        <f t="array" ref="J62">_xlfn.IFNA(_xlfn.XLOOKUP(J$63, deliveryDates[[Date]:[Date]], deliveryDates[[Type]:[Type]]), "")</f>
        <v/>
      </c>
      <c r="K62" s="201" t="str" cm="1">
        <f t="array" ref="K62">_xlfn.IFNA(_xlfn.XLOOKUP(K$63, deliveryDates[[Date]:[Date]], deliveryDates[[Type]:[Type]]), "")</f>
        <v/>
      </c>
      <c r="L62" s="201" t="str" cm="1">
        <f t="array" ref="L62">_xlfn.IFNA(_xlfn.XLOOKUP(L$63, deliveryDates[[Date]:[Date]], deliveryDates[[Type]:[Type]]), "")</f>
        <v/>
      </c>
      <c r="M62" s="201" t="str" cm="1">
        <f t="array" ref="M62">_xlfn.IFNA(_xlfn.XLOOKUP(M$63, deliveryDates[[Date]:[Date]], deliveryDates[[Type]:[Type]]), "")</f>
        <v/>
      </c>
      <c r="N62" s="201" t="str" cm="1">
        <f t="array" ref="N62">_xlfn.IFNA(_xlfn.XLOOKUP(N$63, deliveryDates[[Date]:[Date]], deliveryDates[[Type]:[Type]]), "")</f>
        <v/>
      </c>
      <c r="O62" s="201" t="str" cm="1">
        <f t="array" ref="O62">_xlfn.IFNA(_xlfn.XLOOKUP(O$63, deliveryDates[[Date]:[Date]], deliveryDates[[Type]:[Type]]), "")</f>
        <v/>
      </c>
      <c r="P62" s="201" t="str" cm="1">
        <f t="array" ref="P62">_xlfn.IFNA(_xlfn.XLOOKUP(P$63, deliveryDates[[Date]:[Date]], deliveryDates[[Type]:[Type]]), "")</f>
        <v/>
      </c>
      <c r="Q62" s="201" t="str" cm="1">
        <f t="array" ref="Q62">_xlfn.IFNA(_xlfn.XLOOKUP(Q$63, deliveryDates[[Date]:[Date]], deliveryDates[[Type]:[Type]]), "")</f>
        <v/>
      </c>
      <c r="R62" s="201" t="str" cm="1">
        <f t="array" ref="R62">_xlfn.IFNA(_xlfn.XLOOKUP(R$63, deliveryDates[[Date]:[Date]], deliveryDates[[Type]:[Type]]), "")</f>
        <v/>
      </c>
      <c r="S62" s="201" t="str" cm="1">
        <f t="array" ref="S62">_xlfn.IFNA(_xlfn.XLOOKUP(S$63, deliveryDates[[Date]:[Date]], deliveryDates[[Type]:[Type]]), "")</f>
        <v/>
      </c>
      <c r="T62" s="201" t="str" cm="1">
        <f t="array" ref="T62">_xlfn.IFNA(_xlfn.XLOOKUP(T$63, deliveryDates[[Date]:[Date]], deliveryDates[[Type]:[Type]]), "")</f>
        <v>Suivi</v>
      </c>
      <c r="U62" s="201" t="str" cm="1">
        <f t="array" ref="U62">_xlfn.IFNA(_xlfn.XLOOKUP(U$63, deliveryDates[[Date]:[Date]], deliveryDates[[Type]:[Type]]), "")</f>
        <v/>
      </c>
      <c r="V62" s="201" t="str" cm="1">
        <f t="array" ref="V62">_xlfn.IFNA(_xlfn.XLOOKUP(V$63, deliveryDates[[Date]:[Date]], deliveryDates[[Type]:[Type]]), "")</f>
        <v/>
      </c>
      <c r="W62" s="201" t="str" cm="1">
        <f t="array" ref="W62">_xlfn.IFNA(_xlfn.XLOOKUP(W$63, deliveryDates[[Date]:[Date]], deliveryDates[[Type]:[Type]]), "")</f>
        <v/>
      </c>
      <c r="X62" s="201" t="str" cm="1">
        <f t="array" ref="X62">_xlfn.IFNA(_xlfn.XLOOKUP(X$63, deliveryDates[[Date]:[Date]], deliveryDates[[Type]:[Type]]), "")</f>
        <v/>
      </c>
      <c r="Y62" s="201" t="str" cm="1">
        <f t="array" ref="Y62">_xlfn.IFNA(_xlfn.XLOOKUP(Y$63, deliveryDates[[Date]:[Date]], deliveryDates[[Type]:[Type]]), "")</f>
        <v/>
      </c>
      <c r="Z62" s="201" t="str" cm="1">
        <f t="array" ref="Z62">_xlfn.IFNA(_xlfn.XLOOKUP(Z$63, deliveryDates[[Date]:[Date]], deliveryDates[[Type]:[Type]]), "")</f>
        <v/>
      </c>
      <c r="AA62" s="201" t="str" cm="1">
        <f t="array" ref="AA62">_xlfn.IFNA(_xlfn.XLOOKUP(AA$63, deliveryDates[[Date]:[Date]], deliveryDates[[Type]:[Type]]), "")</f>
        <v/>
      </c>
      <c r="AB62" s="201" t="str" cm="1">
        <f t="array" ref="AB62">_xlfn.IFNA(_xlfn.XLOOKUP(AB$63, deliveryDates[[Date]:[Date]], deliveryDates[[Type]:[Type]]), "")</f>
        <v/>
      </c>
      <c r="AC62" s="201" t="str" cm="1">
        <f t="array" ref="AC62">_xlfn.IFNA(_xlfn.XLOOKUP(AC$63, deliveryDates[[Date]:[Date]], deliveryDates[[Type]:[Type]]), "")</f>
        <v/>
      </c>
    </row>
    <row r="63" spans="1:29" ht="20.100000000000001" customHeight="1" x14ac:dyDescent="0.25">
      <c r="B63" s="4" cm="1">
        <f t="array" ref="B63:AC63">DATE(2024, 3, 16)+_xlfn.SEQUENCE(1,28)</f>
        <v>45368</v>
      </c>
      <c r="C63" s="4">
        <v>45369</v>
      </c>
      <c r="D63" s="4">
        <v>45370</v>
      </c>
      <c r="E63" s="4">
        <v>45371</v>
      </c>
      <c r="F63" s="4">
        <v>45372</v>
      </c>
      <c r="G63" s="4">
        <v>45373</v>
      </c>
      <c r="H63" s="4">
        <v>45374</v>
      </c>
      <c r="I63" s="4">
        <v>45375</v>
      </c>
      <c r="J63" s="4">
        <v>45376</v>
      </c>
      <c r="K63" s="4">
        <v>45377</v>
      </c>
      <c r="L63" s="4">
        <v>45378</v>
      </c>
      <c r="M63" s="4">
        <v>45379</v>
      </c>
      <c r="N63" s="4">
        <v>45380</v>
      </c>
      <c r="O63" s="4">
        <v>45381</v>
      </c>
      <c r="P63" s="4">
        <v>45382</v>
      </c>
      <c r="Q63" s="4">
        <v>45383</v>
      </c>
      <c r="R63" s="4">
        <v>45384</v>
      </c>
      <c r="S63" s="4">
        <v>45385</v>
      </c>
      <c r="T63" s="4">
        <v>45386</v>
      </c>
      <c r="U63" s="4">
        <v>45387</v>
      </c>
      <c r="V63" s="4">
        <v>45388</v>
      </c>
      <c r="W63" s="4">
        <v>45389</v>
      </c>
      <c r="X63" s="4">
        <v>45390</v>
      </c>
      <c r="Y63" s="4">
        <v>45391</v>
      </c>
      <c r="Z63" s="4">
        <v>45392</v>
      </c>
      <c r="AA63" s="4">
        <v>45393</v>
      </c>
      <c r="AB63" s="4">
        <v>45394</v>
      </c>
      <c r="AC63" s="4">
        <v>45395</v>
      </c>
    </row>
    <row r="64" spans="1:29" ht="20.100000000000001" hidden="1" customHeight="1" outlineLevel="1" x14ac:dyDescent="0.25">
      <c r="A64" s="281" t="s">
        <v>12</v>
      </c>
      <c r="B64" s="187"/>
      <c r="C64" s="187"/>
      <c r="D64" s="187"/>
      <c r="E64" s="187"/>
      <c r="F64" s="187"/>
      <c r="G64" s="187"/>
      <c r="H64" s="187"/>
      <c r="I64" s="187"/>
      <c r="J64" s="187"/>
      <c r="K64" s="187"/>
      <c r="L64" s="187"/>
      <c r="M64" s="187"/>
      <c r="N64" s="187"/>
      <c r="O64" s="187"/>
      <c r="P64" s="187"/>
      <c r="Q64" s="187"/>
      <c r="R64" s="187"/>
      <c r="S64" s="187"/>
      <c r="T64" s="187"/>
      <c r="U64" s="187"/>
      <c r="V64" s="187"/>
      <c r="W64" s="187"/>
      <c r="X64" s="187"/>
      <c r="Y64" s="187"/>
      <c r="Z64" s="187"/>
      <c r="AA64" s="187"/>
      <c r="AB64" s="187"/>
      <c r="AC64" s="187"/>
    </row>
    <row r="65" spans="1:29" ht="20.100000000000001" hidden="1" customHeight="1" outlineLevel="1" x14ac:dyDescent="0.25">
      <c r="A65" s="281"/>
      <c r="B65" s="187">
        <v>3</v>
      </c>
      <c r="C65" s="187">
        <v>4</v>
      </c>
      <c r="D65" s="187">
        <v>5</v>
      </c>
      <c r="E65" s="187">
        <v>0</v>
      </c>
      <c r="F65" s="187">
        <v>0</v>
      </c>
      <c r="G65" s="187">
        <v>8</v>
      </c>
      <c r="H65" s="187">
        <v>0</v>
      </c>
      <c r="I65" s="187">
        <v>3</v>
      </c>
      <c r="J65" s="187">
        <v>4</v>
      </c>
      <c r="K65" s="187">
        <v>5</v>
      </c>
      <c r="L65" s="187">
        <v>0</v>
      </c>
      <c r="M65" s="187">
        <v>0</v>
      </c>
      <c r="N65" s="187">
        <v>8</v>
      </c>
      <c r="O65" s="187">
        <v>0</v>
      </c>
      <c r="P65" s="187">
        <v>3</v>
      </c>
      <c r="Q65" s="187">
        <v>4</v>
      </c>
      <c r="R65" s="187">
        <v>5</v>
      </c>
      <c r="S65" s="187">
        <v>0</v>
      </c>
      <c r="T65" s="187">
        <v>0</v>
      </c>
      <c r="U65" s="187">
        <v>8</v>
      </c>
      <c r="V65" s="187">
        <v>0</v>
      </c>
      <c r="W65" s="187">
        <v>3</v>
      </c>
      <c r="X65" s="187">
        <v>4</v>
      </c>
      <c r="Y65" s="187">
        <v>5</v>
      </c>
      <c r="Z65" s="187">
        <v>0</v>
      </c>
      <c r="AA65" s="187">
        <v>0</v>
      </c>
      <c r="AB65" s="187">
        <v>8</v>
      </c>
      <c r="AC65" s="187">
        <v>0</v>
      </c>
    </row>
    <row r="66" spans="1:29" ht="20.100000000000001" hidden="1" customHeight="1" outlineLevel="1" x14ac:dyDescent="0.25">
      <c r="A66" s="278" t="s">
        <v>14</v>
      </c>
      <c r="B66" s="187"/>
      <c r="C66" s="187"/>
      <c r="D66" s="187"/>
      <c r="E66" s="187"/>
      <c r="F66" s="187"/>
      <c r="G66" s="187"/>
      <c r="H66" s="187"/>
      <c r="I66" s="187"/>
      <c r="J66" s="187"/>
      <c r="K66" s="187"/>
      <c r="L66" s="187"/>
      <c r="M66" s="187"/>
      <c r="N66" s="187"/>
      <c r="O66" s="187"/>
      <c r="P66" s="187"/>
      <c r="Q66" s="187"/>
      <c r="R66" s="187"/>
      <c r="S66" s="187"/>
      <c r="T66" s="187"/>
      <c r="U66" s="187"/>
      <c r="V66" s="187"/>
      <c r="W66" s="187"/>
      <c r="X66" s="187"/>
      <c r="Y66" s="187"/>
      <c r="Z66" s="187"/>
      <c r="AA66" s="187"/>
      <c r="AB66" s="187"/>
      <c r="AC66" s="187"/>
    </row>
    <row r="67" spans="1:29" ht="20.100000000000001" hidden="1" customHeight="1" outlineLevel="1" x14ac:dyDescent="0.25">
      <c r="A67" s="278"/>
      <c r="B67" s="187">
        <v>4</v>
      </c>
      <c r="C67" s="187">
        <v>8</v>
      </c>
      <c r="D67" s="187">
        <v>8</v>
      </c>
      <c r="E67" s="187">
        <v>0</v>
      </c>
      <c r="F67" s="187">
        <v>4</v>
      </c>
      <c r="G67" s="187">
        <v>0</v>
      </c>
      <c r="H67" s="187">
        <v>8</v>
      </c>
      <c r="I67" s="187">
        <v>4</v>
      </c>
      <c r="J67" s="187">
        <v>8</v>
      </c>
      <c r="K67" s="187">
        <v>8</v>
      </c>
      <c r="L67" s="187">
        <v>0</v>
      </c>
      <c r="M67" s="187">
        <v>4</v>
      </c>
      <c r="N67" s="187">
        <v>0</v>
      </c>
      <c r="O67" s="187">
        <v>8</v>
      </c>
      <c r="P67" s="187">
        <v>4</v>
      </c>
      <c r="Q67" s="187">
        <v>8</v>
      </c>
      <c r="R67" s="187">
        <v>8</v>
      </c>
      <c r="S67" s="187">
        <v>0</v>
      </c>
      <c r="T67" s="187">
        <v>4</v>
      </c>
      <c r="U67" s="187">
        <v>0</v>
      </c>
      <c r="V67" s="187">
        <v>8</v>
      </c>
      <c r="W67" s="187">
        <v>4</v>
      </c>
      <c r="X67" s="187">
        <v>8</v>
      </c>
      <c r="Y67" s="187">
        <v>8</v>
      </c>
      <c r="Z67" s="187">
        <v>0</v>
      </c>
      <c r="AA67" s="187">
        <v>4</v>
      </c>
      <c r="AB67" s="187">
        <v>0</v>
      </c>
      <c r="AC67" s="187">
        <v>8</v>
      </c>
    </row>
    <row r="68" spans="1:29" ht="20.100000000000001" hidden="1" customHeight="1" outlineLevel="1" x14ac:dyDescent="0.25">
      <c r="A68" s="277" t="s">
        <v>16</v>
      </c>
      <c r="B68" s="187"/>
      <c r="C68" s="187"/>
      <c r="D68" s="187"/>
      <c r="E68" s="187"/>
      <c r="F68" s="187"/>
      <c r="G68" s="187"/>
      <c r="H68" s="187"/>
      <c r="I68" s="187"/>
      <c r="J68" s="187"/>
      <c r="K68" s="187"/>
      <c r="L68" s="187"/>
      <c r="M68" s="187"/>
      <c r="N68" s="187"/>
      <c r="O68" s="187"/>
      <c r="P68" s="187"/>
      <c r="Q68" s="187"/>
      <c r="R68" s="187"/>
      <c r="S68" s="187"/>
      <c r="T68" s="187"/>
      <c r="U68" s="187"/>
      <c r="V68" s="187"/>
      <c r="W68" s="187"/>
      <c r="X68" s="187"/>
      <c r="Y68" s="187"/>
      <c r="Z68" s="187"/>
      <c r="AA68" s="187"/>
      <c r="AB68" s="187"/>
      <c r="AC68" s="187"/>
    </row>
    <row r="69" spans="1:29" ht="20.100000000000001" hidden="1" customHeight="1" outlineLevel="1" x14ac:dyDescent="0.25">
      <c r="A69" s="277"/>
      <c r="B69" s="187"/>
      <c r="C69" s="187"/>
      <c r="D69" s="187"/>
      <c r="E69" s="187"/>
      <c r="F69" s="187"/>
      <c r="G69" s="187"/>
      <c r="H69" s="187"/>
      <c r="I69" s="187"/>
      <c r="J69" s="187"/>
      <c r="K69" s="187"/>
      <c r="L69" s="187"/>
      <c r="M69" s="187"/>
      <c r="N69" s="187"/>
      <c r="O69" s="187"/>
      <c r="P69" s="187"/>
      <c r="Q69" s="187"/>
      <c r="R69" s="187"/>
      <c r="S69" s="187"/>
      <c r="T69" s="187"/>
      <c r="U69" s="187"/>
      <c r="V69" s="187"/>
      <c r="W69" s="187"/>
      <c r="X69" s="187"/>
      <c r="Y69" s="187"/>
      <c r="Z69" s="187"/>
      <c r="AA69" s="187"/>
      <c r="AB69" s="187"/>
      <c r="AC69" s="187"/>
    </row>
    <row r="70" spans="1:29" ht="20.100000000000001" hidden="1" customHeight="1" outlineLevel="1" x14ac:dyDescent="0.25">
      <c r="A70" s="279" t="s">
        <v>18</v>
      </c>
      <c r="B70" s="205" t="s">
        <v>258</v>
      </c>
      <c r="C70" s="205"/>
      <c r="D70" s="205"/>
      <c r="E70" s="205"/>
      <c r="F70" s="211"/>
      <c r="G70" s="211"/>
      <c r="H70" s="205" t="s">
        <v>258</v>
      </c>
      <c r="I70" s="205"/>
      <c r="J70" s="205"/>
      <c r="K70" s="205"/>
      <c r="L70" s="205"/>
      <c r="M70" s="211"/>
      <c r="N70" s="211"/>
      <c r="O70" s="205" t="s">
        <v>258</v>
      </c>
      <c r="P70" s="205"/>
      <c r="Q70" s="205"/>
      <c r="R70" s="205"/>
      <c r="S70" s="205"/>
      <c r="T70" s="211"/>
      <c r="U70" s="211"/>
      <c r="V70" s="205" t="s">
        <v>258</v>
      </c>
      <c r="W70" s="205"/>
      <c r="X70" s="205"/>
      <c r="Y70" s="205"/>
      <c r="Z70" s="205"/>
      <c r="AA70" s="211"/>
      <c r="AB70" s="211"/>
      <c r="AC70" s="187"/>
    </row>
    <row r="71" spans="1:29" ht="20.100000000000001" hidden="1" customHeight="1" outlineLevel="1" x14ac:dyDescent="0.25">
      <c r="A71" s="279"/>
      <c r="B71" s="187">
        <v>4</v>
      </c>
      <c r="C71" s="187">
        <v>5</v>
      </c>
      <c r="D71" s="187">
        <v>4</v>
      </c>
      <c r="E71" s="187">
        <v>5</v>
      </c>
      <c r="H71" s="187">
        <v>5</v>
      </c>
      <c r="I71" s="187">
        <v>4</v>
      </c>
      <c r="J71" s="187">
        <v>4</v>
      </c>
      <c r="K71" s="187">
        <v>5</v>
      </c>
      <c r="L71" s="187">
        <v>4</v>
      </c>
      <c r="O71" s="187">
        <v>2</v>
      </c>
      <c r="P71" s="187">
        <v>4</v>
      </c>
      <c r="Q71" s="187">
        <v>4</v>
      </c>
      <c r="R71" s="187">
        <v>3</v>
      </c>
      <c r="S71" s="187">
        <v>4</v>
      </c>
      <c r="V71" s="187">
        <v>4</v>
      </c>
      <c r="W71" s="187">
        <v>2</v>
      </c>
      <c r="X71" s="187">
        <v>3</v>
      </c>
      <c r="Y71" s="187">
        <v>3</v>
      </c>
      <c r="Z71" s="187">
        <v>2</v>
      </c>
    </row>
    <row r="72" spans="1:29" ht="20.100000000000001" hidden="1" customHeight="1" outlineLevel="1" x14ac:dyDescent="0.25">
      <c r="A72" s="280" t="s">
        <v>20</v>
      </c>
      <c r="B72" s="187"/>
      <c r="C72" s="187"/>
      <c r="D72" s="187"/>
      <c r="E72" s="187"/>
      <c r="F72" s="187"/>
      <c r="G72" s="187"/>
      <c r="H72" s="187"/>
      <c r="I72" s="187"/>
      <c r="J72" s="187"/>
      <c r="K72" s="187"/>
      <c r="L72" s="187"/>
      <c r="M72" s="187"/>
      <c r="N72" s="187"/>
      <c r="O72" s="187"/>
      <c r="P72" s="187"/>
      <c r="Q72" s="187"/>
      <c r="R72" s="187"/>
      <c r="S72" s="187"/>
      <c r="T72" s="187"/>
      <c r="U72" s="187"/>
      <c r="V72" s="187"/>
      <c r="W72" s="187"/>
      <c r="X72" s="187"/>
      <c r="Y72" s="187"/>
      <c r="Z72" s="187"/>
      <c r="AA72" s="187"/>
      <c r="AB72" s="187"/>
      <c r="AC72" s="187"/>
    </row>
    <row r="73" spans="1:29" ht="20.100000000000001" hidden="1" customHeight="1" outlineLevel="1" x14ac:dyDescent="0.25">
      <c r="A73" s="280"/>
      <c r="B73" s="187">
        <v>3</v>
      </c>
      <c r="C73" s="187">
        <v>3</v>
      </c>
      <c r="D73" s="187">
        <v>4</v>
      </c>
      <c r="E73" s="187">
        <v>3</v>
      </c>
      <c r="F73" s="187">
        <v>5</v>
      </c>
      <c r="G73" s="187">
        <v>3</v>
      </c>
      <c r="H73" s="187">
        <v>2</v>
      </c>
      <c r="I73" s="187">
        <v>3</v>
      </c>
      <c r="J73" s="187">
        <v>3</v>
      </c>
      <c r="K73" s="187">
        <v>4</v>
      </c>
      <c r="L73" s="187">
        <v>3</v>
      </c>
      <c r="M73" s="187">
        <v>5</v>
      </c>
      <c r="N73" s="187">
        <v>3</v>
      </c>
      <c r="O73" s="187"/>
      <c r="P73" s="187"/>
      <c r="Q73" s="187"/>
      <c r="R73" s="187"/>
      <c r="S73" s="187"/>
      <c r="T73" s="187"/>
      <c r="U73" s="187"/>
      <c r="V73" s="187"/>
      <c r="W73" s="187"/>
      <c r="X73" s="187"/>
      <c r="Y73" s="187"/>
      <c r="Z73" s="187"/>
      <c r="AA73" s="187"/>
      <c r="AB73" s="187"/>
      <c r="AC73" s="187"/>
    </row>
    <row r="74" spans="1:29" s="10" customFormat="1" ht="63.75" customHeight="1" collapsed="1" x14ac:dyDescent="0.25">
      <c r="A74" s="3"/>
      <c r="B74" s="201" t="str" cm="1">
        <f t="array" ref="B74">_xlfn.IFNA(_xlfn.XLOOKUP(B$75, deliveryDates[[Date]:[Date]], deliveryDates[[Type]:[Type]]), "")</f>
        <v/>
      </c>
      <c r="C74" s="201" t="str" cm="1">
        <f t="array" ref="C74">_xlfn.IFNA(_xlfn.XLOOKUP(C$75, deliveryDates[[Date]:[Date]], deliveryDates[[Type]:[Type]]), "")</f>
        <v/>
      </c>
      <c r="D74" s="201" t="str" cm="1">
        <f t="array" ref="D74">_xlfn.IFNA(_xlfn.XLOOKUP(D$75, deliveryDates[[Date]:[Date]], deliveryDates[[Type]:[Type]]), "")</f>
        <v/>
      </c>
      <c r="E74" s="201" t="str" cm="1">
        <f t="array" ref="E74">_xlfn.IFNA(_xlfn.XLOOKUP(E$75, deliveryDates[[Date]:[Date]], deliveryDates[[Type]:[Type]]), "")</f>
        <v/>
      </c>
      <c r="F74" s="201" t="str" cm="1">
        <f t="array" ref="F74">_xlfn.IFNA(_xlfn.XLOOKUP(F$75, deliveryDates[[Date]:[Date]], deliveryDates[[Type]:[Type]]), "")</f>
        <v/>
      </c>
      <c r="G74" s="201" t="str" cm="1">
        <f t="array" ref="G74">_xlfn.IFNA(_xlfn.XLOOKUP(G$75, deliveryDates[[Date]:[Date]], deliveryDates[[Type]:[Type]]), "")</f>
        <v/>
      </c>
      <c r="H74" s="201" t="str" cm="1">
        <f t="array" ref="H74">_xlfn.IFNA(_xlfn.XLOOKUP(H$75, deliveryDates[[Date]:[Date]], deliveryDates[[Type]:[Type]]), "")</f>
        <v/>
      </c>
      <c r="I74" s="201" t="str" cm="1">
        <f t="array" ref="I74">_xlfn.IFNA(_xlfn.XLOOKUP(I$75, deliveryDates[[Date]:[Date]], deliveryDates[[Type]:[Type]]), "")</f>
        <v/>
      </c>
      <c r="J74" s="201" t="str" cm="1">
        <f t="array" ref="J74">_xlfn.IFNA(_xlfn.XLOOKUP(J$75, deliveryDates[[Date]:[Date]], deliveryDates[[Type]:[Type]]), "")</f>
        <v/>
      </c>
      <c r="K74" s="201" t="str" cm="1">
        <f t="array" ref="K74">_xlfn.IFNA(_xlfn.XLOOKUP(K$75, deliveryDates[[Date]:[Date]], deliveryDates[[Type]:[Type]]), "")</f>
        <v/>
      </c>
      <c r="L74" s="201" t="str" cm="1">
        <f t="array" ref="L74">_xlfn.IFNA(_xlfn.XLOOKUP(L$75, deliveryDates[[Date]:[Date]], deliveryDates[[Type]:[Type]]), "")</f>
        <v/>
      </c>
      <c r="M74" s="201" t="str" cm="1">
        <f t="array" ref="M74">_xlfn.IFNA(_xlfn.XLOOKUP(M$75, deliveryDates[[Date]:[Date]], deliveryDates[[Type]:[Type]]), "")</f>
        <v>Suivi</v>
      </c>
      <c r="N74" s="201" t="str" cm="1">
        <f t="array" ref="N74">_xlfn.IFNA(_xlfn.XLOOKUP(N$75, deliveryDates[[Date]:[Date]], deliveryDates[[Type]:[Type]]), "")</f>
        <v>Production</v>
      </c>
    </row>
    <row r="75" spans="1:29" ht="20.100000000000001" customHeight="1" x14ac:dyDescent="0.25">
      <c r="B75" s="4" cm="1">
        <f t="array" ref="B75:N75">DATE(2024, 4, 13)+_xlfn.SEQUENCE(1, 13)</f>
        <v>45396</v>
      </c>
      <c r="C75" s="4">
        <v>45397</v>
      </c>
      <c r="D75" s="4">
        <v>45398</v>
      </c>
      <c r="E75" s="4">
        <v>45399</v>
      </c>
      <c r="F75" s="4">
        <v>45400</v>
      </c>
      <c r="G75" s="4">
        <v>45401</v>
      </c>
      <c r="H75" s="4">
        <v>45402</v>
      </c>
      <c r="I75" s="4">
        <v>45403</v>
      </c>
      <c r="J75" s="4">
        <v>45404</v>
      </c>
      <c r="K75" s="4">
        <v>45405</v>
      </c>
      <c r="L75" s="4">
        <v>45406</v>
      </c>
      <c r="M75" s="4">
        <v>45407</v>
      </c>
      <c r="N75" s="4">
        <v>45408</v>
      </c>
    </row>
    <row r="76" spans="1:29" ht="20.100000000000001" hidden="1" customHeight="1" outlineLevel="1" x14ac:dyDescent="0.25">
      <c r="A76" s="281" t="s">
        <v>12</v>
      </c>
      <c r="B76" s="187"/>
      <c r="C76" s="187"/>
      <c r="D76" s="187"/>
      <c r="E76" s="187"/>
      <c r="F76" s="187"/>
      <c r="G76" s="187"/>
      <c r="H76" s="187"/>
      <c r="I76" s="187"/>
      <c r="J76" s="187"/>
      <c r="K76" s="187"/>
      <c r="L76" s="187"/>
      <c r="M76" s="187"/>
      <c r="N76" s="187"/>
    </row>
    <row r="77" spans="1:29" ht="20.100000000000001" hidden="1" customHeight="1" outlineLevel="1" x14ac:dyDescent="0.25">
      <c r="A77" s="281"/>
      <c r="B77" s="187">
        <v>3</v>
      </c>
      <c r="C77" s="187">
        <v>4</v>
      </c>
      <c r="D77" s="187">
        <v>5</v>
      </c>
      <c r="E77" s="187">
        <v>0</v>
      </c>
      <c r="F77" s="187">
        <v>0</v>
      </c>
      <c r="G77" s="187">
        <v>8</v>
      </c>
      <c r="H77" s="187">
        <v>0</v>
      </c>
      <c r="I77" s="187">
        <v>3</v>
      </c>
      <c r="J77" s="187">
        <v>4</v>
      </c>
      <c r="K77" s="187">
        <v>5</v>
      </c>
      <c r="L77" s="187">
        <v>0</v>
      </c>
      <c r="M77" s="187">
        <v>0</v>
      </c>
      <c r="N77" s="187">
        <v>8</v>
      </c>
    </row>
    <row r="78" spans="1:29" ht="20.100000000000001" hidden="1" customHeight="1" outlineLevel="1" x14ac:dyDescent="0.25">
      <c r="A78" s="278" t="s">
        <v>14</v>
      </c>
      <c r="B78" s="187"/>
      <c r="C78" s="187"/>
      <c r="D78" s="187"/>
      <c r="E78" s="187"/>
      <c r="F78" s="187"/>
      <c r="G78" s="187"/>
      <c r="H78" s="187"/>
      <c r="I78" s="187"/>
      <c r="J78" s="187"/>
      <c r="K78" s="187"/>
      <c r="L78" s="187"/>
      <c r="M78" s="187"/>
      <c r="N78" s="187"/>
    </row>
    <row r="79" spans="1:29" ht="20.100000000000001" hidden="1" customHeight="1" outlineLevel="1" x14ac:dyDescent="0.25">
      <c r="A79" s="278"/>
      <c r="B79" s="187"/>
      <c r="C79" s="187"/>
      <c r="D79" s="187"/>
      <c r="E79" s="187"/>
      <c r="F79" s="187"/>
      <c r="G79" s="187"/>
      <c r="H79" s="187"/>
      <c r="I79" s="187"/>
      <c r="J79" s="187"/>
      <c r="K79" s="187"/>
      <c r="L79" s="187"/>
      <c r="M79" s="187"/>
      <c r="N79" s="187"/>
    </row>
    <row r="80" spans="1:29" ht="20.100000000000001" hidden="1" customHeight="1" outlineLevel="1" x14ac:dyDescent="0.25">
      <c r="A80" s="277" t="s">
        <v>16</v>
      </c>
      <c r="B80" s="187"/>
      <c r="C80" s="187"/>
      <c r="D80" s="187"/>
      <c r="E80" s="187"/>
      <c r="F80" s="187"/>
      <c r="G80" s="187"/>
      <c r="H80" s="187"/>
      <c r="I80" s="187"/>
      <c r="J80" s="187"/>
      <c r="K80" s="187"/>
      <c r="L80" s="187"/>
      <c r="M80" s="187"/>
      <c r="N80" s="187"/>
    </row>
    <row r="81" spans="1:14" ht="20.100000000000001" hidden="1" customHeight="1" outlineLevel="1" x14ac:dyDescent="0.25">
      <c r="A81" s="277"/>
      <c r="B81" s="187"/>
      <c r="C81" s="187"/>
      <c r="D81" s="187"/>
      <c r="E81" s="187"/>
      <c r="F81" s="187"/>
      <c r="G81" s="187"/>
      <c r="H81" s="187"/>
      <c r="I81" s="187"/>
      <c r="J81" s="187"/>
      <c r="K81" s="187"/>
      <c r="L81" s="187"/>
      <c r="M81" s="187"/>
      <c r="N81" s="187"/>
    </row>
    <row r="82" spans="1:14" ht="20.100000000000001" hidden="1" customHeight="1" outlineLevel="1" x14ac:dyDescent="0.25">
      <c r="A82" s="279" t="s">
        <v>18</v>
      </c>
      <c r="B82" s="282" t="s">
        <v>263</v>
      </c>
      <c r="C82" s="282"/>
      <c r="D82" s="282"/>
      <c r="E82" s="282"/>
      <c r="F82" s="211"/>
      <c r="G82" s="211"/>
      <c r="H82" s="211"/>
      <c r="I82" s="211"/>
      <c r="J82" s="211"/>
      <c r="K82" s="211"/>
      <c r="L82" s="211"/>
      <c r="M82" s="211"/>
      <c r="N82" s="211"/>
    </row>
    <row r="83" spans="1:14" ht="20.100000000000001" hidden="1" customHeight="1" outlineLevel="1" x14ac:dyDescent="0.25">
      <c r="A83" s="279"/>
      <c r="B83" s="2">
        <v>4</v>
      </c>
      <c r="C83" s="2">
        <v>5</v>
      </c>
      <c r="D83" s="2">
        <v>3</v>
      </c>
      <c r="E83" s="2">
        <v>2</v>
      </c>
      <c r="F83" s="187"/>
      <c r="G83" s="187"/>
      <c r="H83" s="187"/>
      <c r="I83" s="187"/>
      <c r="J83" s="187"/>
      <c r="K83" s="187"/>
      <c r="L83" s="187"/>
      <c r="M83" s="187"/>
      <c r="N83" s="187"/>
    </row>
    <row r="84" spans="1:14" ht="20.100000000000001" hidden="1" customHeight="1" outlineLevel="1" x14ac:dyDescent="0.25">
      <c r="A84" s="280" t="s">
        <v>20</v>
      </c>
      <c r="B84" s="187"/>
      <c r="C84" s="187"/>
      <c r="D84" s="187"/>
      <c r="E84" s="187"/>
      <c r="F84" s="187"/>
      <c r="G84" s="187"/>
      <c r="H84" s="187"/>
      <c r="I84" s="187"/>
      <c r="J84" s="187"/>
      <c r="K84" s="187"/>
      <c r="L84" s="187"/>
      <c r="M84" s="187"/>
      <c r="N84" s="187"/>
    </row>
    <row r="85" spans="1:14" ht="20.100000000000001" hidden="1" customHeight="1" outlineLevel="1" x14ac:dyDescent="0.25">
      <c r="A85" s="280"/>
      <c r="B85" s="187"/>
      <c r="C85" s="187"/>
      <c r="D85" s="187"/>
      <c r="E85" s="187"/>
      <c r="F85" s="187"/>
      <c r="G85" s="187"/>
      <c r="H85" s="187"/>
      <c r="I85" s="187"/>
      <c r="J85" s="187"/>
      <c r="K85" s="187"/>
      <c r="L85" s="187"/>
      <c r="M85" s="187"/>
      <c r="N85" s="187"/>
    </row>
    <row r="86" spans="1:14" ht="20.100000000000001" customHeight="1" collapsed="1" x14ac:dyDescent="0.25"/>
  </sheetData>
  <sheetProtection formatRows="0" selectLockedCells="1" autoFilter="0"/>
  <mergeCells count="39">
    <mergeCell ref="B82:E82"/>
    <mergeCell ref="A58:A59"/>
    <mergeCell ref="B4:M4"/>
    <mergeCell ref="N4:S4"/>
    <mergeCell ref="A16:A17"/>
    <mergeCell ref="A4:A5"/>
    <mergeCell ref="A6:A7"/>
    <mergeCell ref="A8:A9"/>
    <mergeCell ref="A10:A11"/>
    <mergeCell ref="A12:A13"/>
    <mergeCell ref="B10:L10"/>
    <mergeCell ref="A46:A47"/>
    <mergeCell ref="A48:A49"/>
    <mergeCell ref="A52:A53"/>
    <mergeCell ref="A54:A55"/>
    <mergeCell ref="A56:A57"/>
    <mergeCell ref="A82:A83"/>
    <mergeCell ref="A84:A85"/>
    <mergeCell ref="A60:A61"/>
    <mergeCell ref="A64:A65"/>
    <mergeCell ref="A66:A67"/>
    <mergeCell ref="A68:A69"/>
    <mergeCell ref="A70:A71"/>
    <mergeCell ref="A72:A73"/>
    <mergeCell ref="A76:A77"/>
    <mergeCell ref="A78:A79"/>
    <mergeCell ref="A80:A81"/>
    <mergeCell ref="A44:A45"/>
    <mergeCell ref="A18:A19"/>
    <mergeCell ref="A20:A21"/>
    <mergeCell ref="A22:A23"/>
    <mergeCell ref="A24:A25"/>
    <mergeCell ref="A28:A29"/>
    <mergeCell ref="A30:A31"/>
    <mergeCell ref="A32:A33"/>
    <mergeCell ref="A34:A35"/>
    <mergeCell ref="A36:A37"/>
    <mergeCell ref="A40:A41"/>
    <mergeCell ref="A42:A43"/>
  </mergeCells>
  <phoneticPr fontId="3" type="noConversion"/>
  <conditionalFormatting sqref="B21:E21">
    <cfRule type="colorScale" priority="2">
      <colorScale>
        <cfvo type="min"/>
        <cfvo type="max"/>
        <color rgb="FFFDDAD7"/>
        <color rgb="FFF7867D"/>
      </colorScale>
    </cfRule>
  </conditionalFormatting>
  <conditionalFormatting sqref="B71:E71">
    <cfRule type="colorScale" priority="11">
      <colorScale>
        <cfvo type="min"/>
        <cfvo type="max"/>
        <color rgb="FFEAFCF3"/>
        <color rgb="FFB4F6D7"/>
      </colorScale>
    </cfRule>
  </conditionalFormatting>
  <conditionalFormatting sqref="B83:E83">
    <cfRule type="colorScale" priority="7">
      <colorScale>
        <cfvo type="min"/>
        <cfvo type="max"/>
        <color rgb="FFE8E8E8"/>
        <color rgb="FFD5D5D5"/>
      </colorScale>
    </cfRule>
  </conditionalFormatting>
  <conditionalFormatting sqref="B11:L11">
    <cfRule type="colorScale" priority="23">
      <colorScale>
        <cfvo type="min"/>
        <cfvo type="max"/>
        <color rgb="FFFDDAD7"/>
        <color rgb="FFF7867D"/>
      </colorScale>
    </cfRule>
  </conditionalFormatting>
  <conditionalFormatting sqref="B47:L47">
    <cfRule type="colorScale" priority="17">
      <colorScale>
        <cfvo type="min"/>
        <cfvo type="max"/>
        <color rgb="FFD6E7FE"/>
        <color rgb="FF9AC4FC"/>
      </colorScale>
    </cfRule>
  </conditionalFormatting>
  <conditionalFormatting sqref="B75:N75">
    <cfRule type="expression" dxfId="132" priority="42">
      <formula>IF(OR(WEEKDAY(B$75)=1, WEEKDAY(B$75)=7), TRUE, FALSE)</formula>
    </cfRule>
    <cfRule type="expression" dxfId="131" priority="49">
      <formula>IF(NOT(OR(WEEKDAY(B$75)=1, WEEKDAY(B$75)=7)), TRUE, FALSE)</formula>
    </cfRule>
  </conditionalFormatting>
  <conditionalFormatting sqref="B23:S23">
    <cfRule type="colorScale" priority="20">
      <colorScale>
        <cfvo type="min"/>
        <cfvo type="max"/>
        <color rgb="FFD6E7FE"/>
        <color rgb="FF9AC4FC"/>
      </colorScale>
    </cfRule>
  </conditionalFormatting>
  <conditionalFormatting sqref="B59:S59">
    <cfRule type="colorScale" priority="14">
      <colorScale>
        <cfvo type="min"/>
        <cfvo type="max"/>
        <color rgb="FFEAFCF3"/>
        <color rgb="FFB4F6D7"/>
      </colorScale>
    </cfRule>
  </conditionalFormatting>
  <conditionalFormatting sqref="B1:AC1">
    <cfRule type="expression" dxfId="130" priority="27">
      <formula>IF(OR(WEEKDAY(B$1)=1, WEEKDAY(B$1)=7), TRUE, FALSE)</formula>
    </cfRule>
    <cfRule type="expression" dxfId="129" priority="26">
      <formula>IF(NOT(OR(WEEKDAY(B$1)=1, WEEKDAY(B$1)=7)), TRUE, FALSE)</formula>
    </cfRule>
  </conditionalFormatting>
  <conditionalFormatting sqref="B2:AC2 B14:AC14 B26:AC26 B38:AC38 B50:AC50 B62:AC62 B74:N74">
    <cfRule type="expression" dxfId="128" priority="68">
      <formula>NOT(ISBLANK(B$3))</formula>
    </cfRule>
  </conditionalFormatting>
  <conditionalFormatting sqref="B3:AC3">
    <cfRule type="expression" dxfId="127" priority="48">
      <formula>IF(OR(WEEKDAY(B$3)=1, WEEKDAY(B$3)=7), TRUE, FALSE)</formula>
    </cfRule>
    <cfRule type="expression" dxfId="126" priority="28">
      <formula>IF(WEEKDAY(B$3)=5, TRUE, FALSE)</formula>
    </cfRule>
    <cfRule type="expression" dxfId="124" priority="25">
      <formula>B$3=TODAY()</formula>
    </cfRule>
    <cfRule type="expression" dxfId="123" priority="67">
      <formula>IF(NOT(OR(WEEKDAY(B$3)=1, WEEKDAY(B$3)=7)), TRUE, FALSE)</formula>
    </cfRule>
  </conditionalFormatting>
  <conditionalFormatting sqref="B15:AC15">
    <cfRule type="expression" dxfId="122" priority="47">
      <formula>IF(OR(WEEKDAY(B$15)=1, WEEKDAY(B$15)=7), TRUE, FALSE)</formula>
    </cfRule>
    <cfRule type="expression" dxfId="121" priority="29">
      <formula>IF(WEEKDAY(B$15)=5, TRUE, FALSE)</formula>
    </cfRule>
    <cfRule type="expression" dxfId="120" priority="24">
      <formula>B$15=TODAY()</formula>
    </cfRule>
    <cfRule type="expression" dxfId="119" priority="66">
      <formula>IF(NOT(OR(WEEKDAY(B$15)=1, WEEKDAY(B$15)=7)), TRUE, FALSE)</formula>
    </cfRule>
  </conditionalFormatting>
  <conditionalFormatting sqref="B27:AC27">
    <cfRule type="expression" dxfId="116" priority="46">
      <formula>IF(OR(WEEKDAY(B$27)=1, WEEKDAY(B$27)=7), TRUE, FALSE)</formula>
    </cfRule>
    <cfRule type="expression" dxfId="115" priority="59">
      <formula>IF(NOT(OR(WEEKDAY(B$27)=1, WEEKDAY(B$27)=7)), TRUE, FALSE)</formula>
    </cfRule>
    <cfRule type="expression" dxfId="114" priority="30">
      <formula>B$27=TODAY()</formula>
    </cfRule>
  </conditionalFormatting>
  <conditionalFormatting sqref="B35:AC35">
    <cfRule type="colorScale" priority="18">
      <colorScale>
        <cfvo type="min"/>
        <cfvo type="max"/>
        <color rgb="FFD6E7FE"/>
        <color rgb="FF9AC4FC"/>
      </colorScale>
    </cfRule>
  </conditionalFormatting>
  <conditionalFormatting sqref="B39:AC39">
    <cfRule type="expression" dxfId="112" priority="45">
      <formula>IF(OR(WEEKDAY(B$39)=1, WEEKDAY(B$39)=7), TRUE, FALSE)</formula>
    </cfRule>
    <cfRule type="expression" dxfId="111" priority="56">
      <formula>IF(NOT(OR(WEEKDAY(B$39)=1, WEEKDAY(B$39)=7)), TRUE, FALSE)</formula>
    </cfRule>
    <cfRule type="expression" dxfId="110" priority="31">
      <formula>B$39=TODAY()</formula>
    </cfRule>
  </conditionalFormatting>
  <conditionalFormatting sqref="B51:AC51">
    <cfRule type="expression" dxfId="108" priority="32">
      <formula>B$51=TODAY()</formula>
    </cfRule>
    <cfRule type="expression" dxfId="107" priority="44">
      <formula>IF(OR(WEEKDAY(B$51)=1, WEEKDAY(B$51)=7), TRUE, FALSE)</formula>
    </cfRule>
    <cfRule type="expression" dxfId="106" priority="51">
      <formula>IF(NOT(OR(WEEKDAY(B$51)=1, WEEKDAY(B$51)=7)), TRUE, FALSE)</formula>
    </cfRule>
  </conditionalFormatting>
  <conditionalFormatting sqref="B63:AC63">
    <cfRule type="expression" dxfId="104" priority="50">
      <formula>IF(NOT(OR(WEEKDAY(B$63)=1, WEEKDAY(B$63)=7)), TRUE, FALSE)</formula>
    </cfRule>
    <cfRule type="expression" dxfId="103" priority="33">
      <formula>B$63=TODAY()</formula>
    </cfRule>
    <cfRule type="expression" dxfId="102" priority="43">
      <formula>IF(OR(WEEKDAY(B$63)=1, WEEKDAY(B$63)=7), TRUE, FALSE)</formula>
    </cfRule>
  </conditionalFormatting>
  <conditionalFormatting sqref="B75:AC75">
    <cfRule type="expression" dxfId="101" priority="34">
      <formula>B$75=TODAY()</formula>
    </cfRule>
  </conditionalFormatting>
  <conditionalFormatting sqref="F21:S21">
    <cfRule type="colorScale" priority="1">
      <colorScale>
        <cfvo type="min"/>
        <cfvo type="max"/>
        <color rgb="FF91E7DF"/>
        <color rgb="FF45D7C9"/>
      </colorScale>
    </cfRule>
  </conditionalFormatting>
  <conditionalFormatting sqref="H71:L71">
    <cfRule type="colorScale" priority="10">
      <colorScale>
        <cfvo type="min"/>
        <cfvo type="max"/>
        <color rgb="FFEAFCF3"/>
        <color rgb="FFB4F6D7"/>
      </colorScale>
    </cfRule>
  </conditionalFormatting>
  <conditionalFormatting sqref="H9:O9">
    <cfRule type="colorScale" priority="6">
      <colorScale>
        <cfvo type="min"/>
        <cfvo type="max"/>
        <color rgb="FFF0EAFC"/>
        <color rgb="FFD6C6F6"/>
      </colorScale>
    </cfRule>
  </conditionalFormatting>
  <conditionalFormatting sqref="M11:S11">
    <cfRule type="colorScale" priority="21">
      <colorScale>
        <cfvo type="min"/>
        <cfvo type="max"/>
        <color rgb="FFD6E7FE"/>
        <color rgb="FF9AC4FC"/>
      </colorScale>
    </cfRule>
  </conditionalFormatting>
  <conditionalFormatting sqref="O71:S71">
    <cfRule type="colorScale" priority="9">
      <colorScale>
        <cfvo type="min"/>
        <cfvo type="max"/>
        <color rgb="FFEAFCF3"/>
        <color rgb="FFB4F6D7"/>
      </colorScale>
    </cfRule>
  </conditionalFormatting>
  <conditionalFormatting sqref="O47:T47">
    <cfRule type="colorScale" priority="16">
      <colorScale>
        <cfvo type="min"/>
        <cfvo type="max"/>
        <color rgb="FFD6E7FE"/>
        <color rgb="FF9AC4FC"/>
      </colorScale>
    </cfRule>
  </conditionalFormatting>
  <conditionalFormatting sqref="Q9:S9">
    <cfRule type="colorScale" priority="5">
      <colorScale>
        <cfvo type="min"/>
        <cfvo type="max"/>
        <color rgb="FFEAFCF3"/>
        <color rgb="FFB4F6D7"/>
      </colorScale>
    </cfRule>
  </conditionalFormatting>
  <conditionalFormatting sqref="T9:AA9">
    <cfRule type="colorScale" priority="4">
      <colorScale>
        <cfvo type="min"/>
        <cfvo type="max"/>
        <color rgb="FFF0EAFC"/>
        <color rgb="FFD6C6F6"/>
      </colorScale>
    </cfRule>
  </conditionalFormatting>
  <conditionalFormatting sqref="T11:AC11">
    <cfRule type="colorScale" priority="22">
      <colorScale>
        <cfvo type="min"/>
        <cfvo type="max"/>
        <color rgb="FFFDDAD7"/>
        <color rgb="FFF7867D"/>
      </colorScale>
    </cfRule>
  </conditionalFormatting>
  <conditionalFormatting sqref="U23:AC23">
    <cfRule type="colorScale" priority="19">
      <colorScale>
        <cfvo type="min"/>
        <cfvo type="max"/>
        <color rgb="FFD6E7FE"/>
        <color rgb="FF9AC4FC"/>
      </colorScale>
    </cfRule>
  </conditionalFormatting>
  <conditionalFormatting sqref="V59:Z59">
    <cfRule type="colorScale" priority="13">
      <colorScale>
        <cfvo type="min"/>
        <cfvo type="max"/>
        <color rgb="FFEAFCF3"/>
        <color rgb="FFB4F6D7"/>
      </colorScale>
    </cfRule>
  </conditionalFormatting>
  <conditionalFormatting sqref="V71:Z71">
    <cfRule type="colorScale" priority="8">
      <colorScale>
        <cfvo type="min"/>
        <cfvo type="max"/>
        <color rgb="FFEAFCF3"/>
        <color rgb="FFB4F6D7"/>
      </colorScale>
    </cfRule>
  </conditionalFormatting>
  <conditionalFormatting sqref="V47:AC47">
    <cfRule type="colorScale" priority="15">
      <colorScale>
        <cfvo type="min"/>
        <cfvo type="max"/>
        <color rgb="FFEAFCF3"/>
        <color rgb="FFB4F6D7"/>
      </colorScale>
    </cfRule>
  </conditionalFormatting>
  <conditionalFormatting sqref="AB9:AC9">
    <cfRule type="colorScale" priority="3">
      <colorScale>
        <cfvo type="min"/>
        <cfvo type="max"/>
        <color rgb="FFFDDAD7"/>
        <color rgb="FFF7867D"/>
      </colorScale>
    </cfRule>
  </conditionalFormatting>
  <conditionalFormatting sqref="AC59">
    <cfRule type="colorScale" priority="12">
      <colorScale>
        <cfvo type="min"/>
        <cfvo type="max"/>
        <color rgb="FFEAFCF3"/>
        <color rgb="FFB4F6D7"/>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1" id="{2B87C51C-8D4C-4B3B-8C98-6D07D5D9F697}">
            <xm:f>ISNUMBER(_xlfn.XMATCH(B$3,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B3:AC3</xm:sqref>
        </x14:conditionalFormatting>
        <x14:conditionalFormatting xmlns:xm="http://schemas.microsoft.com/office/excel/2006/main">
          <x14:cfRule type="expression" priority="40" id="{9B023871-0E38-4376-9B51-BB2477B8A72B}">
            <xm:f>ISNUMBER(_xlfn.XMATCH(B$15,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B15:AC15</xm:sqref>
        </x14:conditionalFormatting>
        <x14:conditionalFormatting xmlns:xm="http://schemas.microsoft.com/office/excel/2006/main">
          <x14:cfRule type="expression" priority="39" id="{33722980-1EDD-478A-AD4E-770458CDCE3D}">
            <xm:f>ISNUMBER(_xlfn.XMATCH(B$27,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B27:AC27</xm:sqref>
        </x14:conditionalFormatting>
        <x14:conditionalFormatting xmlns:xm="http://schemas.microsoft.com/office/excel/2006/main">
          <x14:cfRule type="expression" priority="38" id="{C2BC7F2C-CE0D-44AA-BABD-0DE2C4833132}">
            <xm:f>ISNUMBER(_xlfn.XMATCH(B$39,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B39:AC39</xm:sqref>
        </x14:conditionalFormatting>
        <x14:conditionalFormatting xmlns:xm="http://schemas.microsoft.com/office/excel/2006/main">
          <x14:cfRule type="expression" priority="37" id="{58B31E89-919B-4750-BB0C-FAB1E4E7A549}">
            <xm:f>ISNUMBER(_xlfn.XMATCH(B$51,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B51:AC51</xm:sqref>
        </x14:conditionalFormatting>
        <x14:conditionalFormatting xmlns:xm="http://schemas.microsoft.com/office/excel/2006/main">
          <x14:cfRule type="expression" priority="36" id="{FA683550-1143-4C0A-B3C9-D3F935CBE77A}">
            <xm:f>ISNUMBER(_xlfn.XMATCH(B$63,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B63:AC63</xm:sqref>
        </x14:conditionalFormatting>
        <x14:conditionalFormatting xmlns:xm="http://schemas.microsoft.com/office/excel/2006/main">
          <x14:cfRule type="expression" priority="35" id="{4BE89F2A-F8B8-4B1C-8DE7-E16183074EC5}">
            <xm:f>ISNUMBER(_xlfn.XMATCH(B$75, infos!$D$16:$D$28))</xm:f>
            <x14:dxf>
              <font>
                <b/>
                <i val="0"/>
              </font>
              <fill>
                <patternFill>
                  <bgColor theme="9" tint="0.39994506668294322"/>
                </patternFill>
              </fill>
              <border>
                <left style="thin">
                  <color auto="1"/>
                </left>
                <right style="thin">
                  <color auto="1"/>
                </right>
                <top style="thin">
                  <color auto="1"/>
                </top>
                <bottom style="thin">
                  <color auto="1"/>
                </bottom>
                <vertical/>
                <horizontal/>
              </border>
            </x14:dxf>
          </x14:cfRule>
          <xm:sqref>B75:AC75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FB9B3-E6C1-463D-9EDC-02A319AA2794}">
  <sheetPr>
    <tabColor theme="9"/>
  </sheetPr>
  <dimension ref="A1:H26"/>
  <sheetViews>
    <sheetView workbookViewId="0">
      <selection activeCell="D10" sqref="D10"/>
    </sheetView>
  </sheetViews>
  <sheetFormatPr baseColWidth="10" defaultColWidth="11.42578125" defaultRowHeight="15" x14ac:dyDescent="0.25"/>
  <cols>
    <col min="1" max="1" width="23" style="236" customWidth="1"/>
    <col min="2" max="2" width="16.28515625" style="236" customWidth="1"/>
    <col min="3" max="3" width="21.5703125" style="236" customWidth="1"/>
    <col min="4" max="4" width="55.85546875" style="238" customWidth="1"/>
    <col min="5" max="5" width="50.140625" customWidth="1"/>
    <col min="6" max="6" width="18.42578125" style="236" customWidth="1"/>
    <col min="7" max="7" width="17.5703125" style="236" customWidth="1"/>
    <col min="8" max="8" width="44.5703125" customWidth="1"/>
  </cols>
  <sheetData>
    <row r="1" spans="1:8" s="235" customFormat="1" ht="29.25" customHeight="1" x14ac:dyDescent="0.25">
      <c r="A1" s="235" t="s">
        <v>264</v>
      </c>
      <c r="B1" s="235" t="s">
        <v>265</v>
      </c>
      <c r="C1" s="235" t="s">
        <v>266</v>
      </c>
      <c r="D1" s="237" t="s">
        <v>61</v>
      </c>
      <c r="E1" s="235" t="s">
        <v>267</v>
      </c>
      <c r="F1" s="235" t="s">
        <v>268</v>
      </c>
      <c r="G1" s="235" t="s">
        <v>269</v>
      </c>
      <c r="H1" s="235" t="s">
        <v>270</v>
      </c>
    </row>
    <row r="2" spans="1:8" s="241" customFormat="1" ht="8.25" customHeight="1" x14ac:dyDescent="0.25">
      <c r="A2" s="239"/>
      <c r="B2" s="239"/>
      <c r="C2" s="239"/>
      <c r="D2" s="240"/>
      <c r="F2" s="239"/>
      <c r="G2" s="239"/>
    </row>
    <row r="3" spans="1:8" s="245" customFormat="1" ht="31.5" customHeight="1" x14ac:dyDescent="0.25">
      <c r="A3" s="243" t="s">
        <v>271</v>
      </c>
      <c r="B3" s="243"/>
      <c r="C3" s="243"/>
      <c r="D3" s="244"/>
      <c r="F3" s="243"/>
      <c r="G3" s="243"/>
    </row>
    <row r="4" spans="1:8" ht="74.25" customHeight="1" x14ac:dyDescent="0.25">
      <c r="A4" s="236" t="s">
        <v>272</v>
      </c>
      <c r="B4" s="236" t="s">
        <v>273</v>
      </c>
      <c r="C4" s="236">
        <v>2</v>
      </c>
      <c r="D4" s="238" t="s">
        <v>274</v>
      </c>
      <c r="F4" s="236" t="s">
        <v>275</v>
      </c>
      <c r="G4" s="236" t="s">
        <v>276</v>
      </c>
    </row>
    <row r="5" spans="1:8" ht="74.25" customHeight="1" x14ac:dyDescent="0.25">
      <c r="A5" s="236" t="s">
        <v>272</v>
      </c>
      <c r="B5" s="236" t="s">
        <v>273</v>
      </c>
      <c r="C5" s="236">
        <v>2</v>
      </c>
      <c r="D5" s="238" t="s">
        <v>277</v>
      </c>
      <c r="G5" s="236" t="s">
        <v>278</v>
      </c>
    </row>
    <row r="6" spans="1:8" s="245" customFormat="1" ht="34.5" customHeight="1" x14ac:dyDescent="0.25">
      <c r="A6" s="243" t="s">
        <v>279</v>
      </c>
      <c r="B6" s="243"/>
      <c r="C6" s="243"/>
      <c r="D6" s="244"/>
      <c r="F6" s="243"/>
      <c r="G6" s="243"/>
    </row>
    <row r="7" spans="1:8" ht="30.75" customHeight="1" x14ac:dyDescent="0.25">
      <c r="A7" s="236" t="s">
        <v>280</v>
      </c>
      <c r="B7" s="236" t="s">
        <v>273</v>
      </c>
      <c r="C7" s="236">
        <v>3</v>
      </c>
      <c r="D7" s="238" t="s">
        <v>281</v>
      </c>
      <c r="G7" s="236" t="s">
        <v>278</v>
      </c>
    </row>
    <row r="8" spans="1:8" ht="60" customHeight="1" x14ac:dyDescent="0.25">
      <c r="A8" s="236" t="s">
        <v>282</v>
      </c>
      <c r="B8" s="236" t="s">
        <v>273</v>
      </c>
      <c r="C8" s="236">
        <v>3</v>
      </c>
      <c r="D8" s="238" t="s">
        <v>283</v>
      </c>
    </row>
    <row r="9" spans="1:8" x14ac:dyDescent="0.25">
      <c r="A9" s="236" t="s">
        <v>284</v>
      </c>
      <c r="B9" s="236" t="s">
        <v>273</v>
      </c>
      <c r="C9" s="236">
        <v>3</v>
      </c>
      <c r="D9" s="238" t="s">
        <v>281</v>
      </c>
    </row>
    <row r="10" spans="1:8" ht="66" customHeight="1" x14ac:dyDescent="0.25">
      <c r="A10" s="236" t="s">
        <v>284</v>
      </c>
      <c r="B10" s="242" t="s">
        <v>285</v>
      </c>
      <c r="C10" s="236">
        <v>4</v>
      </c>
      <c r="D10" s="238" t="s">
        <v>286</v>
      </c>
    </row>
    <row r="11" spans="1:8" ht="38.25" customHeight="1" x14ac:dyDescent="0.25"/>
    <row r="13" spans="1:8" s="245" customFormat="1" x14ac:dyDescent="0.25">
      <c r="A13" s="243" t="s">
        <v>287</v>
      </c>
      <c r="B13" s="243"/>
      <c r="C13" s="243"/>
      <c r="D13" s="244"/>
      <c r="F13" s="243"/>
      <c r="G13" s="243"/>
    </row>
    <row r="14" spans="1:8" ht="36" customHeight="1" x14ac:dyDescent="0.25"/>
    <row r="16" spans="1:8" s="245" customFormat="1" x14ac:dyDescent="0.25">
      <c r="A16" s="243" t="s">
        <v>288</v>
      </c>
      <c r="B16" s="243"/>
      <c r="C16" s="243"/>
      <c r="D16" s="244"/>
      <c r="F16" s="243"/>
      <c r="G16" s="243"/>
    </row>
    <row r="17" spans="1:7" ht="31.5" customHeight="1" x14ac:dyDescent="0.25"/>
    <row r="19" spans="1:7" s="245" customFormat="1" x14ac:dyDescent="0.25">
      <c r="A19" s="243" t="s">
        <v>289</v>
      </c>
      <c r="B19" s="243"/>
      <c r="C19" s="243"/>
      <c r="D19" s="244"/>
      <c r="F19" s="243"/>
      <c r="G19" s="243"/>
    </row>
    <row r="20" spans="1:7" ht="30.75" customHeight="1" x14ac:dyDescent="0.25"/>
    <row r="22" spans="1:7" s="245" customFormat="1" x14ac:dyDescent="0.25">
      <c r="A22" s="243" t="s">
        <v>290</v>
      </c>
      <c r="B22" s="243"/>
      <c r="C22" s="243"/>
      <c r="D22" s="244"/>
      <c r="F22" s="243"/>
      <c r="G22" s="243"/>
    </row>
    <row r="23" spans="1:7" ht="33" customHeight="1" x14ac:dyDescent="0.25"/>
    <row r="25" spans="1:7" s="245" customFormat="1" x14ac:dyDescent="0.25">
      <c r="A25" s="243" t="s">
        <v>291</v>
      </c>
      <c r="B25" s="243"/>
      <c r="C25" s="243"/>
      <c r="D25" s="244"/>
      <c r="F25" s="243"/>
      <c r="G25" s="243"/>
    </row>
    <row r="26" spans="1:7" ht="60" customHeight="1" x14ac:dyDescent="0.25">
      <c r="A26" s="236" t="s">
        <v>292</v>
      </c>
      <c r="B26" s="236" t="s">
        <v>273</v>
      </c>
      <c r="C26" s="236">
        <v>5</v>
      </c>
      <c r="D26" s="238" t="s">
        <v>293</v>
      </c>
      <c r="G26" s="236" t="s">
        <v>294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B437A-E049-4DFB-ADE8-3D5C76D62031}">
  <sheetPr codeName="Feuil20">
    <tabColor rgb="FFFF3399"/>
  </sheetPr>
  <dimension ref="B1:AK92"/>
  <sheetViews>
    <sheetView showGridLines="0" showRowColHeaders="0" topLeftCell="A10" zoomScaleNormal="100" workbookViewId="0">
      <selection activeCell="E52" sqref="E52"/>
    </sheetView>
  </sheetViews>
  <sheetFormatPr baseColWidth="10" defaultColWidth="9.28515625" defaultRowHeight="15" x14ac:dyDescent="0.25"/>
  <cols>
    <col min="1" max="1" width="5" style="2" customWidth="1"/>
    <col min="2" max="5" width="9.28515625" style="2"/>
    <col min="6" max="6" width="9.28515625" style="26"/>
    <col min="7" max="7" width="17.85546875" style="11" customWidth="1"/>
    <col min="8" max="20" width="9.28515625" style="2"/>
    <col min="21" max="21" width="9.28515625" style="8"/>
    <col min="22" max="22" width="9.28515625" style="11"/>
    <col min="23" max="23" width="10.140625" style="2" bestFit="1" customWidth="1"/>
    <col min="24" max="16384" width="9.28515625" style="2"/>
  </cols>
  <sheetData>
    <row r="1" spans="2:28" x14ac:dyDescent="0.25">
      <c r="F1" s="11"/>
    </row>
    <row r="2" spans="2:28" x14ac:dyDescent="0.25">
      <c r="F2" s="11"/>
    </row>
    <row r="3" spans="2:28" x14ac:dyDescent="0.25">
      <c r="F3" s="11"/>
    </row>
    <row r="4" spans="2:28" x14ac:dyDescent="0.25">
      <c r="F4" s="11"/>
    </row>
    <row r="5" spans="2:28" x14ac:dyDescent="0.25">
      <c r="F5" s="11"/>
    </row>
    <row r="6" spans="2:28" x14ac:dyDescent="0.25">
      <c r="F6" s="11"/>
    </row>
    <row r="7" spans="2:28" x14ac:dyDescent="0.25">
      <c r="F7" s="11"/>
    </row>
    <row r="8" spans="2:28" x14ac:dyDescent="0.25">
      <c r="F8" s="11"/>
    </row>
    <row r="9" spans="2:28" x14ac:dyDescent="0.25">
      <c r="F9" s="11"/>
    </row>
    <row r="10" spans="2:28" x14ac:dyDescent="0.25">
      <c r="F10" s="11"/>
      <c r="N10" s="17"/>
    </row>
    <row r="11" spans="2:28" x14ac:dyDescent="0.25">
      <c r="F11" s="11"/>
    </row>
    <row r="12" spans="2:28" x14ac:dyDescent="0.25">
      <c r="F12" s="11"/>
    </row>
    <row r="13" spans="2:28" x14ac:dyDescent="0.25">
      <c r="F13" s="11"/>
    </row>
    <row r="14" spans="2:28" x14ac:dyDescent="0.25">
      <c r="F14" s="11"/>
    </row>
    <row r="15" spans="2:28" x14ac:dyDescent="0.25">
      <c r="F15" s="11"/>
    </row>
    <row r="16" spans="2:28" s="19" customFormat="1" ht="21" customHeight="1" x14ac:dyDescent="0.25">
      <c r="B16" s="33" t="str" cm="1">
        <f t="array" ref="B16:E16">TRANSPOSE({"surfacing";"rigging";"modeling";"design"})</f>
        <v>surfacing</v>
      </c>
      <c r="C16" s="34" t="str">
        <v>rigging</v>
      </c>
      <c r="D16" s="35" t="str">
        <v>modeling</v>
      </c>
      <c r="E16" s="36" t="str">
        <v>design</v>
      </c>
      <c r="F16" s="20"/>
      <c r="G16" s="20"/>
      <c r="U16" s="21"/>
      <c r="V16" s="20"/>
      <c r="W16" s="27" t="str" cm="1">
        <f t="array" ref="W16:AB16">TRANSPOSE({"layout";"anim";"lighting";"vfx";"render";"comp"})</f>
        <v>layout</v>
      </c>
      <c r="X16" s="28" t="str">
        <v>anim</v>
      </c>
      <c r="Y16" s="29" t="str">
        <v>lighting</v>
      </c>
      <c r="Z16" s="30" t="str">
        <v>vfx</v>
      </c>
      <c r="AA16" s="31" t="str">
        <v>render</v>
      </c>
      <c r="AB16" s="32" t="str">
        <v>comp</v>
      </c>
    </row>
    <row r="17" spans="2:37" s="18" customFormat="1" ht="19.5" customHeight="1" x14ac:dyDescent="0.25">
      <c r="B17" s="268">
        <f>surfacing[[#Totals],[Progress]]</f>
        <v>0.99035087719298243</v>
      </c>
      <c r="C17" s="268">
        <f>rigging[[#Totals],[Progress]]</f>
        <v>0.98691860465116277</v>
      </c>
      <c r="D17" s="268">
        <f>modeling[[#Totals],[Progress]]</f>
        <v>0.99037433155080212</v>
      </c>
      <c r="E17" s="268">
        <f>design[[#Totals],[Progress]]</f>
        <v>1</v>
      </c>
      <c r="F17" s="19" t="s">
        <v>295</v>
      </c>
      <c r="G17" s="20" t="str" cm="1">
        <f t="array" ref="G17:G92">metaASSETS[[#All],[Asset Name]]</f>
        <v>Asset Name</v>
      </c>
      <c r="H17" s="266"/>
      <c r="U17" s="21" t="str" cm="1">
        <f t="array" ref="U17:U65">metaSHOTS[[#All],[Shot]]</f>
        <v>Shot</v>
      </c>
      <c r="V17" s="19" t="s">
        <v>295</v>
      </c>
      <c r="W17" s="268">
        <f>layout[[#Totals],[Progress]]</f>
        <v>0.96394052044609668</v>
      </c>
      <c r="X17" s="268">
        <f>anim[[#Totals],[Progress]]</f>
        <v>0.99757042253521122</v>
      </c>
      <c r="Y17" s="268">
        <f>lighting[[#Totals],[Progress]]</f>
        <v>0.44225806451612903</v>
      </c>
      <c r="Z17" s="268">
        <f>vfx[[#Totals],[Progress]]</f>
        <v>0.23448275862068965</v>
      </c>
      <c r="AA17" s="268">
        <f>render[[#Totals],[Progress]]</f>
        <v>0.43125000000000013</v>
      </c>
      <c r="AB17" s="268">
        <f>comp[[#Totals],[Progress]]</f>
        <v>0.24463768115942022</v>
      </c>
    </row>
    <row r="18" spans="2:37" ht="14.25" customHeight="1" x14ac:dyDescent="0.25">
      <c r="B18" s="274" t="str" cm="1">
        <f t="array" ref="B18:B92">IF(surfacing[Estimated]=0, 0, TEXT(surfacing[Hours to do], "0"))</f>
        <v>0</v>
      </c>
      <c r="C18" s="274" cm="1">
        <f t="array" ref="C18:C92">IF(rigging[Estimated]=0, 0, TEXT(rigging[Hours to do], "0"))</f>
        <v>0</v>
      </c>
      <c r="D18" s="274" t="str" cm="1">
        <f t="array" ref="D18:D92">IF(modeling[Estimated]=0, 0, TEXT(modeling[Hours to do], "0"))</f>
        <v>0</v>
      </c>
      <c r="E18" s="274" t="str" cm="1">
        <f t="array" ref="E18:E92">IF(design[Estimated]=0, 0, TEXT(design[Hours to do], "0"))</f>
        <v>0</v>
      </c>
      <c r="F18" s="269" cm="1">
        <f t="array" ref="F18:F92">assets[[#Data],[Progress]]</f>
        <v>1</v>
      </c>
      <c r="G18" s="11" t="str">
        <v>vitrail_00</v>
      </c>
      <c r="T18" s="2" t="e" cm="1" vm="1">
        <f t="array" ref="T18:T65">metaSHOTS[Thumbnail]</f>
        <v>#VALUE!</v>
      </c>
      <c r="U18" s="8" t="str">
        <v>000_010</v>
      </c>
      <c r="V18" s="6" cm="1">
        <f t="array" ref="V18:V65">shots[[#Data],[Progress]]</f>
        <v>0.85499999999999998</v>
      </c>
      <c r="W18" s="273" t="str" cm="1">
        <f t="array" ref="W18:W65">IF(layout[Estimated]=0, 0, TEXT(layout[Hours to do], "0"))</f>
        <v>0</v>
      </c>
      <c r="X18" s="273" t="str" cm="1">
        <f t="array" ref="X18:X65">IF(anim[Estimated]=0, 0, TEXT(anim[Hours to do], "0"))</f>
        <v>0</v>
      </c>
      <c r="Y18" s="273" t="str" cm="1">
        <f t="array" ref="Y18:Y65">IF(lighting[Estimated]=0, 0, TEXT(lighting[Hours to do], "0"))</f>
        <v>0</v>
      </c>
      <c r="Z18" s="273" cm="1">
        <f t="array" ref="Z18:Z65">IF(vfx[Estimated]=0, 0, TEXT(vfx[Hours to do], "0"))</f>
        <v>0</v>
      </c>
      <c r="AA18" s="273" t="str" cm="1">
        <f t="array" ref="AA18:AA65">IF(render[Estimated]=0, 0, TEXT(render[Hours to do], "0"))</f>
        <v>0</v>
      </c>
      <c r="AB18" s="273" t="str" cm="1">
        <f t="array" ref="AB18:AB65">IF(comp[Estimated]=0, 0, TEXT(comp[Hours to do], "0"))</f>
        <v>1</v>
      </c>
      <c r="AF18" s="272"/>
      <c r="AG18" s="272"/>
      <c r="AH18" s="272"/>
      <c r="AI18" s="272"/>
      <c r="AJ18" s="272"/>
      <c r="AK18" s="272"/>
    </row>
    <row r="19" spans="2:37" x14ac:dyDescent="0.25">
      <c r="B19" s="274" t="str">
        <v>0</v>
      </c>
      <c r="C19" s="274">
        <v>0</v>
      </c>
      <c r="D19" s="274" t="str">
        <v>0</v>
      </c>
      <c r="E19" s="274" t="str">
        <v>0</v>
      </c>
      <c r="F19" s="269">
        <v>1</v>
      </c>
      <c r="G19" s="11" t="str">
        <v>vitrail_01</v>
      </c>
      <c r="T19" s="2" t="e" vm="2">
        <v>#VALUE!</v>
      </c>
      <c r="U19" s="8" t="str">
        <v>010_010</v>
      </c>
      <c r="V19" s="6">
        <v>0.87350000000000005</v>
      </c>
      <c r="W19" s="273" t="str">
        <v>0</v>
      </c>
      <c r="X19" s="273" t="str">
        <v>0</v>
      </c>
      <c r="Y19" s="273" t="str">
        <v>1</v>
      </c>
      <c r="Z19" s="273" t="str">
        <v>0</v>
      </c>
      <c r="AA19" s="273" t="str">
        <v>1</v>
      </c>
      <c r="AB19" s="273" t="str">
        <v>2</v>
      </c>
    </row>
    <row r="20" spans="2:37" x14ac:dyDescent="0.25">
      <c r="B20" s="274" t="str">
        <v>0</v>
      </c>
      <c r="C20" s="274">
        <v>0</v>
      </c>
      <c r="D20" s="274" t="str">
        <v>0</v>
      </c>
      <c r="E20" s="274" t="str">
        <v>0</v>
      </c>
      <c r="F20" s="269">
        <v>1</v>
      </c>
      <c r="G20" s="11" t="str">
        <v>vitrail_02</v>
      </c>
      <c r="T20" s="2" t="e" vm="3">
        <v>#VALUE!</v>
      </c>
      <c r="U20" s="8" t="str">
        <v>010_040</v>
      </c>
      <c r="V20" s="6">
        <v>0.91999999999999993</v>
      </c>
      <c r="W20" s="273" t="str">
        <v>0</v>
      </c>
      <c r="X20" s="273" t="str">
        <v>0</v>
      </c>
      <c r="Y20" s="273" t="str">
        <v>0</v>
      </c>
      <c r="Z20" s="273" t="str">
        <v>0</v>
      </c>
      <c r="AA20" s="273" t="str">
        <v>0</v>
      </c>
      <c r="AB20" s="273" t="str">
        <v>1</v>
      </c>
    </row>
    <row r="21" spans="2:37" x14ac:dyDescent="0.25">
      <c r="B21" s="274" t="str">
        <v>0</v>
      </c>
      <c r="C21" s="274" t="str">
        <v>5</v>
      </c>
      <c r="D21" s="274">
        <v>0</v>
      </c>
      <c r="E21" s="274">
        <v>0</v>
      </c>
      <c r="F21" s="269">
        <v>0.99625000000000008</v>
      </c>
      <c r="G21" s="11" t="str">
        <v>joan</v>
      </c>
      <c r="T21" s="2" t="e" vm="4">
        <v>#VALUE!</v>
      </c>
      <c r="U21" s="8" t="str">
        <v>010_050</v>
      </c>
      <c r="V21" s="6">
        <v>0.91999999999999993</v>
      </c>
      <c r="W21" s="273" t="str">
        <v>0</v>
      </c>
      <c r="X21" s="273" t="str">
        <v>0</v>
      </c>
      <c r="Y21" s="273" t="str">
        <v>0</v>
      </c>
      <c r="Z21" s="273" t="str">
        <v>0</v>
      </c>
      <c r="AA21" s="273" t="str">
        <v>0</v>
      </c>
      <c r="AB21" s="273" t="str">
        <v>1</v>
      </c>
    </row>
    <row r="22" spans="2:37" x14ac:dyDescent="0.25">
      <c r="B22" s="274" t="str">
        <v>0</v>
      </c>
      <c r="C22" s="274" t="str">
        <v>0</v>
      </c>
      <c r="D22" s="274" t="str">
        <v>0</v>
      </c>
      <c r="E22" s="274" t="str">
        <v>0</v>
      </c>
      <c r="F22" s="269">
        <v>1</v>
      </c>
      <c r="G22" s="11" t="str">
        <v>joan_01</v>
      </c>
      <c r="T22" s="2" t="e" vm="5">
        <v>#VALUE!</v>
      </c>
      <c r="U22" s="8" t="str">
        <v>010_060</v>
      </c>
      <c r="V22" s="6">
        <v>0.92999999999999994</v>
      </c>
      <c r="W22" s="273" t="str">
        <v>0</v>
      </c>
      <c r="X22" s="273" t="str">
        <v>0</v>
      </c>
      <c r="Y22" s="273" t="str">
        <v>0</v>
      </c>
      <c r="Z22" s="273" t="str">
        <v>0</v>
      </c>
      <c r="AA22" s="273" t="str">
        <v>0</v>
      </c>
      <c r="AB22" s="273" t="str">
        <v>2</v>
      </c>
    </row>
    <row r="23" spans="2:37" x14ac:dyDescent="0.25">
      <c r="B23" s="274" t="str">
        <v>0</v>
      </c>
      <c r="C23" s="274" t="str">
        <v>0</v>
      </c>
      <c r="D23" s="274" t="str">
        <v>0</v>
      </c>
      <c r="E23" s="274" t="str">
        <v>0</v>
      </c>
      <c r="F23" s="269">
        <v>1</v>
      </c>
      <c r="G23" s="11" t="str">
        <v>joan_dlbr</v>
      </c>
      <c r="T23" s="2" t="e" vm="6">
        <v>#VALUE!</v>
      </c>
      <c r="U23" s="8" t="str">
        <v>010_070</v>
      </c>
      <c r="V23" s="6">
        <v>0.85</v>
      </c>
      <c r="W23" s="273" t="str">
        <v>0</v>
      </c>
      <c r="X23" s="273" t="str">
        <v>0</v>
      </c>
      <c r="Y23" s="273" t="str">
        <v>0</v>
      </c>
      <c r="Z23" s="273">
        <v>0</v>
      </c>
      <c r="AA23" s="273" t="str">
        <v>0</v>
      </c>
      <c r="AB23" s="273" t="str">
        <v>1</v>
      </c>
    </row>
    <row r="24" spans="2:37" x14ac:dyDescent="0.25">
      <c r="B24" s="274" t="str">
        <v>0</v>
      </c>
      <c r="C24" s="274" t="str">
        <v>0</v>
      </c>
      <c r="D24" s="274" t="str">
        <v>0</v>
      </c>
      <c r="E24" s="274" t="str">
        <v>0</v>
      </c>
      <c r="F24" s="269">
        <v>1</v>
      </c>
      <c r="G24" s="11" t="str">
        <v>knight</v>
      </c>
      <c r="T24" s="2" t="e" vm="7">
        <v>#VALUE!</v>
      </c>
      <c r="U24" s="8" t="str">
        <v>010_080</v>
      </c>
      <c r="V24" s="6">
        <v>0.83799999999999997</v>
      </c>
      <c r="W24" s="273" t="str">
        <v>0</v>
      </c>
      <c r="X24" s="273" t="str">
        <v>0</v>
      </c>
      <c r="Y24" s="273" t="str">
        <v>0</v>
      </c>
      <c r="Z24" s="273">
        <v>0</v>
      </c>
      <c r="AA24" s="273" t="str">
        <v>0</v>
      </c>
      <c r="AB24" s="273" t="str">
        <v>1</v>
      </c>
    </row>
    <row r="25" spans="2:37" x14ac:dyDescent="0.25">
      <c r="B25" s="274" t="str">
        <v>0</v>
      </c>
      <c r="C25" s="274" t="str">
        <v>0</v>
      </c>
      <c r="D25" s="274">
        <v>0</v>
      </c>
      <c r="E25" s="274">
        <v>0</v>
      </c>
      <c r="F25" s="269">
        <v>1</v>
      </c>
      <c r="G25" s="11" t="str">
        <v>L_arm</v>
      </c>
      <c r="T25" s="2" t="e" vm="8">
        <v>#VALUE!</v>
      </c>
      <c r="U25" s="8" t="str">
        <v>010_090</v>
      </c>
      <c r="V25" s="6">
        <v>0.83799999999999997</v>
      </c>
      <c r="W25" s="273" t="str">
        <v>0</v>
      </c>
      <c r="X25" s="273" t="str">
        <v>0</v>
      </c>
      <c r="Y25" s="273" t="str">
        <v>0</v>
      </c>
      <c r="Z25" s="273" t="str">
        <v>2</v>
      </c>
      <c r="AA25" s="273" t="str">
        <v>0</v>
      </c>
      <c r="AB25" s="273" t="str">
        <v>1</v>
      </c>
    </row>
    <row r="26" spans="2:37" x14ac:dyDescent="0.25">
      <c r="B26" s="274" t="str">
        <v>0</v>
      </c>
      <c r="C26" s="274" t="str">
        <v>0</v>
      </c>
      <c r="D26" s="274">
        <v>0</v>
      </c>
      <c r="E26" s="274">
        <v>0</v>
      </c>
      <c r="F26" s="269">
        <v>1</v>
      </c>
      <c r="G26" s="11" t="str">
        <v>L_leg</v>
      </c>
      <c r="T26" s="2" t="e" vm="9">
        <v>#VALUE!</v>
      </c>
      <c r="U26" s="8" t="str">
        <v>010_100</v>
      </c>
      <c r="V26" s="6">
        <v>0.88300000000000001</v>
      </c>
      <c r="W26" s="273" t="str">
        <v>0</v>
      </c>
      <c r="X26" s="273" t="str">
        <v>0</v>
      </c>
      <c r="Y26" s="273" t="str">
        <v>0</v>
      </c>
      <c r="Z26" s="273" t="str">
        <v>13</v>
      </c>
      <c r="AA26" s="273" t="str">
        <v>0</v>
      </c>
      <c r="AB26" s="273" t="str">
        <v>1</v>
      </c>
    </row>
    <row r="27" spans="2:37" x14ac:dyDescent="0.25">
      <c r="B27" s="274" t="str">
        <v>0</v>
      </c>
      <c r="C27" s="274" t="str">
        <v>0</v>
      </c>
      <c r="D27" s="274">
        <v>0</v>
      </c>
      <c r="E27" s="274">
        <v>0</v>
      </c>
      <c r="F27" s="269">
        <v>1</v>
      </c>
      <c r="G27" s="11" t="str">
        <v>R_arm</v>
      </c>
      <c r="T27" s="2" t="e" vm="10">
        <v>#VALUE!</v>
      </c>
      <c r="U27" s="8" t="str">
        <v>010_110</v>
      </c>
      <c r="V27" s="6">
        <v>0.96</v>
      </c>
      <c r="W27" s="273" t="str">
        <v>0</v>
      </c>
      <c r="X27" s="273" t="str">
        <v>0</v>
      </c>
      <c r="Y27" s="273" t="str">
        <v>0</v>
      </c>
      <c r="Z27" s="273">
        <v>0</v>
      </c>
      <c r="AA27" s="273" t="str">
        <v>0</v>
      </c>
      <c r="AB27" s="273" t="str">
        <v>1</v>
      </c>
    </row>
    <row r="28" spans="2:37" x14ac:dyDescent="0.25">
      <c r="B28" s="274" t="str">
        <v>0</v>
      </c>
      <c r="C28" s="274" t="str">
        <v>0</v>
      </c>
      <c r="D28" s="274">
        <v>0</v>
      </c>
      <c r="E28" s="274">
        <v>0</v>
      </c>
      <c r="F28" s="269">
        <v>1</v>
      </c>
      <c r="G28" s="11" t="str">
        <v>R_leg</v>
      </c>
      <c r="T28" s="2" t="e" vm="11">
        <v>#VALUE!</v>
      </c>
      <c r="U28" s="8" t="str">
        <v>010_160</v>
      </c>
      <c r="V28" s="6">
        <v>0.83799999999999997</v>
      </c>
      <c r="W28" s="273" t="str">
        <v>0</v>
      </c>
      <c r="X28" s="273" t="str">
        <v>0</v>
      </c>
      <c r="Y28" s="273" t="str">
        <v>0</v>
      </c>
      <c r="Z28" s="273" t="str">
        <v>1</v>
      </c>
      <c r="AA28" s="273" t="str">
        <v>0</v>
      </c>
      <c r="AB28" s="273" t="str">
        <v>1</v>
      </c>
    </row>
    <row r="29" spans="2:37" x14ac:dyDescent="0.25">
      <c r="B29" s="274" t="str">
        <v>0</v>
      </c>
      <c r="C29" s="274" t="str">
        <v>0</v>
      </c>
      <c r="D29" s="274" t="str">
        <v>0</v>
      </c>
      <c r="E29" s="274">
        <v>0</v>
      </c>
      <c r="F29" s="269">
        <v>1</v>
      </c>
      <c r="G29" s="11" t="str">
        <v>soldier_01</v>
      </c>
      <c r="T29" s="2" t="e" vm="12">
        <v>#VALUE!</v>
      </c>
      <c r="U29" s="8" t="str">
        <v>010_170</v>
      </c>
      <c r="V29" s="6">
        <v>0.93799999999999994</v>
      </c>
      <c r="W29" s="273" t="str">
        <v>0</v>
      </c>
      <c r="X29" s="273" t="str">
        <v>0</v>
      </c>
      <c r="Y29" s="273" t="str">
        <v>0</v>
      </c>
      <c r="Z29" s="273">
        <v>0</v>
      </c>
      <c r="AA29" s="273" t="str">
        <v>0</v>
      </c>
      <c r="AB29" s="273" t="str">
        <v>1</v>
      </c>
    </row>
    <row r="30" spans="2:37" x14ac:dyDescent="0.25">
      <c r="B30" s="274" t="str">
        <v>0</v>
      </c>
      <c r="C30" s="274" t="str">
        <v>0</v>
      </c>
      <c r="D30" s="274" t="str">
        <v>0</v>
      </c>
      <c r="E30" s="274">
        <v>0</v>
      </c>
      <c r="F30" s="269">
        <v>1</v>
      </c>
      <c r="G30" s="11" t="str">
        <v>soldier_02</v>
      </c>
      <c r="T30" s="2" t="e" vm="13">
        <v>#VALUE!</v>
      </c>
      <c r="U30" s="8" t="str">
        <v>010_180</v>
      </c>
      <c r="V30" s="6">
        <v>0.86299999999999999</v>
      </c>
      <c r="W30" s="273" t="str">
        <v>0</v>
      </c>
      <c r="X30" s="273" t="str">
        <v>0</v>
      </c>
      <c r="Y30" s="273" t="str">
        <v>0</v>
      </c>
      <c r="Z30" s="273" t="str">
        <v>8</v>
      </c>
      <c r="AA30" s="273" t="str">
        <v>0</v>
      </c>
      <c r="AB30" s="273" t="str">
        <v>1</v>
      </c>
    </row>
    <row r="31" spans="2:37" x14ac:dyDescent="0.25">
      <c r="B31" s="274" t="str">
        <v>0</v>
      </c>
      <c r="C31" s="274" t="str">
        <v>0</v>
      </c>
      <c r="D31" s="274" t="str">
        <v>0</v>
      </c>
      <c r="E31" s="274">
        <v>0</v>
      </c>
      <c r="F31" s="269">
        <v>1</v>
      </c>
      <c r="G31" s="11" t="str">
        <v>soldier_03</v>
      </c>
      <c r="T31" s="2" t="e" vm="14">
        <v>#VALUE!</v>
      </c>
      <c r="U31" s="8" t="str">
        <v>010_190</v>
      </c>
      <c r="V31" s="6">
        <v>0.72399999999999998</v>
      </c>
      <c r="W31" s="273" t="str">
        <v>0</v>
      </c>
      <c r="X31" s="273" t="str">
        <v>0</v>
      </c>
      <c r="Y31" s="273" t="str">
        <v>0</v>
      </c>
      <c r="Z31" s="273" t="str">
        <v>29</v>
      </c>
      <c r="AA31" s="273" t="str">
        <v>0</v>
      </c>
      <c r="AB31" s="273" t="str">
        <v>3</v>
      </c>
    </row>
    <row r="32" spans="2:37" x14ac:dyDescent="0.25">
      <c r="B32" s="274" t="str">
        <v>0</v>
      </c>
      <c r="C32" s="274" t="str">
        <v>0</v>
      </c>
      <c r="D32" s="274" t="str">
        <v>0</v>
      </c>
      <c r="E32" s="274" t="str">
        <v>0</v>
      </c>
      <c r="F32" s="269">
        <v>1</v>
      </c>
      <c r="G32" s="11" t="str">
        <v>villager_01</v>
      </c>
      <c r="T32" s="2" t="e" vm="15">
        <v>#VALUE!</v>
      </c>
      <c r="U32" s="8" t="str">
        <v>010_200</v>
      </c>
      <c r="V32" s="6">
        <v>0.99199999999999999</v>
      </c>
      <c r="W32" s="273" t="str">
        <v>0</v>
      </c>
      <c r="X32" s="273" t="str">
        <v>0</v>
      </c>
      <c r="Y32" s="273" t="str">
        <v>0</v>
      </c>
      <c r="Z32" s="273" t="str">
        <v>0</v>
      </c>
      <c r="AA32" s="273" t="str">
        <v>0</v>
      </c>
      <c r="AB32" s="273" t="str">
        <v>0</v>
      </c>
    </row>
    <row r="33" spans="2:28" x14ac:dyDescent="0.25">
      <c r="B33" s="274" t="str">
        <v>0</v>
      </c>
      <c r="C33" s="274" t="str">
        <v>0</v>
      </c>
      <c r="D33" s="274" t="str">
        <v>0</v>
      </c>
      <c r="E33" s="274" t="str">
        <v>0</v>
      </c>
      <c r="F33" s="269">
        <v>1</v>
      </c>
      <c r="G33" s="11" t="str">
        <v>villager_02</v>
      </c>
      <c r="T33" s="2" t="e" vm="16">
        <v>#VALUE!</v>
      </c>
      <c r="U33" s="8" t="str">
        <v>020_020</v>
      </c>
      <c r="V33" s="6">
        <v>0.77999999999999992</v>
      </c>
      <c r="W33" s="273" t="str">
        <v>0</v>
      </c>
      <c r="X33" s="273" t="str">
        <v>0</v>
      </c>
      <c r="Y33" s="273" t="str">
        <v>0</v>
      </c>
      <c r="Z33" s="273" t="str">
        <v>12</v>
      </c>
      <c r="AA33" s="273" t="str">
        <v>0</v>
      </c>
      <c r="AB33" s="273" t="str">
        <v>2</v>
      </c>
    </row>
    <row r="34" spans="2:28" x14ac:dyDescent="0.25">
      <c r="B34" s="274" t="str">
        <v>0</v>
      </c>
      <c r="C34" s="274" t="str">
        <v>0</v>
      </c>
      <c r="D34" s="274" t="str">
        <v>0</v>
      </c>
      <c r="E34" s="274" t="str">
        <v>0</v>
      </c>
      <c r="F34" s="269">
        <v>1</v>
      </c>
      <c r="G34" s="11" t="str">
        <v>villager_03</v>
      </c>
      <c r="T34" s="2" t="e" vm="17">
        <v>#VALUE!</v>
      </c>
      <c r="U34" s="8" t="str">
        <v>020_030</v>
      </c>
      <c r="V34" s="6">
        <v>0.84</v>
      </c>
      <c r="W34" s="273" t="str">
        <v>0</v>
      </c>
      <c r="X34" s="273" t="str">
        <v>0</v>
      </c>
      <c r="Y34" s="273" t="str">
        <v>0</v>
      </c>
      <c r="Z34" s="273">
        <v>0</v>
      </c>
      <c r="AA34" s="273" t="str">
        <v>0</v>
      </c>
      <c r="AB34" s="273" t="str">
        <v>1</v>
      </c>
    </row>
    <row r="35" spans="2:28" x14ac:dyDescent="0.25">
      <c r="B35" s="274" t="str">
        <v>0</v>
      </c>
      <c r="C35" s="274" t="str">
        <v>0</v>
      </c>
      <c r="D35" s="274" t="str">
        <v>0</v>
      </c>
      <c r="E35" s="274" t="str">
        <v>0</v>
      </c>
      <c r="F35" s="269">
        <v>1</v>
      </c>
      <c r="G35" s="11" t="str">
        <v>villager_04</v>
      </c>
      <c r="T35" s="2" t="e" vm="18">
        <v>#VALUE!</v>
      </c>
      <c r="U35" s="8" t="str">
        <v>020_040</v>
      </c>
      <c r="V35" s="6">
        <v>0.72</v>
      </c>
      <c r="W35" s="273" t="str">
        <v>0</v>
      </c>
      <c r="X35" s="273" t="str">
        <v>0</v>
      </c>
      <c r="Y35" s="273" t="str">
        <v>0</v>
      </c>
      <c r="Z35" s="273">
        <v>0</v>
      </c>
      <c r="AA35" s="273" t="str">
        <v>1</v>
      </c>
      <c r="AB35" s="273" t="str">
        <v>3</v>
      </c>
    </row>
    <row r="36" spans="2:28" x14ac:dyDescent="0.25">
      <c r="B36" s="274" t="str">
        <v>0</v>
      </c>
      <c r="C36" s="274" t="str">
        <v>0</v>
      </c>
      <c r="D36" s="274" t="str">
        <v>0</v>
      </c>
      <c r="E36" s="274" t="str">
        <v>0</v>
      </c>
      <c r="F36" s="269">
        <v>1</v>
      </c>
      <c r="G36" s="11" t="str">
        <v>villager_05</v>
      </c>
      <c r="T36" s="2" t="e" vm="19">
        <v>#VALUE!</v>
      </c>
      <c r="U36" s="8" t="str">
        <v>020_050</v>
      </c>
      <c r="V36" s="6">
        <v>0.64</v>
      </c>
      <c r="W36" s="273" t="str">
        <v>0</v>
      </c>
      <c r="X36" s="273" t="str">
        <v>0</v>
      </c>
      <c r="Y36" s="273" t="str">
        <v>0</v>
      </c>
      <c r="Z36" s="273">
        <v>0</v>
      </c>
      <c r="AA36" s="273" t="str">
        <v>1</v>
      </c>
      <c r="AB36" s="273" t="str">
        <v>6</v>
      </c>
    </row>
    <row r="37" spans="2:28" x14ac:dyDescent="0.25">
      <c r="B37" s="274" t="str">
        <v>0</v>
      </c>
      <c r="C37" s="274" t="str">
        <v>0</v>
      </c>
      <c r="D37" s="274" t="str">
        <v>0</v>
      </c>
      <c r="E37" s="274" t="str">
        <v>0</v>
      </c>
      <c r="F37" s="269">
        <v>1</v>
      </c>
      <c r="G37" s="11" t="str">
        <v>villager_06</v>
      </c>
      <c r="T37" s="2" t="e" vm="20">
        <v>#VALUE!</v>
      </c>
      <c r="U37" s="8" t="str">
        <v>030_020</v>
      </c>
      <c r="V37" s="6">
        <v>0.61499999999999999</v>
      </c>
      <c r="W37" s="273" t="str">
        <v>0</v>
      </c>
      <c r="X37" s="273" t="str">
        <v>0</v>
      </c>
      <c r="Y37" s="273" t="str">
        <v>0</v>
      </c>
      <c r="Z37" s="273">
        <v>0</v>
      </c>
      <c r="AA37" s="273" t="str">
        <v>4</v>
      </c>
      <c r="AB37" s="273" t="str">
        <v>7</v>
      </c>
    </row>
    <row r="38" spans="2:28" x14ac:dyDescent="0.25">
      <c r="B38" s="274" t="str">
        <v>0</v>
      </c>
      <c r="C38" s="274" t="str">
        <v>0</v>
      </c>
      <c r="D38" s="274" t="str">
        <v>0</v>
      </c>
      <c r="E38" s="274" t="str">
        <v>0</v>
      </c>
      <c r="F38" s="269">
        <v>1</v>
      </c>
      <c r="G38" s="11" t="str">
        <v>villager_07</v>
      </c>
      <c r="T38" s="2" t="e" vm="21">
        <v>#VALUE!</v>
      </c>
      <c r="U38" s="8" t="str">
        <v>030_030</v>
      </c>
      <c r="V38" s="6">
        <v>0.76999999999999991</v>
      </c>
      <c r="W38" s="273" t="str">
        <v>0</v>
      </c>
      <c r="X38" s="273" t="str">
        <v>0</v>
      </c>
      <c r="Y38" s="273" t="str">
        <v>0</v>
      </c>
      <c r="Z38" s="273" t="str">
        <v>7</v>
      </c>
      <c r="AA38" s="273" t="str">
        <v>0</v>
      </c>
      <c r="AB38" s="273" t="str">
        <v>4</v>
      </c>
    </row>
    <row r="39" spans="2:28" x14ac:dyDescent="0.25">
      <c r="B39" s="274" t="str">
        <v>0</v>
      </c>
      <c r="C39" s="274">
        <v>0</v>
      </c>
      <c r="D39" s="274" t="str">
        <v>0</v>
      </c>
      <c r="E39" s="274" t="str">
        <v>0</v>
      </c>
      <c r="F39" s="269">
        <v>1</v>
      </c>
      <c r="G39" s="11" t="str">
        <v>army_eng</v>
      </c>
      <c r="T39" s="2" t="e" vm="22">
        <v>#VALUE!</v>
      </c>
      <c r="U39" s="8" t="str">
        <v>030_040</v>
      </c>
      <c r="V39" s="6">
        <v>0.57799999999999996</v>
      </c>
      <c r="W39" s="273" t="str">
        <v>0</v>
      </c>
      <c r="X39" s="273" t="str">
        <v>0</v>
      </c>
      <c r="Y39" s="273" t="str">
        <v>1</v>
      </c>
      <c r="Z39" s="273" t="str">
        <v>0</v>
      </c>
      <c r="AA39" s="273" t="str">
        <v>1</v>
      </c>
      <c r="AB39" s="273" t="str">
        <v>3</v>
      </c>
    </row>
    <row r="40" spans="2:28" x14ac:dyDescent="0.25">
      <c r="B40" s="274" t="str">
        <v>0</v>
      </c>
      <c r="C40" s="274">
        <v>0</v>
      </c>
      <c r="D40" s="274" t="str">
        <v>0</v>
      </c>
      <c r="E40" s="274" t="str">
        <v>0</v>
      </c>
      <c r="F40" s="269">
        <v>1</v>
      </c>
      <c r="G40" s="11" t="str">
        <v>army_fr</v>
      </c>
      <c r="T40" s="2" t="e" vm="23">
        <v>#VALUE!</v>
      </c>
      <c r="U40" s="8" t="str">
        <v>030_060</v>
      </c>
      <c r="V40" s="6">
        <v>0.48</v>
      </c>
      <c r="W40" s="273" t="str">
        <v>0</v>
      </c>
      <c r="X40" s="273" t="str">
        <v>0</v>
      </c>
      <c r="Y40" s="273" t="str">
        <v>1</v>
      </c>
      <c r="Z40" s="273" t="str">
        <v>4</v>
      </c>
      <c r="AA40" s="273" t="str">
        <v>1</v>
      </c>
      <c r="AB40" s="273" t="str">
        <v>5</v>
      </c>
    </row>
    <row r="41" spans="2:28" x14ac:dyDescent="0.25">
      <c r="B41" s="274" t="str">
        <v>0</v>
      </c>
      <c r="C41" s="274">
        <v>0</v>
      </c>
      <c r="D41" s="274" t="str">
        <v>0</v>
      </c>
      <c r="E41" s="274" t="str">
        <v>0</v>
      </c>
      <c r="F41" s="269">
        <v>1</v>
      </c>
      <c r="G41" s="11" t="str">
        <v>crowd_01</v>
      </c>
      <c r="T41" s="2" t="e" vm="24">
        <v>#VALUE!</v>
      </c>
      <c r="U41" s="8" t="str">
        <v>030_070</v>
      </c>
      <c r="V41" s="6">
        <v>0.48</v>
      </c>
      <c r="W41" s="273" t="str">
        <v>0</v>
      </c>
      <c r="X41" s="273" t="str">
        <v>0</v>
      </c>
      <c r="Y41" s="273" t="str">
        <v>1</v>
      </c>
      <c r="Z41" s="273" t="str">
        <v>4</v>
      </c>
      <c r="AA41" s="273" t="str">
        <v>1</v>
      </c>
      <c r="AB41" s="273" t="str">
        <v>4</v>
      </c>
    </row>
    <row r="42" spans="2:28" x14ac:dyDescent="0.25">
      <c r="B42" s="274" t="str">
        <v>0</v>
      </c>
      <c r="C42" s="274">
        <v>0</v>
      </c>
      <c r="D42" s="274" t="str">
        <v>0</v>
      </c>
      <c r="E42" s="274" t="str">
        <v>0</v>
      </c>
      <c r="F42" s="269">
        <v>1</v>
      </c>
      <c r="G42" s="11" t="str">
        <v>crowd_02</v>
      </c>
      <c r="T42" s="2" t="e" vm="25">
        <v>#VALUE!</v>
      </c>
      <c r="U42" s="8" t="str">
        <v>030_080</v>
      </c>
      <c r="V42" s="6">
        <v>0.48</v>
      </c>
      <c r="W42" s="273" t="str">
        <v>0</v>
      </c>
      <c r="X42" s="273" t="str">
        <v>0</v>
      </c>
      <c r="Y42" s="273" t="str">
        <v>1</v>
      </c>
      <c r="Z42" s="273" t="str">
        <v>6</v>
      </c>
      <c r="AA42" s="273" t="str">
        <v>2</v>
      </c>
      <c r="AB42" s="273" t="str">
        <v>6</v>
      </c>
    </row>
    <row r="43" spans="2:28" x14ac:dyDescent="0.25">
      <c r="B43" s="274" t="str">
        <v>0</v>
      </c>
      <c r="C43" s="274">
        <v>0</v>
      </c>
      <c r="D43" s="274" t="str">
        <v>0</v>
      </c>
      <c r="E43" s="274" t="str">
        <v>0</v>
      </c>
      <c r="F43" s="269">
        <v>1</v>
      </c>
      <c r="G43" s="11" t="str">
        <v>crowd_03</v>
      </c>
      <c r="T43" s="2" t="e" vm="26">
        <v>#VALUE!</v>
      </c>
      <c r="U43" s="8" t="str">
        <v>030_100</v>
      </c>
      <c r="V43" s="6">
        <v>0.48</v>
      </c>
      <c r="W43" s="273" t="str">
        <v>0</v>
      </c>
      <c r="X43" s="273" t="str">
        <v>0</v>
      </c>
      <c r="Y43" s="273" t="str">
        <v>1</v>
      </c>
      <c r="Z43" s="273" t="str">
        <v>10</v>
      </c>
      <c r="AA43" s="273" t="str">
        <v>2</v>
      </c>
      <c r="AB43" s="273" t="str">
        <v>5</v>
      </c>
    </row>
    <row r="44" spans="2:28" x14ac:dyDescent="0.25">
      <c r="B44" s="274" t="str">
        <v>1</v>
      </c>
      <c r="C44" s="274">
        <v>0</v>
      </c>
      <c r="D44" s="274" t="str">
        <v>1</v>
      </c>
      <c r="E44" s="274" t="str">
        <v>0</v>
      </c>
      <c r="F44" s="269">
        <v>0.72599999999999998</v>
      </c>
      <c r="G44" s="11" t="str">
        <v>bucher</v>
      </c>
      <c r="T44" s="2" t="e" vm="27">
        <v>#VALUE!</v>
      </c>
      <c r="U44" s="8" t="str">
        <v>030_110</v>
      </c>
      <c r="V44" s="6">
        <v>0.505</v>
      </c>
      <c r="W44" s="273" t="str">
        <v>0</v>
      </c>
      <c r="X44" s="273" t="str">
        <v>0</v>
      </c>
      <c r="Y44" s="273" t="str">
        <v>1</v>
      </c>
      <c r="Z44" s="273" t="str">
        <v>38</v>
      </c>
      <c r="AA44" s="273" t="str">
        <v>1</v>
      </c>
      <c r="AB44" s="273" t="str">
        <v>5</v>
      </c>
    </row>
    <row r="45" spans="2:28" x14ac:dyDescent="0.25">
      <c r="B45" s="274" t="str">
        <v>0</v>
      </c>
      <c r="C45" s="274">
        <v>0</v>
      </c>
      <c r="D45" s="274" t="str">
        <v>0</v>
      </c>
      <c r="E45" s="274" t="str">
        <v>0</v>
      </c>
      <c r="F45" s="269">
        <v>0.95625000000000004</v>
      </c>
      <c r="G45" s="11" t="str">
        <v>church_ext</v>
      </c>
      <c r="T45" s="2" t="e" vm="28">
        <v>#VALUE!</v>
      </c>
      <c r="U45" s="8" t="str">
        <v>030_120</v>
      </c>
      <c r="V45" s="6">
        <v>0.42</v>
      </c>
      <c r="W45" s="273" t="str">
        <v>1</v>
      </c>
      <c r="X45" s="273" t="str">
        <v>0</v>
      </c>
      <c r="Y45" s="273" t="str">
        <v>1</v>
      </c>
      <c r="Z45" s="273" t="str">
        <v>20</v>
      </c>
      <c r="AA45" s="273" t="str">
        <v>2</v>
      </c>
      <c r="AB45" s="273" t="str">
        <v>5</v>
      </c>
    </row>
    <row r="46" spans="2:28" x14ac:dyDescent="0.25">
      <c r="B46" s="274" t="str">
        <v>1</v>
      </c>
      <c r="C46" s="274">
        <v>0</v>
      </c>
      <c r="D46" s="274" t="str">
        <v>3</v>
      </c>
      <c r="E46" s="274" t="str">
        <v>0</v>
      </c>
      <c r="F46" s="269">
        <v>0.93225000000000002</v>
      </c>
      <c r="G46" s="11" t="str">
        <v>church_int</v>
      </c>
      <c r="T46" s="2" t="e" vm="29">
        <v>#VALUE!</v>
      </c>
      <c r="U46" s="8" t="str">
        <v>030_130</v>
      </c>
      <c r="V46" s="6">
        <v>0.42</v>
      </c>
      <c r="W46" s="273" t="str">
        <v>1</v>
      </c>
      <c r="X46" s="273" t="str">
        <v>0</v>
      </c>
      <c r="Y46" s="273" t="str">
        <v>1</v>
      </c>
      <c r="Z46" s="273" t="str">
        <v>8</v>
      </c>
      <c r="AA46" s="273" t="str">
        <v>2</v>
      </c>
      <c r="AB46" s="273" t="str">
        <v>4</v>
      </c>
    </row>
    <row r="47" spans="2:28" x14ac:dyDescent="0.25">
      <c r="B47" s="274" t="str">
        <v>0</v>
      </c>
      <c r="C47" s="274">
        <v>0</v>
      </c>
      <c r="D47" s="274" t="str">
        <v>0</v>
      </c>
      <c r="E47" s="274" t="str">
        <v>0</v>
      </c>
      <c r="F47" s="269">
        <v>1</v>
      </c>
      <c r="G47" s="11" t="str">
        <v>door_01</v>
      </c>
      <c r="T47" s="2" t="e" vm="30">
        <v>#VALUE!</v>
      </c>
      <c r="U47" s="8" t="str">
        <v>030_140</v>
      </c>
      <c r="V47" s="6">
        <v>0.42</v>
      </c>
      <c r="W47" s="273" t="str">
        <v>1</v>
      </c>
      <c r="X47" s="273" t="str">
        <v>0</v>
      </c>
      <c r="Y47" s="273" t="str">
        <v>1</v>
      </c>
      <c r="Z47" s="273" t="str">
        <v>8</v>
      </c>
      <c r="AA47" s="273" t="str">
        <v>2</v>
      </c>
      <c r="AB47" s="273" t="str">
        <v>1</v>
      </c>
    </row>
    <row r="48" spans="2:28" x14ac:dyDescent="0.25">
      <c r="B48" s="274" t="str">
        <v>0</v>
      </c>
      <c r="C48" s="274">
        <v>0</v>
      </c>
      <c r="D48" s="274" t="str">
        <v>0</v>
      </c>
      <c r="E48" s="274" t="str">
        <v>0</v>
      </c>
      <c r="F48" s="269">
        <v>1</v>
      </c>
      <c r="G48" s="11" t="str">
        <v>door_02</v>
      </c>
      <c r="T48" s="2" t="e" vm="31">
        <v>#VALUE!</v>
      </c>
      <c r="U48" s="8" t="str">
        <v>030_150</v>
      </c>
      <c r="V48" s="6">
        <v>0.42</v>
      </c>
      <c r="W48" s="273" t="str">
        <v>1</v>
      </c>
      <c r="X48" s="273" t="str">
        <v>0</v>
      </c>
      <c r="Y48" s="273" t="str">
        <v>1</v>
      </c>
      <c r="Z48" s="273" t="str">
        <v>8</v>
      </c>
      <c r="AA48" s="273" t="str">
        <v>2</v>
      </c>
      <c r="AB48" s="273" t="str">
        <v>5</v>
      </c>
    </row>
    <row r="49" spans="2:28" x14ac:dyDescent="0.25">
      <c r="B49" s="274" t="str">
        <v>0</v>
      </c>
      <c r="C49" s="274">
        <v>0</v>
      </c>
      <c r="D49" s="274" t="str">
        <v>0</v>
      </c>
      <c r="E49" s="274" t="str">
        <v>0</v>
      </c>
      <c r="F49" s="269">
        <v>1</v>
      </c>
      <c r="G49" s="11" t="str">
        <v>door_03</v>
      </c>
      <c r="T49" s="2" t="e" vm="32">
        <v>#VALUE!</v>
      </c>
      <c r="U49" s="8" t="str">
        <v>040_010</v>
      </c>
      <c r="V49" s="6">
        <v>0.54799999999999993</v>
      </c>
      <c r="W49" s="273" t="str">
        <v>0</v>
      </c>
      <c r="X49" s="273" t="str">
        <v>0</v>
      </c>
      <c r="Y49" s="273" t="str">
        <v>1</v>
      </c>
      <c r="Z49" s="273" t="str">
        <v>0</v>
      </c>
      <c r="AA49" s="273" t="str">
        <v>2</v>
      </c>
      <c r="AB49" s="273" t="str">
        <v>4</v>
      </c>
    </row>
    <row r="50" spans="2:28" x14ac:dyDescent="0.25">
      <c r="B50" s="274" t="str">
        <v>0</v>
      </c>
      <c r="C50" s="274">
        <v>0</v>
      </c>
      <c r="D50" s="274" t="str">
        <v>0</v>
      </c>
      <c r="E50" s="274" t="str">
        <v>0</v>
      </c>
      <c r="F50" s="269">
        <v>1</v>
      </c>
      <c r="G50" s="11" t="str">
        <v>door_04</v>
      </c>
      <c r="T50" s="2" t="e" vm="33">
        <v>#VALUE!</v>
      </c>
      <c r="U50" s="8" t="str">
        <v>040_020</v>
      </c>
      <c r="V50" s="6">
        <v>0.44550000000000001</v>
      </c>
      <c r="W50" s="273" t="str">
        <v>0</v>
      </c>
      <c r="X50" s="273" t="str">
        <v>0</v>
      </c>
      <c r="Y50" s="273" t="str">
        <v>1</v>
      </c>
      <c r="Z50" s="273">
        <v>0</v>
      </c>
      <c r="AA50" s="273" t="str">
        <v>2</v>
      </c>
      <c r="AB50" s="273" t="str">
        <v>4</v>
      </c>
    </row>
    <row r="51" spans="2:28" x14ac:dyDescent="0.25">
      <c r="B51" s="274" t="str">
        <v>0</v>
      </c>
      <c r="C51" s="274">
        <v>0</v>
      </c>
      <c r="D51" s="274" t="str">
        <v>0</v>
      </c>
      <c r="E51" s="274" t="str">
        <v>0</v>
      </c>
      <c r="F51" s="269">
        <v>1</v>
      </c>
      <c r="G51" s="11" t="str">
        <v>door_05</v>
      </c>
      <c r="T51" s="2" t="e" vm="34">
        <v>#VALUE!</v>
      </c>
      <c r="U51" s="8" t="str">
        <v>040_030</v>
      </c>
      <c r="V51" s="6">
        <v>0.44999999999999996</v>
      </c>
      <c r="W51" s="273" t="str">
        <v>0</v>
      </c>
      <c r="X51" s="273" t="str">
        <v>0</v>
      </c>
      <c r="Y51" s="273" t="str">
        <v>1</v>
      </c>
      <c r="Z51" s="273">
        <v>0</v>
      </c>
      <c r="AA51" s="273" t="str">
        <v>4</v>
      </c>
      <c r="AB51" s="273" t="str">
        <v>4</v>
      </c>
    </row>
    <row r="52" spans="2:28" x14ac:dyDescent="0.25">
      <c r="B52" s="274" t="str">
        <v>0</v>
      </c>
      <c r="C52" s="274">
        <v>0</v>
      </c>
      <c r="D52" s="274" t="str">
        <v>0</v>
      </c>
      <c r="E52" s="274" t="str">
        <v>0</v>
      </c>
      <c r="F52" s="269">
        <v>1</v>
      </c>
      <c r="G52" s="11" t="str">
        <v>fake_int</v>
      </c>
      <c r="T52" s="2" t="e" vm="35">
        <v>#VALUE!</v>
      </c>
      <c r="U52" s="8" t="str">
        <v>040_040</v>
      </c>
      <c r="V52" s="6">
        <v>0.44999999999999996</v>
      </c>
      <c r="W52" s="273" t="str">
        <v>0</v>
      </c>
      <c r="X52" s="273" t="str">
        <v>0</v>
      </c>
      <c r="Y52" s="273" t="str">
        <v>1</v>
      </c>
      <c r="Z52" s="273" t="str">
        <v>6</v>
      </c>
      <c r="AA52" s="273" t="str">
        <v>2</v>
      </c>
      <c r="AB52" s="273" t="str">
        <v>4</v>
      </c>
    </row>
    <row r="53" spans="2:28" x14ac:dyDescent="0.25">
      <c r="B53" s="274" t="str">
        <v>0</v>
      </c>
      <c r="C53" s="274">
        <v>0</v>
      </c>
      <c r="D53" s="274" t="str">
        <v>0</v>
      </c>
      <c r="E53" s="274" t="str">
        <v>0</v>
      </c>
      <c r="F53" s="269">
        <v>1</v>
      </c>
      <c r="G53" s="11" t="str">
        <v>flr_01</v>
      </c>
      <c r="T53" s="2" t="e" vm="36">
        <v>#VALUE!</v>
      </c>
      <c r="U53" s="8" t="str">
        <v>040_050</v>
      </c>
      <c r="V53" s="6">
        <v>0.44999999999999996</v>
      </c>
      <c r="W53" s="273" t="str">
        <v>0</v>
      </c>
      <c r="X53" s="273" t="str">
        <v>0</v>
      </c>
      <c r="Y53" s="273" t="str">
        <v>1</v>
      </c>
      <c r="Z53" s="273">
        <v>0</v>
      </c>
      <c r="AA53" s="273" t="str">
        <v>2</v>
      </c>
      <c r="AB53" s="273" t="str">
        <v>6</v>
      </c>
    </row>
    <row r="54" spans="2:28" x14ac:dyDescent="0.25">
      <c r="B54" s="274" t="str">
        <v>0</v>
      </c>
      <c r="C54" s="274">
        <v>0</v>
      </c>
      <c r="D54" s="274" t="str">
        <v>0</v>
      </c>
      <c r="E54" s="274" t="str">
        <v>0</v>
      </c>
      <c r="F54" s="269">
        <v>1</v>
      </c>
      <c r="G54" s="11" t="str">
        <v>flr_02</v>
      </c>
      <c r="T54" s="2" t="e" vm="37">
        <v>#VALUE!</v>
      </c>
      <c r="U54" s="8" t="str">
        <v>040_070</v>
      </c>
      <c r="V54" s="6">
        <v>0.44999999999999996</v>
      </c>
      <c r="W54" s="273" t="str">
        <v>0</v>
      </c>
      <c r="X54" s="273" t="str">
        <v>0</v>
      </c>
      <c r="Y54" s="273" t="str">
        <v>1</v>
      </c>
      <c r="Z54" s="273" t="str">
        <v>5</v>
      </c>
      <c r="AA54" s="273" t="str">
        <v>2</v>
      </c>
      <c r="AB54" s="273" t="str">
        <v>4</v>
      </c>
    </row>
    <row r="55" spans="2:28" x14ac:dyDescent="0.25">
      <c r="B55" s="274" t="str">
        <v>0</v>
      </c>
      <c r="C55" s="274">
        <v>0</v>
      </c>
      <c r="D55" s="274" t="str">
        <v>0</v>
      </c>
      <c r="E55" s="274" t="str">
        <v>0</v>
      </c>
      <c r="F55" s="269">
        <v>1</v>
      </c>
      <c r="G55" s="11" t="str">
        <v>hill</v>
      </c>
      <c r="T55" s="2" t="e" vm="38">
        <v>#VALUE!</v>
      </c>
      <c r="U55" s="8" t="str">
        <v>040_090</v>
      </c>
      <c r="V55" s="6">
        <v>0.44999999999999996</v>
      </c>
      <c r="W55" s="273" t="str">
        <v>0</v>
      </c>
      <c r="X55" s="273" t="str">
        <v>0</v>
      </c>
      <c r="Y55" s="273" t="str">
        <v>1</v>
      </c>
      <c r="Z55" s="273">
        <v>0</v>
      </c>
      <c r="AA55" s="273" t="str">
        <v>2</v>
      </c>
      <c r="AB55" s="273" t="str">
        <v>4</v>
      </c>
    </row>
    <row r="56" spans="2:28" x14ac:dyDescent="0.25">
      <c r="B56" s="274" t="str">
        <v>0</v>
      </c>
      <c r="C56" s="274">
        <v>0</v>
      </c>
      <c r="D56" s="274" t="str">
        <v>0</v>
      </c>
      <c r="E56" s="274" t="str">
        <v>0</v>
      </c>
      <c r="F56" s="269">
        <v>1</v>
      </c>
      <c r="G56" s="11" t="str">
        <v>house_01</v>
      </c>
      <c r="T56" s="2" t="e" vm="39">
        <v>#VALUE!</v>
      </c>
      <c r="U56" s="8" t="str">
        <v>040_100</v>
      </c>
      <c r="V56" s="6">
        <v>0.44550000000000001</v>
      </c>
      <c r="W56" s="273" t="str">
        <v>0</v>
      </c>
      <c r="X56" s="273" t="str">
        <v>0</v>
      </c>
      <c r="Y56" s="273" t="str">
        <v>1</v>
      </c>
      <c r="Z56" s="273">
        <v>0</v>
      </c>
      <c r="AA56" s="273" t="str">
        <v>1</v>
      </c>
      <c r="AB56" s="273" t="str">
        <v>4</v>
      </c>
    </row>
    <row r="57" spans="2:28" x14ac:dyDescent="0.25">
      <c r="B57" s="274" t="str">
        <v>0</v>
      </c>
      <c r="C57" s="274">
        <v>0</v>
      </c>
      <c r="D57" s="274" t="str">
        <v>0</v>
      </c>
      <c r="E57" s="274" t="str">
        <v>0</v>
      </c>
      <c r="F57" s="269">
        <v>1</v>
      </c>
      <c r="G57" s="11" t="str">
        <v>house_02</v>
      </c>
      <c r="T57" s="2" t="e" vm="40">
        <v>#VALUE!</v>
      </c>
      <c r="U57" s="8" t="str">
        <v>040_110</v>
      </c>
      <c r="V57" s="6">
        <v>0.44999999999999996</v>
      </c>
      <c r="W57" s="273" t="str">
        <v>0</v>
      </c>
      <c r="X57" s="273" t="str">
        <v>0</v>
      </c>
      <c r="Y57" s="273" t="str">
        <v>2</v>
      </c>
      <c r="Z57" s="273">
        <v>0</v>
      </c>
      <c r="AA57" s="273" t="str">
        <v>2</v>
      </c>
      <c r="AB57" s="273" t="str">
        <v>3</v>
      </c>
    </row>
    <row r="58" spans="2:28" x14ac:dyDescent="0.25">
      <c r="B58" s="274" t="str">
        <v>0</v>
      </c>
      <c r="C58" s="274">
        <v>0</v>
      </c>
      <c r="D58" s="274" t="str">
        <v>0</v>
      </c>
      <c r="E58" s="274" t="str">
        <v>0</v>
      </c>
      <c r="F58" s="269">
        <v>1</v>
      </c>
      <c r="G58" s="11" t="str">
        <v>house_03</v>
      </c>
      <c r="T58" s="2" t="e" vm="41">
        <v>#VALUE!</v>
      </c>
      <c r="U58" s="8" t="str">
        <v>040_120</v>
      </c>
      <c r="V58" s="6">
        <v>0.44999999999999996</v>
      </c>
      <c r="W58" s="273" t="str">
        <v>0</v>
      </c>
      <c r="X58" s="273" t="str">
        <v>0</v>
      </c>
      <c r="Y58" s="273" t="str">
        <v>3</v>
      </c>
      <c r="Z58" s="273">
        <v>0</v>
      </c>
      <c r="AA58" s="273" t="str">
        <v>3</v>
      </c>
      <c r="AB58" s="273" t="str">
        <v>7</v>
      </c>
    </row>
    <row r="59" spans="2:28" x14ac:dyDescent="0.25">
      <c r="B59" s="274" t="str">
        <v>0</v>
      </c>
      <c r="C59" s="274">
        <v>0</v>
      </c>
      <c r="D59" s="274" t="str">
        <v>0</v>
      </c>
      <c r="E59" s="274" t="str">
        <v>0</v>
      </c>
      <c r="F59" s="269">
        <v>1</v>
      </c>
      <c r="G59" s="11" t="str">
        <v>house_04</v>
      </c>
      <c r="T59" s="2" t="e" vm="42">
        <v>#VALUE!</v>
      </c>
      <c r="U59" s="8" t="str">
        <v>050_005</v>
      </c>
      <c r="V59" s="6">
        <v>0.41100000000000003</v>
      </c>
      <c r="W59" s="273" t="str">
        <v>1</v>
      </c>
      <c r="X59" s="273" t="str">
        <v>0</v>
      </c>
      <c r="Y59" s="273" t="str">
        <v>2</v>
      </c>
      <c r="Z59" s="273">
        <v>0</v>
      </c>
      <c r="AA59" s="273" t="str">
        <v>3</v>
      </c>
      <c r="AB59" s="273" t="str">
        <v>5</v>
      </c>
    </row>
    <row r="60" spans="2:28" x14ac:dyDescent="0.25">
      <c r="B60" s="274" t="str">
        <v>0</v>
      </c>
      <c r="C60" s="274">
        <v>0</v>
      </c>
      <c r="D60" s="274" t="str">
        <v>0</v>
      </c>
      <c r="E60" s="274" t="str">
        <v>0</v>
      </c>
      <c r="F60" s="269">
        <v>1</v>
      </c>
      <c r="G60" s="11" t="str">
        <v>house_05</v>
      </c>
      <c r="T60" s="2" t="e" vm="43">
        <v>#VALUE!</v>
      </c>
      <c r="U60" s="8" t="str">
        <v>050_020</v>
      </c>
      <c r="V60" s="6">
        <v>0.51750000000000007</v>
      </c>
      <c r="W60" s="273" t="str">
        <v>0</v>
      </c>
      <c r="X60" s="273" t="str">
        <v>0</v>
      </c>
      <c r="Y60" s="273" t="str">
        <v>1</v>
      </c>
      <c r="Z60" s="273" t="str">
        <v>1</v>
      </c>
      <c r="AA60" s="273" t="str">
        <v>2</v>
      </c>
      <c r="AB60" s="273" t="str">
        <v>5</v>
      </c>
    </row>
    <row r="61" spans="2:28" x14ac:dyDescent="0.25">
      <c r="B61" s="274" t="str">
        <v>0</v>
      </c>
      <c r="C61" s="274">
        <v>0</v>
      </c>
      <c r="D61" s="274" t="str">
        <v>0</v>
      </c>
      <c r="E61" s="274" t="str">
        <v>0</v>
      </c>
      <c r="F61" s="269">
        <v>1</v>
      </c>
      <c r="G61" s="11" t="str">
        <v>house_06</v>
      </c>
      <c r="T61" s="2" t="e" vm="44">
        <v>#VALUE!</v>
      </c>
      <c r="U61" s="8" t="str">
        <v>060_010</v>
      </c>
      <c r="V61" s="6">
        <v>0.81599999999999995</v>
      </c>
      <c r="W61" s="273" t="str">
        <v>0</v>
      </c>
      <c r="X61" s="273" t="str">
        <v>0</v>
      </c>
      <c r="Y61" s="273" t="str">
        <v>0</v>
      </c>
      <c r="Z61" s="273">
        <v>0</v>
      </c>
      <c r="AA61" s="273" t="str">
        <v>0</v>
      </c>
      <c r="AB61" s="273" t="str">
        <v>2</v>
      </c>
    </row>
    <row r="62" spans="2:28" x14ac:dyDescent="0.25">
      <c r="B62" s="274" t="str">
        <v>0</v>
      </c>
      <c r="C62" s="274">
        <v>0</v>
      </c>
      <c r="D62" s="274" t="str">
        <v>0</v>
      </c>
      <c r="E62" s="274" t="str">
        <v>0</v>
      </c>
      <c r="F62" s="269">
        <v>1</v>
      </c>
      <c r="G62" s="11" t="str">
        <v>house_07</v>
      </c>
      <c r="T62" s="2" t="e" vm="45">
        <v>#VALUE!</v>
      </c>
      <c r="U62" s="8" t="str">
        <v>060_030</v>
      </c>
      <c r="V62" s="6">
        <v>0.55499999999999994</v>
      </c>
      <c r="W62" s="273" t="str">
        <v>0</v>
      </c>
      <c r="X62" s="273" t="str">
        <v>0</v>
      </c>
      <c r="Y62" s="273" t="str">
        <v>1</v>
      </c>
      <c r="Z62" s="273">
        <v>0</v>
      </c>
      <c r="AA62" s="273" t="str">
        <v>2</v>
      </c>
      <c r="AB62" s="273" t="str">
        <v>3</v>
      </c>
    </row>
    <row r="63" spans="2:28" x14ac:dyDescent="0.25">
      <c r="B63" s="274" t="str">
        <v>0</v>
      </c>
      <c r="C63" s="274">
        <v>0</v>
      </c>
      <c r="D63" s="274" t="str">
        <v>0</v>
      </c>
      <c r="E63" s="274" t="str">
        <v>0</v>
      </c>
      <c r="F63" s="269">
        <v>1</v>
      </c>
      <c r="G63" s="11" t="str">
        <v>house_08</v>
      </c>
      <c r="T63" s="2" t="e" vm="46">
        <v>#VALUE!</v>
      </c>
      <c r="U63" s="8" t="str">
        <v>040_045</v>
      </c>
      <c r="V63" s="6">
        <v>0.44999999999999996</v>
      </c>
      <c r="W63" s="273" t="str">
        <v>0</v>
      </c>
      <c r="X63" s="273" t="str">
        <v>0</v>
      </c>
      <c r="Y63" s="273" t="str">
        <v>3</v>
      </c>
      <c r="Z63" s="273">
        <v>0</v>
      </c>
      <c r="AA63" s="273" t="str">
        <v>5</v>
      </c>
      <c r="AB63" s="273" t="str">
        <v>3</v>
      </c>
    </row>
    <row r="64" spans="2:28" x14ac:dyDescent="0.25">
      <c r="B64" s="274" t="str">
        <v>0</v>
      </c>
      <c r="C64" s="274">
        <v>0</v>
      </c>
      <c r="D64" s="274" t="str">
        <v>0</v>
      </c>
      <c r="E64" s="274" t="str">
        <v>0</v>
      </c>
      <c r="F64" s="269">
        <v>1</v>
      </c>
      <c r="G64" s="11" t="str">
        <v>arrows</v>
      </c>
      <c r="T64" s="2" t="e" vm="47">
        <v>#VALUE!</v>
      </c>
      <c r="U64" s="8" t="str">
        <v>040_135</v>
      </c>
      <c r="V64" s="6">
        <v>0.44550000000000001</v>
      </c>
      <c r="W64" s="273" t="str">
        <v>0</v>
      </c>
      <c r="X64" s="273" t="str">
        <v>0</v>
      </c>
      <c r="Y64" s="273" t="str">
        <v>3</v>
      </c>
      <c r="Z64" s="273">
        <v>0</v>
      </c>
      <c r="AA64" s="273" t="str">
        <v>6</v>
      </c>
      <c r="AB64" s="273" t="str">
        <v>6</v>
      </c>
    </row>
    <row r="65" spans="2:28" x14ac:dyDescent="0.25">
      <c r="B65" s="274">
        <v>0</v>
      </c>
      <c r="C65" s="274">
        <v>0</v>
      </c>
      <c r="D65" s="274" t="str">
        <v>0</v>
      </c>
      <c r="E65" s="274" t="str">
        <v>0</v>
      </c>
      <c r="F65" s="269">
        <v>1</v>
      </c>
      <c r="G65" s="11" t="str">
        <v>plaines_01</v>
      </c>
      <c r="T65" s="2" t="e" vm="48">
        <v>#VALUE!</v>
      </c>
      <c r="U65" s="8" t="str">
        <v>050_010</v>
      </c>
      <c r="V65" s="6">
        <v>0.40200000000000002</v>
      </c>
      <c r="W65" s="273" t="str">
        <v>1</v>
      </c>
      <c r="X65" s="273" t="str">
        <v>0</v>
      </c>
      <c r="Y65" s="273" t="str">
        <v>1</v>
      </c>
      <c r="Z65" s="273">
        <v>0</v>
      </c>
      <c r="AA65" s="273" t="str">
        <v>7</v>
      </c>
      <c r="AB65" s="273" t="str">
        <v>6</v>
      </c>
    </row>
    <row r="66" spans="2:28" x14ac:dyDescent="0.25">
      <c r="B66" s="274">
        <v>0</v>
      </c>
      <c r="C66" s="274">
        <v>0</v>
      </c>
      <c r="D66" s="274" t="str">
        <v>0</v>
      </c>
      <c r="E66" s="274" t="str">
        <v>0</v>
      </c>
      <c r="F66" s="269">
        <v>1</v>
      </c>
      <c r="G66" s="11" t="str">
        <v>plaines_02</v>
      </c>
      <c r="V66" s="26"/>
    </row>
    <row r="67" spans="2:28" x14ac:dyDescent="0.25">
      <c r="B67" s="274">
        <v>0</v>
      </c>
      <c r="C67" s="274">
        <v>0</v>
      </c>
      <c r="D67" s="274" t="str">
        <v>0</v>
      </c>
      <c r="E67" s="274" t="str">
        <v>0</v>
      </c>
      <c r="F67" s="269">
        <v>1</v>
      </c>
      <c r="G67" s="11" t="str">
        <v>plaines_03</v>
      </c>
      <c r="V67" s="26"/>
    </row>
    <row r="68" spans="2:28" x14ac:dyDescent="0.25">
      <c r="B68" s="274" t="str">
        <v>0</v>
      </c>
      <c r="C68" s="274" t="str">
        <v>0</v>
      </c>
      <c r="D68" s="274" t="str">
        <v>0</v>
      </c>
      <c r="E68" s="274" t="str">
        <v>0</v>
      </c>
      <c r="F68" s="269">
        <v>1</v>
      </c>
      <c r="G68" s="11" t="str">
        <v>accessory_01</v>
      </c>
      <c r="V68" s="26"/>
    </row>
    <row r="69" spans="2:28" x14ac:dyDescent="0.25">
      <c r="B69" s="274" t="str">
        <v>0</v>
      </c>
      <c r="C69" s="274" t="str">
        <v>0</v>
      </c>
      <c r="D69" s="274" t="str">
        <v>0</v>
      </c>
      <c r="E69" s="274" t="str">
        <v>0</v>
      </c>
      <c r="F69" s="269">
        <v>1</v>
      </c>
      <c r="G69" s="11" t="str">
        <v>accessory_02</v>
      </c>
      <c r="V69" s="26"/>
    </row>
    <row r="70" spans="2:28" x14ac:dyDescent="0.25">
      <c r="B70" s="274" t="str">
        <v>0</v>
      </c>
      <c r="C70" s="274" t="str">
        <v>0</v>
      </c>
      <c r="D70" s="274" t="str">
        <v>0</v>
      </c>
      <c r="E70" s="274" t="str">
        <v>0</v>
      </c>
      <c r="F70" s="269">
        <v>1</v>
      </c>
      <c r="G70" s="11" t="str">
        <v>accessory_03</v>
      </c>
      <c r="V70" s="26"/>
    </row>
    <row r="71" spans="2:28" x14ac:dyDescent="0.25">
      <c r="B71" s="274" t="str">
        <v>0</v>
      </c>
      <c r="C71" s="274" t="str">
        <v>0</v>
      </c>
      <c r="D71" s="274" t="str">
        <v>0</v>
      </c>
      <c r="E71" s="274" t="str">
        <v>0</v>
      </c>
      <c r="F71" s="269">
        <v>1</v>
      </c>
      <c r="G71" s="11" t="str">
        <v>accessory_04</v>
      </c>
      <c r="V71" s="26"/>
    </row>
    <row r="72" spans="2:28" x14ac:dyDescent="0.25">
      <c r="B72" s="274" t="str">
        <v>0</v>
      </c>
      <c r="C72" s="274" t="str">
        <v>0</v>
      </c>
      <c r="D72" s="274" t="str">
        <v>0</v>
      </c>
      <c r="E72" s="274">
        <v>0</v>
      </c>
      <c r="F72" s="269">
        <v>1</v>
      </c>
      <c r="G72" s="11" t="str">
        <v>arrow</v>
      </c>
      <c r="V72" s="26"/>
    </row>
    <row r="73" spans="2:28" x14ac:dyDescent="0.25">
      <c r="B73" s="274" t="str">
        <v>0</v>
      </c>
      <c r="C73" s="274" t="str">
        <v>0</v>
      </c>
      <c r="D73" s="274" t="str">
        <v>0</v>
      </c>
      <c r="E73" s="274" t="str">
        <v>0</v>
      </c>
      <c r="F73" s="269">
        <v>1</v>
      </c>
      <c r="G73" s="11" t="str">
        <v>banner</v>
      </c>
      <c r="V73" s="26"/>
    </row>
    <row r="74" spans="2:28" x14ac:dyDescent="0.25">
      <c r="B74" s="274" t="str">
        <v>0</v>
      </c>
      <c r="C74" s="274" t="str">
        <v>0</v>
      </c>
      <c r="D74" s="274" t="str">
        <v>0</v>
      </c>
      <c r="E74" s="274">
        <v>0</v>
      </c>
      <c r="F74" s="269">
        <v>1</v>
      </c>
      <c r="G74" s="11" t="str">
        <v>bow</v>
      </c>
      <c r="V74" s="26"/>
    </row>
    <row r="75" spans="2:28" x14ac:dyDescent="0.25">
      <c r="B75" s="274" t="str">
        <v>0</v>
      </c>
      <c r="C75" s="274" t="str">
        <v>0</v>
      </c>
      <c r="D75" s="274" t="str">
        <v>0</v>
      </c>
      <c r="E75" s="274">
        <v>0</v>
      </c>
      <c r="F75" s="269">
        <v>1</v>
      </c>
      <c r="G75" s="11" t="str">
        <v>chains_01</v>
      </c>
      <c r="V75" s="26"/>
    </row>
    <row r="76" spans="2:28" x14ac:dyDescent="0.25">
      <c r="B76" s="274">
        <v>0</v>
      </c>
      <c r="C76" s="274" t="str">
        <v>0</v>
      </c>
      <c r="D76" s="274">
        <v>0</v>
      </c>
      <c r="E76" s="274">
        <v>0</v>
      </c>
      <c r="F76" s="269">
        <v>1</v>
      </c>
      <c r="G76" s="11" t="str">
        <v>chains_02</v>
      </c>
      <c r="V76" s="26"/>
    </row>
    <row r="77" spans="2:28" x14ac:dyDescent="0.25">
      <c r="B77" s="274" t="str">
        <v>0</v>
      </c>
      <c r="C77" s="274" t="str">
        <v>0</v>
      </c>
      <c r="D77" s="274" t="str">
        <v>0</v>
      </c>
      <c r="E77" s="274">
        <v>0</v>
      </c>
      <c r="F77" s="269">
        <v>1</v>
      </c>
      <c r="G77" s="11" t="str">
        <v>chains_break</v>
      </c>
      <c r="V77" s="26"/>
    </row>
    <row r="78" spans="2:28" x14ac:dyDescent="0.25">
      <c r="B78" s="274" t="str">
        <v>0</v>
      </c>
      <c r="C78" s="274" t="str">
        <v>0</v>
      </c>
      <c r="D78" s="274" t="str">
        <v>0</v>
      </c>
      <c r="E78" s="274">
        <v>0</v>
      </c>
      <c r="F78" s="269">
        <v>1</v>
      </c>
      <c r="G78" s="11" t="str">
        <v>helmet_eng_01</v>
      </c>
      <c r="V78" s="26"/>
    </row>
    <row r="79" spans="2:28" x14ac:dyDescent="0.25">
      <c r="B79" s="274" t="str">
        <v>0</v>
      </c>
      <c r="C79" s="274" t="str">
        <v>0</v>
      </c>
      <c r="D79" s="274" t="str">
        <v>0</v>
      </c>
      <c r="E79" s="274">
        <v>0</v>
      </c>
      <c r="F79" s="269">
        <v>1</v>
      </c>
      <c r="G79" s="11" t="str">
        <v>helmet_eng_02</v>
      </c>
      <c r="V79" s="26"/>
    </row>
    <row r="80" spans="2:28" x14ac:dyDescent="0.25">
      <c r="B80" s="274" t="str">
        <v>0</v>
      </c>
      <c r="C80" s="274" t="str">
        <v>0</v>
      </c>
      <c r="D80" s="274" t="str">
        <v>0</v>
      </c>
      <c r="E80" s="274">
        <v>0</v>
      </c>
      <c r="F80" s="269">
        <v>1</v>
      </c>
      <c r="G80" s="11" t="str">
        <v>helmet_fr_01</v>
      </c>
      <c r="V80" s="26"/>
    </row>
    <row r="81" spans="2:22" x14ac:dyDescent="0.25">
      <c r="B81" s="274" t="str">
        <v>0</v>
      </c>
      <c r="C81" s="274" t="str">
        <v>0</v>
      </c>
      <c r="D81" s="274" t="str">
        <v>0</v>
      </c>
      <c r="E81" s="274">
        <v>0</v>
      </c>
      <c r="F81" s="269">
        <v>1</v>
      </c>
      <c r="G81" s="11" t="str">
        <v>helmet_fr_02</v>
      </c>
      <c r="V81" s="26"/>
    </row>
    <row r="82" spans="2:22" x14ac:dyDescent="0.25">
      <c r="B82" s="274" t="str">
        <v>0</v>
      </c>
      <c r="C82" s="274" t="str">
        <v>0</v>
      </c>
      <c r="D82" s="274" t="str">
        <v>0</v>
      </c>
      <c r="E82" s="274">
        <v>0</v>
      </c>
      <c r="F82" s="269">
        <v>1</v>
      </c>
      <c r="G82" s="11" t="str">
        <v>helmet_fr_03</v>
      </c>
      <c r="V82" s="26"/>
    </row>
    <row r="83" spans="2:22" x14ac:dyDescent="0.25">
      <c r="B83" s="274" t="str">
        <v>0</v>
      </c>
      <c r="C83" s="274" t="str">
        <v>0</v>
      </c>
      <c r="D83" s="274" t="str">
        <v>0</v>
      </c>
      <c r="E83" s="274">
        <v>0</v>
      </c>
      <c r="F83" s="269">
        <v>1</v>
      </c>
      <c r="G83" s="11" t="str">
        <v>mace</v>
      </c>
      <c r="V83" s="26"/>
    </row>
    <row r="84" spans="2:22" x14ac:dyDescent="0.25">
      <c r="B84" s="274" t="str">
        <v>0</v>
      </c>
      <c r="C84" s="274" t="str">
        <v>0</v>
      </c>
      <c r="D84" s="274" t="str">
        <v>0</v>
      </c>
      <c r="E84" s="274" t="str">
        <v>0</v>
      </c>
      <c r="F84" s="269">
        <v>1</v>
      </c>
      <c r="G84" s="11" t="str">
        <v>shield</v>
      </c>
      <c r="V84" s="26"/>
    </row>
    <row r="85" spans="2:22" x14ac:dyDescent="0.25">
      <c r="B85" s="274" t="str">
        <v>0</v>
      </c>
      <c r="C85" s="274" t="str">
        <v>0</v>
      </c>
      <c r="D85" s="274" t="str">
        <v>0</v>
      </c>
      <c r="E85" s="274">
        <v>0</v>
      </c>
      <c r="F85" s="269">
        <v>1</v>
      </c>
      <c r="G85" s="11" t="str">
        <v>swrd</v>
      </c>
    </row>
    <row r="86" spans="2:22" x14ac:dyDescent="0.25">
      <c r="B86" s="274" t="str">
        <v>0</v>
      </c>
      <c r="C86" s="274" t="str">
        <v>0</v>
      </c>
      <c r="D86" s="274" t="str">
        <v>0</v>
      </c>
      <c r="E86" s="274">
        <v>0</v>
      </c>
      <c r="F86" s="269">
        <v>1</v>
      </c>
      <c r="G86" s="11" t="str">
        <v>swrd_01</v>
      </c>
    </row>
    <row r="87" spans="2:22" x14ac:dyDescent="0.25">
      <c r="B87" s="274" t="str">
        <v>0</v>
      </c>
      <c r="C87" s="274" t="str">
        <v>0</v>
      </c>
      <c r="D87" s="274" t="str">
        <v>0</v>
      </c>
      <c r="E87" s="274">
        <v>0</v>
      </c>
      <c r="F87" s="269">
        <v>1</v>
      </c>
      <c r="G87" s="11" t="str">
        <v>weapon_01</v>
      </c>
    </row>
    <row r="88" spans="2:22" x14ac:dyDescent="0.25">
      <c r="B88" s="274" t="str">
        <v>0</v>
      </c>
      <c r="C88" s="274" t="str">
        <v>0</v>
      </c>
      <c r="D88" s="274" t="str">
        <v>0</v>
      </c>
      <c r="E88" s="274">
        <v>0</v>
      </c>
      <c r="F88" s="269">
        <v>1</v>
      </c>
      <c r="G88" s="11" t="str">
        <v>weapon_02</v>
      </c>
    </row>
    <row r="89" spans="2:22" x14ac:dyDescent="0.25">
      <c r="B89" s="274" t="str">
        <v>0</v>
      </c>
      <c r="C89" s="274" t="str">
        <v>0</v>
      </c>
      <c r="D89" s="274" t="str">
        <v>0</v>
      </c>
      <c r="E89" s="274">
        <v>0</v>
      </c>
      <c r="F89" s="269">
        <v>1</v>
      </c>
      <c r="G89" s="11" t="str">
        <v>weapon_03</v>
      </c>
    </row>
    <row r="90" spans="2:22" x14ac:dyDescent="0.25">
      <c r="B90" s="274" t="str">
        <v>0</v>
      </c>
      <c r="C90" s="274" t="str">
        <v>0</v>
      </c>
      <c r="D90" s="274" t="str">
        <v>0</v>
      </c>
      <c r="E90" s="274">
        <v>0</v>
      </c>
      <c r="F90" s="269">
        <v>1</v>
      </c>
      <c r="G90" s="11" t="str">
        <v>weapon_04</v>
      </c>
    </row>
    <row r="91" spans="2:22" x14ac:dyDescent="0.25">
      <c r="B91" s="274" t="str">
        <v>0</v>
      </c>
      <c r="C91" s="274" t="str">
        <v>0</v>
      </c>
      <c r="D91" s="274" t="str">
        <v>0</v>
      </c>
      <c r="E91" s="274">
        <v>0</v>
      </c>
      <c r="F91" s="269">
        <v>1</v>
      </c>
      <c r="G91" s="11" t="str">
        <v>weapon_05</v>
      </c>
    </row>
    <row r="92" spans="2:22" x14ac:dyDescent="0.25">
      <c r="B92" s="274" t="str">
        <v>0</v>
      </c>
      <c r="C92" s="274" t="str">
        <v>0</v>
      </c>
      <c r="D92" s="274" t="str">
        <v>0</v>
      </c>
      <c r="E92" s="274">
        <v>0</v>
      </c>
      <c r="F92" s="269">
        <v>0.95</v>
      </c>
      <c r="G92" s="11" t="str">
        <v>broken_vitrail</v>
      </c>
    </row>
  </sheetData>
  <sheetProtection algorithmName="SHA-512" hashValue="FjirLg8UE/zKQS+u9Rt0hzI4M69HnMC1j8Xw2EHTb1rHnT2E+7mySbjIR0f6Ujtfnv1ukMR2Xbvyts61G94Hpg==" saltValue="6KK5o44YL27UmBuxJBAokw==" spinCount="100000" sheet="1" objects="1" scenarios="1" selectLockedCells="1" selectUnlockedCells="1"/>
  <conditionalFormatting sqref="B18:E92">
    <cfRule type="expression" dxfId="99" priority="1">
      <formula>isDone(B18)</formula>
    </cfRule>
  </conditionalFormatting>
  <conditionalFormatting sqref="B18:E120">
    <cfRule type="expression" dxfId="98" priority="75">
      <formula>getAssetStatus($G18,B$16)</formula>
    </cfRule>
  </conditionalFormatting>
  <conditionalFormatting sqref="F18:F92">
    <cfRule type="colorScale" priority="6">
      <colorScale>
        <cfvo type="min"/>
        <cfvo type="max"/>
        <color theme="0" tint="-4.9989318521683403E-2"/>
        <color theme="3" tint="0.59999389629810485"/>
      </colorScale>
    </cfRule>
  </conditionalFormatting>
  <conditionalFormatting sqref="V18:V65">
    <cfRule type="colorScale" priority="5">
      <colorScale>
        <cfvo type="min"/>
        <cfvo type="max"/>
        <color rgb="FFFCFCFF"/>
        <color rgb="FF63BE7B"/>
      </colorScale>
    </cfRule>
  </conditionalFormatting>
  <conditionalFormatting sqref="W18:AB65">
    <cfRule type="expression" dxfId="97" priority="4">
      <formula>isDone(W18)</formula>
    </cfRule>
  </conditionalFormatting>
  <conditionalFormatting sqref="W18:AB84">
    <cfRule type="expression" dxfId="96" priority="73">
      <formula>getShotStatus($U18,W$16)</formula>
    </cfRule>
  </conditionalFormatting>
  <conditionalFormatting sqref="AF18:AK18">
    <cfRule type="expression" dxfId="95" priority="3">
      <formula>getShotStatus($U18,AF$16)</formula>
    </cfRule>
  </conditionalFormatting>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82EC8-9439-483A-873B-BE09D2BCDABE}">
  <sheetPr codeName="Feuil4">
    <tabColor rgb="FFBFBFBF"/>
  </sheetPr>
  <dimension ref="A1:O79"/>
  <sheetViews>
    <sheetView showGridLines="0" showRowColHeaders="0" zoomScaleNormal="100" workbookViewId="0">
      <pane ySplit="3" topLeftCell="A4" activePane="bottomLeft" state="frozen"/>
      <selection activeCell="O14" sqref="O14"/>
      <selection pane="bottomLeft" activeCell="K21" sqref="K21"/>
    </sheetView>
  </sheetViews>
  <sheetFormatPr baseColWidth="10" defaultColWidth="16" defaultRowHeight="23.25" customHeight="1" x14ac:dyDescent="0.25"/>
  <cols>
    <col min="1" max="1" width="17.85546875" style="2" customWidth="1"/>
    <col min="2" max="14" width="14.28515625" style="2" customWidth="1"/>
    <col min="15" max="15" width="67.140625" style="2" customWidth="1"/>
    <col min="16" max="16384" width="16" style="2"/>
  </cols>
  <sheetData>
    <row r="1" spans="1:15" s="106" customFormat="1" ht="41.25" customHeight="1" x14ac:dyDescent="1">
      <c r="A1" s="285" t="s">
        <v>296</v>
      </c>
      <c r="B1" s="285"/>
      <c r="C1" s="285"/>
      <c r="D1" s="285"/>
      <c r="E1" s="103"/>
      <c r="F1" s="103"/>
      <c r="G1" s="103"/>
      <c r="H1" s="103"/>
      <c r="I1" s="104" t="s">
        <v>297</v>
      </c>
      <c r="J1" s="105">
        <v>0.3</v>
      </c>
      <c r="K1" s="105">
        <v>0.5</v>
      </c>
      <c r="L1" s="105">
        <v>0.2</v>
      </c>
    </row>
    <row r="2" spans="1:15" s="95" customFormat="1" ht="41.25" customHeight="1" x14ac:dyDescent="0.25">
      <c r="A2" s="285"/>
      <c r="B2" s="285"/>
      <c r="C2" s="285"/>
      <c r="D2" s="285"/>
      <c r="E2" s="97"/>
      <c r="F2" s="97"/>
      <c r="G2" s="97"/>
      <c r="H2" s="97"/>
      <c r="I2" s="95" t="s">
        <v>298</v>
      </c>
      <c r="J2" s="96" cm="1">
        <f t="array" ref="J2">IF(J79="Done", "Done",J1*SUM(design[[Estimated]:[Estimated]]*(1-design[rnd])))</f>
        <v>0</v>
      </c>
      <c r="K2" s="96" cm="1">
        <f t="array" ref="K2">IF(K79="Done", "Done",K1*SUM(design[[Estimated]:[Estimated]]*(1-design[rough])))</f>
        <v>0</v>
      </c>
      <c r="L2" s="96" cm="1">
        <f t="array" ref="L2">IF(L79="Done", "Done",L1*SUM(design[[Estimated]:[Estimated]]*(1-design[clean])))</f>
        <v>0</v>
      </c>
    </row>
    <row r="3" spans="1:15" ht="23.25" customHeight="1" x14ac:dyDescent="0.25">
      <c r="A3" s="2" t="s">
        <v>299</v>
      </c>
      <c r="B3" s="2" t="s">
        <v>23</v>
      </c>
      <c r="C3" s="2" t="s">
        <v>300</v>
      </c>
      <c r="D3" s="2" t="s">
        <v>301</v>
      </c>
      <c r="E3" s="2" t="s">
        <v>302</v>
      </c>
      <c r="F3" s="2" t="s">
        <v>6</v>
      </c>
      <c r="G3" s="2" t="s">
        <v>303</v>
      </c>
      <c r="H3" s="2" t="s">
        <v>269</v>
      </c>
      <c r="I3" s="2" t="s">
        <v>304</v>
      </c>
      <c r="J3" s="171" t="s">
        <v>305</v>
      </c>
      <c r="K3" s="171" t="s">
        <v>306</v>
      </c>
      <c r="L3" s="171" t="s">
        <v>307</v>
      </c>
      <c r="M3" s="2" t="s">
        <v>295</v>
      </c>
      <c r="N3" s="2" t="s">
        <v>308</v>
      </c>
      <c r="O3" s="2" t="s">
        <v>270</v>
      </c>
    </row>
    <row r="4" spans="1:15" ht="23.25" customHeight="1" x14ac:dyDescent="0.25">
      <c r="A4" s="174" t="str">
        <f>metaASSETS[[#This Row],[Asset Name]]</f>
        <v>vitrail_00</v>
      </c>
      <c r="B4" s="87" t="str">
        <f>metaASSETS[[#This Row],[Type]]</f>
        <v>Asset</v>
      </c>
      <c r="D4" s="85" t="b">
        <v>0</v>
      </c>
      <c r="E4" s="186" t="s">
        <v>309</v>
      </c>
      <c r="F4" s="165" t="s">
        <v>12</v>
      </c>
      <c r="G4" s="87" t="s">
        <v>310</v>
      </c>
      <c r="H4" s="2" t="str">
        <f>IF(NOT(ISBLANK(design[[#This Row],[Commentaires]])), "Needs Fix",
    IF(design[[#This Row],[Review]]&lt;&gt;"inactive", design[[#This Row],[Review]],
        IF(design[[#This Row],[Progress]]=100%, "Pending Review",
            IF(AND(0%&lt;design[[#This Row],[Progress]], design[[#This Row],[Progress]]&lt;100%),  "In Progress", "Ready")
        )
    )
)</f>
        <v>Approved</v>
      </c>
      <c r="I4" s="2">
        <v>10</v>
      </c>
      <c r="J4" s="185">
        <v>1</v>
      </c>
      <c r="K4" s="185">
        <v>1</v>
      </c>
      <c r="L4" s="185">
        <v>1</v>
      </c>
      <c r="M4" s="6" cm="1">
        <f t="array" ref="M4">SUM(design[[#This Row],[rnd]:[clean]]*design_ponderation)</f>
        <v>1</v>
      </c>
      <c r="N4" s="84">
        <f>(1-design[[#This Row],[Progress]])*design[[#This Row],[Estimated]]</f>
        <v>0</v>
      </c>
      <c r="O4" s="188"/>
    </row>
    <row r="5" spans="1:15" ht="23.25" customHeight="1" x14ac:dyDescent="0.25">
      <c r="A5" s="174" t="str">
        <f>metaASSETS[[#This Row],[Asset Name]]</f>
        <v>vitrail_01</v>
      </c>
      <c r="B5" s="87" t="str">
        <f>metaASSETS[[#This Row],[Type]]</f>
        <v>Asset</v>
      </c>
      <c r="D5" s="85" t="b">
        <v>0</v>
      </c>
      <c r="E5" s="186" t="s">
        <v>309</v>
      </c>
      <c r="F5" s="165" t="s">
        <v>12</v>
      </c>
      <c r="G5" s="87" t="s">
        <v>310</v>
      </c>
      <c r="H5" s="2" t="str">
        <f>IF(NOT(ISBLANK(design[[#This Row],[Commentaires]])), "Needs Fix",
    IF(design[[#This Row],[Review]]&lt;&gt;"inactive", design[[#This Row],[Review]],
        IF(design[[#This Row],[Progress]]=100%, "Pending Review",
            IF(AND(0%&lt;design[[#This Row],[Progress]], design[[#This Row],[Progress]]&lt;100%),  "In Progress", "Ready")
        )
    )
)</f>
        <v>Approved</v>
      </c>
      <c r="I5" s="2">
        <v>10</v>
      </c>
      <c r="J5" s="185">
        <v>1</v>
      </c>
      <c r="K5" s="185">
        <v>1</v>
      </c>
      <c r="L5" s="185">
        <v>1</v>
      </c>
      <c r="M5" s="6" cm="1">
        <f t="array" ref="M5">SUM(design[[#This Row],[rnd]:[clean]]*design_ponderation)</f>
        <v>1</v>
      </c>
      <c r="N5" s="84">
        <f>(1-design[[#This Row],[Progress]])*design[[#This Row],[Estimated]]</f>
        <v>0</v>
      </c>
      <c r="O5" s="188"/>
    </row>
    <row r="6" spans="1:15" ht="23.25" customHeight="1" x14ac:dyDescent="0.25">
      <c r="A6" s="174" t="str">
        <f>metaASSETS[[#This Row],[Asset Name]]</f>
        <v>vitrail_02</v>
      </c>
      <c r="B6" s="87" t="str">
        <f>metaASSETS[[#This Row],[Type]]</f>
        <v>Asset</v>
      </c>
      <c r="D6" s="85" t="b">
        <v>0</v>
      </c>
      <c r="E6" s="186" t="s">
        <v>309</v>
      </c>
      <c r="F6" s="165" t="s">
        <v>12</v>
      </c>
      <c r="G6" s="87" t="s">
        <v>310</v>
      </c>
      <c r="H6" s="2" t="str">
        <f>IF(NOT(ISBLANK(design[[#This Row],[Commentaires]])), "Needs Fix",
    IF(design[[#This Row],[Review]]&lt;&gt;"inactive", design[[#This Row],[Review]],
        IF(design[[#This Row],[Progress]]=100%, "Pending Review",
            IF(AND(0%&lt;design[[#This Row],[Progress]], design[[#This Row],[Progress]]&lt;100%),  "In Progress", "Ready")
        )
    )
)</f>
        <v>Approved</v>
      </c>
      <c r="I6" s="2">
        <v>10</v>
      </c>
      <c r="J6" s="185">
        <v>1</v>
      </c>
      <c r="K6" s="185">
        <v>1</v>
      </c>
      <c r="L6" s="185">
        <v>1</v>
      </c>
      <c r="M6" s="6" cm="1">
        <f t="array" ref="M6">SUM(design[[#This Row],[rnd]:[clean]]*design_ponderation)</f>
        <v>1</v>
      </c>
      <c r="N6" s="84">
        <f>(1-design[[#This Row],[Progress]])*design[[#This Row],[Estimated]]</f>
        <v>0</v>
      </c>
      <c r="O6" s="188"/>
    </row>
    <row r="7" spans="1:15" ht="23.25" customHeight="1" x14ac:dyDescent="0.25">
      <c r="A7" s="174" t="str">
        <f>metaASSETS[[#This Row],[Asset Name]]</f>
        <v>joan</v>
      </c>
      <c r="B7" s="87" t="str">
        <f>metaASSETS[[#This Row],[Type]]</f>
        <v>Character</v>
      </c>
      <c r="D7" s="85" t="b">
        <v>0</v>
      </c>
      <c r="E7" s="186" t="s">
        <v>309</v>
      </c>
      <c r="F7" s="165" t="s">
        <v>20</v>
      </c>
      <c r="G7" s="87" t="s">
        <v>311</v>
      </c>
      <c r="H7" s="2" t="str">
        <f>IF(NOT(ISBLANK(design[[#This Row],[Commentaires]])), "Needs Fix",
    IF(design[[#This Row],[Review]]&lt;&gt;"inactive", design[[#This Row],[Review]],
        IF(design[[#This Row],[Progress]]=100%, "Pending Review",
            IF(AND(0%&lt;design[[#This Row],[Progress]], design[[#This Row],[Progress]]&lt;100%),  "In Progress", "Ready")
        )
    )
)</f>
        <v>Approved</v>
      </c>
      <c r="I7" s="2">
        <v>0</v>
      </c>
      <c r="J7" s="185">
        <v>1</v>
      </c>
      <c r="K7" s="185">
        <v>1</v>
      </c>
      <c r="L7" s="185">
        <v>1</v>
      </c>
      <c r="M7" s="6" cm="1">
        <f t="array" ref="M7">SUM(design[[#This Row],[rnd]:[clean]]*design_ponderation)</f>
        <v>1</v>
      </c>
      <c r="N7" s="84">
        <f>(1-design[[#This Row],[Progress]])*design[[#This Row],[Estimated]]</f>
        <v>0</v>
      </c>
      <c r="O7" s="188"/>
    </row>
    <row r="8" spans="1:15" ht="23.25" customHeight="1" x14ac:dyDescent="0.25">
      <c r="A8" s="174" t="str">
        <f>metaASSETS[[#This Row],[Asset Name]]</f>
        <v>joan_01</v>
      </c>
      <c r="B8" s="87" t="str">
        <f>metaASSETS[[#This Row],[Type]]</f>
        <v>Character</v>
      </c>
      <c r="D8" s="85" t="b">
        <v>0</v>
      </c>
      <c r="E8" s="186" t="s">
        <v>309</v>
      </c>
      <c r="F8" s="165" t="s">
        <v>12</v>
      </c>
      <c r="G8" s="87" t="s">
        <v>311</v>
      </c>
      <c r="H8" s="2" t="str">
        <f>IF(NOT(ISBLANK(design[[#This Row],[Commentaires]])), "Needs Fix",
    IF(design[[#This Row],[Review]]&lt;&gt;"inactive", design[[#This Row],[Review]],
        IF(design[[#This Row],[Progress]]=100%, "Pending Review",
            IF(AND(0%&lt;design[[#This Row],[Progress]], design[[#This Row],[Progress]]&lt;100%),  "In Progress", "Ready")
        )
    )
)</f>
        <v>Approved</v>
      </c>
      <c r="I8" s="2">
        <v>10</v>
      </c>
      <c r="J8" s="185">
        <v>1</v>
      </c>
      <c r="K8" s="185">
        <v>1</v>
      </c>
      <c r="L8" s="185">
        <v>1</v>
      </c>
      <c r="M8" s="6" cm="1">
        <f t="array" ref="M8">SUM(design[[#This Row],[rnd]:[clean]]*design_ponderation)</f>
        <v>1</v>
      </c>
      <c r="N8" s="84">
        <f>(1-design[[#This Row],[Progress]])*design[[#This Row],[Estimated]]</f>
        <v>0</v>
      </c>
      <c r="O8" s="188"/>
    </row>
    <row r="9" spans="1:15" ht="23.25" customHeight="1" x14ac:dyDescent="0.25">
      <c r="A9" s="174" t="str">
        <f>metaASSETS[[#This Row],[Asset Name]]</f>
        <v>joan_dlbr</v>
      </c>
      <c r="B9" s="87" t="str">
        <f>metaASSETS[[#This Row],[Type]]</f>
        <v>Character</v>
      </c>
      <c r="D9" s="85" t="b">
        <v>0</v>
      </c>
      <c r="E9" s="186" t="s">
        <v>309</v>
      </c>
      <c r="F9" s="165" t="s">
        <v>12</v>
      </c>
      <c r="G9" s="87" t="s">
        <v>311</v>
      </c>
      <c r="H9" s="2" t="str">
        <f>IF(NOT(ISBLANK(design[[#This Row],[Commentaires]])), "Needs Fix",
    IF(design[[#This Row],[Review]]&lt;&gt;"inactive", design[[#This Row],[Review]],
        IF(design[[#This Row],[Progress]]=100%, "Pending Review",
            IF(AND(0%&lt;design[[#This Row],[Progress]], design[[#This Row],[Progress]]&lt;100%),  "In Progress", "Ready")
        )
    )
)</f>
        <v>Approved</v>
      </c>
      <c r="I9" s="2">
        <v>3</v>
      </c>
      <c r="J9" s="185">
        <v>1</v>
      </c>
      <c r="K9" s="185">
        <v>1</v>
      </c>
      <c r="L9" s="185">
        <v>1</v>
      </c>
      <c r="M9" s="6" cm="1">
        <f t="array" ref="M9">SUM(design[[#This Row],[rnd]:[clean]]*design_ponderation)</f>
        <v>1</v>
      </c>
      <c r="N9" s="84">
        <f>(1-design[[#This Row],[Progress]])*design[[#This Row],[Estimated]]</f>
        <v>0</v>
      </c>
      <c r="O9" s="188"/>
    </row>
    <row r="10" spans="1:15" ht="22.5" customHeight="1" x14ac:dyDescent="0.25">
      <c r="A10" s="174" t="str">
        <f>metaASSETS[[#This Row],[Asset Name]]</f>
        <v>knight</v>
      </c>
      <c r="B10" s="87" t="str">
        <f>metaASSETS[[#This Row],[Type]]</f>
        <v>Character</v>
      </c>
      <c r="D10" s="85" t="b">
        <v>0</v>
      </c>
      <c r="E10" s="186" t="s">
        <v>309</v>
      </c>
      <c r="F10" s="165" t="s">
        <v>14</v>
      </c>
      <c r="G10" s="87" t="s">
        <v>311</v>
      </c>
      <c r="H10" s="2" t="str">
        <f>IF(NOT(ISBLANK(design[[#This Row],[Commentaires]])), "Needs Fix",
    IF(design[[#This Row],[Review]]&lt;&gt;"inactive", design[[#This Row],[Review]],
        IF(design[[#This Row],[Progress]]=100%, "Pending Review",
            IF(AND(0%&lt;design[[#This Row],[Progress]], design[[#This Row],[Progress]]&lt;100%),  "In Progress", "Ready")
        )
    )
)</f>
        <v>Approved</v>
      </c>
      <c r="I10" s="2">
        <v>15</v>
      </c>
      <c r="J10" s="185">
        <v>1</v>
      </c>
      <c r="K10" s="185">
        <v>1</v>
      </c>
      <c r="L10" s="185">
        <v>1</v>
      </c>
      <c r="M10" s="6" cm="1">
        <f t="array" ref="M10">SUM(design[[#This Row],[rnd]:[clean]]*design_ponderation)</f>
        <v>1</v>
      </c>
      <c r="N10" s="84">
        <f>(1-design[[#This Row],[Progress]])*design[[#This Row],[Estimated]]</f>
        <v>0</v>
      </c>
      <c r="O10" s="188"/>
    </row>
    <row r="11" spans="1:15" ht="23.25" customHeight="1" x14ac:dyDescent="0.25">
      <c r="A11" s="174" t="str">
        <f>metaASSETS[[#This Row],[Asset Name]]</f>
        <v>L_arm</v>
      </c>
      <c r="B11" s="87" t="str">
        <f>metaASSETS[[#This Row],[Type]]</f>
        <v>Character</v>
      </c>
      <c r="D11" s="85" t="b">
        <v>0</v>
      </c>
      <c r="E11" s="186" t="s">
        <v>309</v>
      </c>
      <c r="F11" s="165" t="s">
        <v>20</v>
      </c>
      <c r="G11" s="87" t="s">
        <v>312</v>
      </c>
      <c r="H11" s="2" t="str">
        <f>IF(NOT(ISBLANK(design[[#This Row],[Commentaires]])), "Needs Fix",
    IF(design[[#This Row],[Review]]&lt;&gt;"inactive", design[[#This Row],[Review]],
        IF(design[[#This Row],[Progress]]=100%, "Pending Review",
            IF(AND(0%&lt;design[[#This Row],[Progress]], design[[#This Row],[Progress]]&lt;100%),  "In Progress", "Ready")
        )
    )
)</f>
        <v>Approved</v>
      </c>
      <c r="I11" s="2">
        <v>0</v>
      </c>
      <c r="J11" s="185">
        <v>1</v>
      </c>
      <c r="K11" s="185">
        <v>1</v>
      </c>
      <c r="L11" s="185">
        <v>1</v>
      </c>
      <c r="M11" s="6" cm="1">
        <f t="array" ref="M11">SUM(design[[#This Row],[rnd]:[clean]]*design_ponderation)</f>
        <v>1</v>
      </c>
      <c r="N11" s="84">
        <f>(1-design[[#This Row],[Progress]])*design[[#This Row],[Estimated]]</f>
        <v>0</v>
      </c>
      <c r="O11" s="188"/>
    </row>
    <row r="12" spans="1:15" ht="23.25" customHeight="1" x14ac:dyDescent="0.25">
      <c r="A12" s="174" t="str">
        <f>metaASSETS[[#This Row],[Asset Name]]</f>
        <v>L_leg</v>
      </c>
      <c r="B12" s="87" t="str">
        <f>metaASSETS[[#This Row],[Type]]</f>
        <v>Character</v>
      </c>
      <c r="D12" s="85" t="b">
        <v>0</v>
      </c>
      <c r="E12" s="186" t="s">
        <v>309</v>
      </c>
      <c r="F12" s="165" t="s">
        <v>20</v>
      </c>
      <c r="G12" s="87" t="s">
        <v>312</v>
      </c>
      <c r="H12" s="2" t="str">
        <f>IF(NOT(ISBLANK(design[[#This Row],[Commentaires]])), "Needs Fix",
    IF(design[[#This Row],[Review]]&lt;&gt;"inactive", design[[#This Row],[Review]],
        IF(design[[#This Row],[Progress]]=100%, "Pending Review",
            IF(AND(0%&lt;design[[#This Row],[Progress]], design[[#This Row],[Progress]]&lt;100%),  "In Progress", "Ready")
        )
    )
)</f>
        <v>Approved</v>
      </c>
      <c r="I12" s="2">
        <v>0</v>
      </c>
      <c r="J12" s="185">
        <v>1</v>
      </c>
      <c r="K12" s="185">
        <v>1</v>
      </c>
      <c r="L12" s="185">
        <v>1</v>
      </c>
      <c r="M12" s="6" cm="1">
        <f t="array" ref="M12">SUM(design[[#This Row],[rnd]:[clean]]*design_ponderation)</f>
        <v>1</v>
      </c>
      <c r="N12" s="84">
        <f>(1-design[[#This Row],[Progress]])*design[[#This Row],[Estimated]]</f>
        <v>0</v>
      </c>
      <c r="O12" s="188"/>
    </row>
    <row r="13" spans="1:15" ht="23.25" customHeight="1" x14ac:dyDescent="0.25">
      <c r="A13" s="174" t="str">
        <f>metaASSETS[[#This Row],[Asset Name]]</f>
        <v>R_arm</v>
      </c>
      <c r="B13" s="87" t="str">
        <f>metaASSETS[[#This Row],[Type]]</f>
        <v>Character</v>
      </c>
      <c r="D13" s="85" t="b">
        <v>0</v>
      </c>
      <c r="E13" s="186" t="s">
        <v>309</v>
      </c>
      <c r="F13" s="165" t="s">
        <v>20</v>
      </c>
      <c r="G13" s="87" t="s">
        <v>312</v>
      </c>
      <c r="H13" s="2" t="str">
        <f>IF(NOT(ISBLANK(design[[#This Row],[Commentaires]])), "Needs Fix",
    IF(design[[#This Row],[Review]]&lt;&gt;"inactive", design[[#This Row],[Review]],
        IF(design[[#This Row],[Progress]]=100%, "Pending Review",
            IF(AND(0%&lt;design[[#This Row],[Progress]], design[[#This Row],[Progress]]&lt;100%),  "In Progress", "Ready")
        )
    )
)</f>
        <v>Approved</v>
      </c>
      <c r="I13" s="2">
        <v>0</v>
      </c>
      <c r="J13" s="185">
        <v>1</v>
      </c>
      <c r="K13" s="185">
        <v>1</v>
      </c>
      <c r="L13" s="185">
        <v>1</v>
      </c>
      <c r="M13" s="6" cm="1">
        <f t="array" ref="M13">SUM(design[[#This Row],[rnd]:[clean]]*design_ponderation)</f>
        <v>1</v>
      </c>
      <c r="N13" s="84">
        <f>(1-design[[#This Row],[Progress]])*design[[#This Row],[Estimated]]</f>
        <v>0</v>
      </c>
      <c r="O13" s="188"/>
    </row>
    <row r="14" spans="1:15" ht="23.25" customHeight="1" x14ac:dyDescent="0.25">
      <c r="A14" s="174" t="str">
        <f>metaASSETS[[#This Row],[Asset Name]]</f>
        <v>R_leg</v>
      </c>
      <c r="B14" s="87" t="str">
        <f>metaASSETS[[#This Row],[Type]]</f>
        <v>Character</v>
      </c>
      <c r="D14" s="85" t="b">
        <v>0</v>
      </c>
      <c r="E14" s="186" t="s">
        <v>309</v>
      </c>
      <c r="F14" s="165" t="s">
        <v>20</v>
      </c>
      <c r="G14" s="87" t="s">
        <v>312</v>
      </c>
      <c r="H14" s="2" t="str">
        <f>IF(NOT(ISBLANK(design[[#This Row],[Commentaires]])), "Needs Fix",
    IF(design[[#This Row],[Review]]&lt;&gt;"inactive", design[[#This Row],[Review]],
        IF(design[[#This Row],[Progress]]=100%, "Pending Review",
            IF(AND(0%&lt;design[[#This Row],[Progress]], design[[#This Row],[Progress]]&lt;100%),  "In Progress", "Ready")
        )
    )
)</f>
        <v>Approved</v>
      </c>
      <c r="I14" s="2">
        <v>0</v>
      </c>
      <c r="J14" s="185">
        <v>1</v>
      </c>
      <c r="K14" s="185">
        <v>1</v>
      </c>
      <c r="L14" s="185">
        <v>1</v>
      </c>
      <c r="M14" s="6" cm="1">
        <f t="array" ref="M14">SUM(design[[#This Row],[rnd]:[clean]]*design_ponderation)</f>
        <v>1</v>
      </c>
      <c r="N14" s="84">
        <f>(1-design[[#This Row],[Progress]])*design[[#This Row],[Estimated]]</f>
        <v>0</v>
      </c>
      <c r="O14" s="188"/>
    </row>
    <row r="15" spans="1:15" ht="23.25" customHeight="1" x14ac:dyDescent="0.25">
      <c r="A15" s="174" t="str">
        <f>metaASSETS[[#This Row],[Asset Name]]</f>
        <v>soldier_01</v>
      </c>
      <c r="B15" s="87" t="str">
        <f>metaASSETS[[#This Row],[Type]]</f>
        <v>Character</v>
      </c>
      <c r="D15" s="85" t="b">
        <v>0</v>
      </c>
      <c r="E15" s="186" t="s">
        <v>309</v>
      </c>
      <c r="F15" s="165" t="s">
        <v>14</v>
      </c>
      <c r="G15" s="87" t="s">
        <v>312</v>
      </c>
      <c r="H15" s="2" t="str">
        <f>IF(NOT(ISBLANK(design[[#This Row],[Commentaires]])), "Needs Fix",
    IF(design[[#This Row],[Review]]&lt;&gt;"inactive", design[[#This Row],[Review]],
        IF(design[[#This Row],[Progress]]=100%, "Pending Review",
            IF(AND(0%&lt;design[[#This Row],[Progress]], design[[#This Row],[Progress]]&lt;100%),  "In Progress", "Ready")
        )
    )
)</f>
        <v>Approved</v>
      </c>
      <c r="I15" s="2">
        <v>0</v>
      </c>
      <c r="J15" s="185">
        <v>1</v>
      </c>
      <c r="K15" s="185">
        <v>1</v>
      </c>
      <c r="L15" s="185">
        <v>1</v>
      </c>
      <c r="M15" s="6" cm="1">
        <f t="array" ref="M15">SUM(design[[#This Row],[rnd]:[clean]]*design_ponderation)</f>
        <v>1</v>
      </c>
      <c r="N15" s="84">
        <f>(1-design[[#This Row],[Progress]])*design[[#This Row],[Estimated]]</f>
        <v>0</v>
      </c>
      <c r="O15" s="188"/>
    </row>
    <row r="16" spans="1:15" ht="23.25" customHeight="1" x14ac:dyDescent="0.25">
      <c r="A16" s="174" t="str">
        <f>metaASSETS[[#This Row],[Asset Name]]</f>
        <v>soldier_02</v>
      </c>
      <c r="B16" s="87" t="str">
        <f>metaASSETS[[#This Row],[Type]]</f>
        <v>Character</v>
      </c>
      <c r="D16" s="85" t="b">
        <v>0</v>
      </c>
      <c r="E16" s="186" t="s">
        <v>309</v>
      </c>
      <c r="F16" s="165" t="s">
        <v>14</v>
      </c>
      <c r="G16" s="87" t="s">
        <v>312</v>
      </c>
      <c r="H16" s="2" t="str">
        <f>IF(NOT(ISBLANK(design[[#This Row],[Commentaires]])), "Needs Fix",
    IF(design[[#This Row],[Review]]&lt;&gt;"inactive", design[[#This Row],[Review]],
        IF(design[[#This Row],[Progress]]=100%, "Pending Review",
            IF(AND(0%&lt;design[[#This Row],[Progress]], design[[#This Row],[Progress]]&lt;100%),  "In Progress", "Ready")
        )
    )
)</f>
        <v>Approved</v>
      </c>
      <c r="I16" s="2">
        <v>0</v>
      </c>
      <c r="J16" s="185">
        <v>1</v>
      </c>
      <c r="K16" s="185">
        <v>1</v>
      </c>
      <c r="L16" s="185">
        <v>1</v>
      </c>
      <c r="M16" s="6" cm="1">
        <f t="array" ref="M16">SUM(design[[#This Row],[rnd]:[clean]]*design_ponderation)</f>
        <v>1</v>
      </c>
      <c r="N16" s="84">
        <f>(1-design[[#This Row],[Progress]])*design[[#This Row],[Estimated]]</f>
        <v>0</v>
      </c>
      <c r="O16" s="188"/>
    </row>
    <row r="17" spans="1:15" ht="23.25" customHeight="1" x14ac:dyDescent="0.25">
      <c r="A17" s="174" t="str">
        <f>metaASSETS[[#This Row],[Asset Name]]</f>
        <v>soldier_03</v>
      </c>
      <c r="B17" s="87" t="str">
        <f>metaASSETS[[#This Row],[Type]]</f>
        <v>Character</v>
      </c>
      <c r="D17" s="85" t="b">
        <v>0</v>
      </c>
      <c r="E17" s="186" t="s">
        <v>309</v>
      </c>
      <c r="F17" s="165" t="s">
        <v>14</v>
      </c>
      <c r="G17" s="87" t="s">
        <v>312</v>
      </c>
      <c r="H17" s="2" t="str">
        <f>IF(NOT(ISBLANK(design[[#This Row],[Commentaires]])), "Needs Fix",
    IF(design[[#This Row],[Review]]&lt;&gt;"inactive", design[[#This Row],[Review]],
        IF(design[[#This Row],[Progress]]=100%, "Pending Review",
            IF(AND(0%&lt;design[[#This Row],[Progress]], design[[#This Row],[Progress]]&lt;100%),  "In Progress", "Ready")
        )
    )
)</f>
        <v>Approved</v>
      </c>
      <c r="I17" s="2">
        <v>0</v>
      </c>
      <c r="J17" s="185">
        <v>1</v>
      </c>
      <c r="K17" s="185">
        <v>1</v>
      </c>
      <c r="L17" s="185">
        <v>1</v>
      </c>
      <c r="M17" s="6" cm="1">
        <f t="array" ref="M17">SUM(design[[#This Row],[rnd]:[clean]]*design_ponderation)</f>
        <v>1</v>
      </c>
      <c r="N17" s="84">
        <f>(1-design[[#This Row],[Progress]])*design[[#This Row],[Estimated]]</f>
        <v>0</v>
      </c>
      <c r="O17" s="188"/>
    </row>
    <row r="18" spans="1:15" ht="23.25" customHeight="1" x14ac:dyDescent="0.25">
      <c r="A18" s="174" t="str">
        <f>metaASSETS[[#This Row],[Asset Name]]</f>
        <v>villager_01</v>
      </c>
      <c r="B18" s="87" t="str">
        <f>metaASSETS[[#This Row],[Type]]</f>
        <v>Character</v>
      </c>
      <c r="D18" s="85" t="b">
        <v>0</v>
      </c>
      <c r="E18" s="186" t="s">
        <v>309</v>
      </c>
      <c r="F18" s="165" t="s">
        <v>20</v>
      </c>
      <c r="G18" s="87" t="s">
        <v>312</v>
      </c>
      <c r="H18" s="2" t="str">
        <f>IF(NOT(ISBLANK(design[[#This Row],[Commentaires]])), "Needs Fix",
    IF(design[[#This Row],[Review]]&lt;&gt;"inactive", design[[#This Row],[Review]],
        IF(design[[#This Row],[Progress]]=100%, "Pending Review",
            IF(AND(0%&lt;design[[#This Row],[Progress]], design[[#This Row],[Progress]]&lt;100%),  "In Progress", "Ready")
        )
    )
)</f>
        <v>Approved</v>
      </c>
      <c r="I18" s="2">
        <v>2</v>
      </c>
      <c r="J18" s="185">
        <v>1</v>
      </c>
      <c r="K18" s="185">
        <v>1</v>
      </c>
      <c r="L18" s="185">
        <v>1</v>
      </c>
      <c r="M18" s="6" cm="1">
        <f t="array" ref="M18">SUM(design[[#This Row],[rnd]:[clean]]*design_ponderation)</f>
        <v>1</v>
      </c>
      <c r="N18" s="84">
        <f>(1-design[[#This Row],[Progress]])*design[[#This Row],[Estimated]]</f>
        <v>0</v>
      </c>
      <c r="O18" s="188"/>
    </row>
    <row r="19" spans="1:15" ht="23.25" customHeight="1" x14ac:dyDescent="0.25">
      <c r="A19" s="174" t="str">
        <f>metaASSETS[[#This Row],[Asset Name]]</f>
        <v>villager_02</v>
      </c>
      <c r="B19" s="87" t="str">
        <f>metaASSETS[[#This Row],[Type]]</f>
        <v>Character</v>
      </c>
      <c r="D19" s="85" t="b">
        <v>0</v>
      </c>
      <c r="E19" s="186" t="s">
        <v>309</v>
      </c>
      <c r="F19" s="165" t="s">
        <v>20</v>
      </c>
      <c r="G19" s="87" t="s">
        <v>312</v>
      </c>
      <c r="H19" s="2" t="str">
        <f>IF(NOT(ISBLANK(design[[#This Row],[Commentaires]])), "Needs Fix",
    IF(design[[#This Row],[Review]]&lt;&gt;"inactive", design[[#This Row],[Review]],
        IF(design[[#This Row],[Progress]]=100%, "Pending Review",
            IF(AND(0%&lt;design[[#This Row],[Progress]], design[[#This Row],[Progress]]&lt;100%),  "In Progress", "Ready")
        )
    )
)</f>
        <v>Approved</v>
      </c>
      <c r="I19" s="2">
        <v>1</v>
      </c>
      <c r="J19" s="185">
        <v>1</v>
      </c>
      <c r="K19" s="185">
        <v>1</v>
      </c>
      <c r="L19" s="185">
        <v>1</v>
      </c>
      <c r="M19" s="6" cm="1">
        <f t="array" ref="M19">SUM(design[[#This Row],[rnd]:[clean]]*design_ponderation)</f>
        <v>1</v>
      </c>
      <c r="N19" s="84">
        <f>(1-design[[#This Row],[Progress]])*design[[#This Row],[Estimated]]</f>
        <v>0</v>
      </c>
      <c r="O19" s="188"/>
    </row>
    <row r="20" spans="1:15" ht="23.25" customHeight="1" x14ac:dyDescent="0.25">
      <c r="A20" s="174" t="str">
        <f>metaASSETS[[#This Row],[Asset Name]]</f>
        <v>villager_03</v>
      </c>
      <c r="B20" s="87" t="str">
        <f>metaASSETS[[#This Row],[Type]]</f>
        <v>Character</v>
      </c>
      <c r="D20" s="85" t="b">
        <v>0</v>
      </c>
      <c r="E20" s="186" t="s">
        <v>309</v>
      </c>
      <c r="F20" s="165" t="s">
        <v>20</v>
      </c>
      <c r="G20" s="87" t="s">
        <v>312</v>
      </c>
      <c r="H20" s="2" t="str">
        <f>IF(NOT(ISBLANK(design[[#This Row],[Commentaires]])), "Needs Fix",
    IF(design[[#This Row],[Review]]&lt;&gt;"inactive", design[[#This Row],[Review]],
        IF(design[[#This Row],[Progress]]=100%, "Pending Review",
            IF(AND(0%&lt;design[[#This Row],[Progress]], design[[#This Row],[Progress]]&lt;100%),  "In Progress", "Ready")
        )
    )
)</f>
        <v>Approved</v>
      </c>
      <c r="I20" s="2">
        <v>1</v>
      </c>
      <c r="J20" s="185">
        <v>1</v>
      </c>
      <c r="K20" s="185">
        <v>1</v>
      </c>
      <c r="L20" s="185">
        <v>1</v>
      </c>
      <c r="M20" s="6" cm="1">
        <f t="array" ref="M20">SUM(design[[#This Row],[rnd]:[clean]]*design_ponderation)</f>
        <v>1</v>
      </c>
      <c r="N20" s="84">
        <f>(1-design[[#This Row],[Progress]])*design[[#This Row],[Estimated]]</f>
        <v>0</v>
      </c>
      <c r="O20" s="188"/>
    </row>
    <row r="21" spans="1:15" ht="23.25" customHeight="1" x14ac:dyDescent="0.25">
      <c r="A21" s="174" t="str">
        <f>metaASSETS[[#This Row],[Asset Name]]</f>
        <v>villager_04</v>
      </c>
      <c r="B21" s="87" t="str">
        <f>metaASSETS[[#This Row],[Type]]</f>
        <v>Character</v>
      </c>
      <c r="D21" s="85" t="b">
        <v>0</v>
      </c>
      <c r="E21" s="186" t="s">
        <v>309</v>
      </c>
      <c r="F21" s="165" t="s">
        <v>20</v>
      </c>
      <c r="G21" s="87" t="s">
        <v>312</v>
      </c>
      <c r="H21" s="2" t="str">
        <f>IF(NOT(ISBLANK(design[[#This Row],[Commentaires]])), "Needs Fix",
    IF(design[[#This Row],[Review]]&lt;&gt;"inactive", design[[#This Row],[Review]],
        IF(design[[#This Row],[Progress]]=100%, "Pending Review",
            IF(AND(0%&lt;design[[#This Row],[Progress]], design[[#This Row],[Progress]]&lt;100%),  "In Progress", "Ready")
        )
    )
)</f>
        <v>Approved</v>
      </c>
      <c r="I21" s="2">
        <v>1</v>
      </c>
      <c r="J21" s="185">
        <v>1</v>
      </c>
      <c r="K21" s="185">
        <v>1</v>
      </c>
      <c r="L21" s="185">
        <v>1</v>
      </c>
      <c r="M21" s="6" cm="1">
        <f t="array" ref="M21">SUM(design[[#This Row],[rnd]:[clean]]*design_ponderation)</f>
        <v>1</v>
      </c>
      <c r="N21" s="84">
        <f>(1-design[[#This Row],[Progress]])*design[[#This Row],[Estimated]]</f>
        <v>0</v>
      </c>
      <c r="O21" s="188"/>
    </row>
    <row r="22" spans="1:15" ht="23.25" customHeight="1" x14ac:dyDescent="0.25">
      <c r="A22" s="174" t="str">
        <f>metaASSETS[[#This Row],[Asset Name]]</f>
        <v>villager_05</v>
      </c>
      <c r="B22" s="87" t="str">
        <f>metaASSETS[[#This Row],[Type]]</f>
        <v>Character</v>
      </c>
      <c r="D22" s="85" t="b">
        <v>0</v>
      </c>
      <c r="E22" s="186" t="s">
        <v>309</v>
      </c>
      <c r="F22" s="165" t="s">
        <v>20</v>
      </c>
      <c r="G22" s="87" t="s">
        <v>312</v>
      </c>
      <c r="H22" s="2" t="str">
        <f>IF(NOT(ISBLANK(design[[#This Row],[Commentaires]])), "Needs Fix",
    IF(design[[#This Row],[Review]]&lt;&gt;"inactive", design[[#This Row],[Review]],
        IF(design[[#This Row],[Progress]]=100%, "Pending Review",
            IF(AND(0%&lt;design[[#This Row],[Progress]], design[[#This Row],[Progress]]&lt;100%),  "In Progress", "Ready")
        )
    )
)</f>
        <v>Approved</v>
      </c>
      <c r="I22" s="2">
        <v>1</v>
      </c>
      <c r="J22" s="185">
        <v>1</v>
      </c>
      <c r="K22" s="185">
        <v>1</v>
      </c>
      <c r="L22" s="185">
        <v>1</v>
      </c>
      <c r="M22" s="6" cm="1">
        <f t="array" ref="M22">SUM(design[[#This Row],[rnd]:[clean]]*design_ponderation)</f>
        <v>1</v>
      </c>
      <c r="N22" s="84">
        <f>(1-design[[#This Row],[Progress]])*design[[#This Row],[Estimated]]</f>
        <v>0</v>
      </c>
      <c r="O22" s="188"/>
    </row>
    <row r="23" spans="1:15" ht="23.25" customHeight="1" x14ac:dyDescent="0.25">
      <c r="A23" s="174" t="str">
        <f>metaASSETS[[#This Row],[Asset Name]]</f>
        <v>villager_06</v>
      </c>
      <c r="B23" s="87" t="str">
        <f>metaASSETS[[#This Row],[Type]]</f>
        <v>Character</v>
      </c>
      <c r="D23" s="85" t="b">
        <v>0</v>
      </c>
      <c r="E23" s="186" t="s">
        <v>309</v>
      </c>
      <c r="F23" s="165" t="s">
        <v>20</v>
      </c>
      <c r="G23" s="87" t="s">
        <v>312</v>
      </c>
      <c r="H23" s="2" t="str">
        <f>IF(NOT(ISBLANK(design[[#This Row],[Commentaires]])), "Needs Fix",
    IF(design[[#This Row],[Review]]&lt;&gt;"inactive", design[[#This Row],[Review]],
        IF(design[[#This Row],[Progress]]=100%, "Pending Review",
            IF(AND(0%&lt;design[[#This Row],[Progress]], design[[#This Row],[Progress]]&lt;100%),  "In Progress", "Ready")
        )
    )
)</f>
        <v>Approved</v>
      </c>
      <c r="I23" s="2">
        <v>1</v>
      </c>
      <c r="J23" s="185">
        <v>1</v>
      </c>
      <c r="K23" s="185">
        <v>1</v>
      </c>
      <c r="L23" s="185">
        <v>1</v>
      </c>
      <c r="M23" s="6" cm="1">
        <f t="array" ref="M23">SUM(design[[#This Row],[rnd]:[clean]]*design_ponderation)</f>
        <v>1</v>
      </c>
      <c r="N23" s="84">
        <f>(1-design[[#This Row],[Progress]])*design[[#This Row],[Estimated]]</f>
        <v>0</v>
      </c>
      <c r="O23" s="188"/>
    </row>
    <row r="24" spans="1:15" ht="23.25" customHeight="1" x14ac:dyDescent="0.25">
      <c r="A24" s="174" t="str">
        <f>metaASSETS[[#This Row],[Asset Name]]</f>
        <v>villager_07</v>
      </c>
      <c r="B24" s="87" t="str">
        <f>metaASSETS[[#This Row],[Type]]</f>
        <v>Character</v>
      </c>
      <c r="D24" s="85" t="b">
        <v>0</v>
      </c>
      <c r="E24" s="186" t="s">
        <v>309</v>
      </c>
      <c r="F24" s="165" t="s">
        <v>20</v>
      </c>
      <c r="G24" s="87" t="s">
        <v>312</v>
      </c>
      <c r="H24" s="2" t="str">
        <f>IF(NOT(ISBLANK(design[[#This Row],[Commentaires]])), "Needs Fix",
    IF(design[[#This Row],[Review]]&lt;&gt;"inactive", design[[#This Row],[Review]],
        IF(design[[#This Row],[Progress]]=100%, "Pending Review",
            IF(AND(0%&lt;design[[#This Row],[Progress]], design[[#This Row],[Progress]]&lt;100%),  "In Progress", "Ready")
        )
    )
)</f>
        <v>Approved</v>
      </c>
      <c r="I24" s="2">
        <v>1</v>
      </c>
      <c r="J24" s="185">
        <v>1</v>
      </c>
      <c r="K24" s="185">
        <v>1</v>
      </c>
      <c r="L24" s="185">
        <v>1</v>
      </c>
      <c r="M24" s="6" cm="1">
        <f t="array" ref="M24">SUM(design[[#This Row],[rnd]:[clean]]*design_ponderation)</f>
        <v>1</v>
      </c>
      <c r="N24" s="84">
        <f>(1-design[[#This Row],[Progress]])*design[[#This Row],[Estimated]]</f>
        <v>0</v>
      </c>
      <c r="O24" s="188"/>
    </row>
    <row r="25" spans="1:15" ht="23.25" customHeight="1" x14ac:dyDescent="0.25">
      <c r="A25" s="174" t="str">
        <f>metaASSETS[[#This Row],[Asset Name]]</f>
        <v>army_eng</v>
      </c>
      <c r="B25" s="87" t="str">
        <f>metaASSETS[[#This Row],[Type]]</f>
        <v>Crowd</v>
      </c>
      <c r="D25" s="85" t="b">
        <v>0</v>
      </c>
      <c r="E25" s="186" t="s">
        <v>309</v>
      </c>
      <c r="F25" s="165" t="s">
        <v>12</v>
      </c>
      <c r="G25" s="87" t="s">
        <v>310</v>
      </c>
      <c r="H25" s="2" t="str">
        <f>IF(NOT(ISBLANK(design[[#This Row],[Commentaires]])), "Needs Fix",
    IF(design[[#This Row],[Review]]&lt;&gt;"inactive", design[[#This Row],[Review]],
        IF(design[[#This Row],[Progress]]=100%, "Pending Review",
            IF(AND(0%&lt;design[[#This Row],[Progress]], design[[#This Row],[Progress]]&lt;100%),  "In Progress", "Ready")
        )
    )
)</f>
        <v>Approved</v>
      </c>
      <c r="I25" s="2">
        <v>5</v>
      </c>
      <c r="J25" s="185">
        <v>1</v>
      </c>
      <c r="K25" s="185">
        <v>1</v>
      </c>
      <c r="L25" s="185">
        <v>1</v>
      </c>
      <c r="M25" s="6" cm="1">
        <f t="array" ref="M25">SUM(design[[#This Row],[rnd]:[clean]]*design_ponderation)</f>
        <v>1</v>
      </c>
      <c r="N25" s="84">
        <f>(1-design[[#This Row],[Progress]])*design[[#This Row],[Estimated]]</f>
        <v>0</v>
      </c>
      <c r="O25" s="188"/>
    </row>
    <row r="26" spans="1:15" ht="23.25" customHeight="1" x14ac:dyDescent="0.25">
      <c r="A26" s="174" t="str">
        <f>metaASSETS[[#This Row],[Asset Name]]</f>
        <v>army_fr</v>
      </c>
      <c r="B26" s="87" t="str">
        <f>metaASSETS[[#This Row],[Type]]</f>
        <v>Crowd</v>
      </c>
      <c r="D26" s="85" t="b">
        <v>0</v>
      </c>
      <c r="E26" s="186" t="s">
        <v>309</v>
      </c>
      <c r="F26" s="165" t="s">
        <v>20</v>
      </c>
      <c r="G26" s="87" t="s">
        <v>313</v>
      </c>
      <c r="H26" s="2" t="str">
        <f>IF(NOT(ISBLANK(design[[#This Row],[Commentaires]])), "Needs Fix",
    IF(design[[#This Row],[Review]]&lt;&gt;"inactive", design[[#This Row],[Review]],
        IF(design[[#This Row],[Progress]]=100%, "Pending Review",
            IF(AND(0%&lt;design[[#This Row],[Progress]], design[[#This Row],[Progress]]&lt;100%),  "In Progress", "Ready")
        )
    )
)</f>
        <v>Approved</v>
      </c>
      <c r="I26" s="2">
        <v>5</v>
      </c>
      <c r="J26" s="185">
        <v>1</v>
      </c>
      <c r="K26" s="185">
        <v>1</v>
      </c>
      <c r="L26" s="185">
        <v>1</v>
      </c>
      <c r="M26" s="6" cm="1">
        <f t="array" ref="M26">SUM(design[[#This Row],[rnd]:[clean]]*design_ponderation)</f>
        <v>1</v>
      </c>
      <c r="N26" s="84">
        <f>(1-design[[#This Row],[Progress]])*design[[#This Row],[Estimated]]</f>
        <v>0</v>
      </c>
      <c r="O26" s="188"/>
    </row>
    <row r="27" spans="1:15" ht="23.25" customHeight="1" x14ac:dyDescent="0.25">
      <c r="A27" s="174" t="str">
        <f>metaASSETS[[#This Row],[Asset Name]]</f>
        <v>crowd_01</v>
      </c>
      <c r="B27" s="87" t="str">
        <f>metaASSETS[[#This Row],[Type]]</f>
        <v>Crowd</v>
      </c>
      <c r="D27" s="85" t="b">
        <v>0</v>
      </c>
      <c r="E27" s="186" t="s">
        <v>309</v>
      </c>
      <c r="F27" s="165" t="s">
        <v>20</v>
      </c>
      <c r="G27" s="87" t="s">
        <v>313</v>
      </c>
      <c r="H27" s="2" t="str">
        <f>IF(NOT(ISBLANK(design[[#This Row],[Commentaires]])), "Needs Fix",
    IF(design[[#This Row],[Review]]&lt;&gt;"inactive", design[[#This Row],[Review]],
        IF(design[[#This Row],[Progress]]=100%, "Pending Review",
            IF(AND(0%&lt;design[[#This Row],[Progress]], design[[#This Row],[Progress]]&lt;100%),  "In Progress", "Ready")
        )
    )
)</f>
        <v>Approved</v>
      </c>
      <c r="I27" s="2">
        <v>3</v>
      </c>
      <c r="J27" s="185">
        <v>1</v>
      </c>
      <c r="K27" s="185">
        <v>1</v>
      </c>
      <c r="L27" s="185">
        <v>1</v>
      </c>
      <c r="M27" s="6" cm="1">
        <f t="array" ref="M27">SUM(design[[#This Row],[rnd]:[clean]]*design_ponderation)</f>
        <v>1</v>
      </c>
      <c r="N27" s="84">
        <f>(1-design[[#This Row],[Progress]])*design[[#This Row],[Estimated]]</f>
        <v>0</v>
      </c>
      <c r="O27" s="188"/>
    </row>
    <row r="28" spans="1:15" ht="23.25" customHeight="1" x14ac:dyDescent="0.25">
      <c r="A28" s="174" t="str">
        <f>metaASSETS[[#This Row],[Asset Name]]</f>
        <v>crowd_02</v>
      </c>
      <c r="B28" s="87" t="str">
        <f>metaASSETS[[#This Row],[Type]]</f>
        <v>Crowd</v>
      </c>
      <c r="D28" s="85" t="b">
        <v>0</v>
      </c>
      <c r="E28" s="186" t="s">
        <v>309</v>
      </c>
      <c r="F28" s="165" t="s">
        <v>20</v>
      </c>
      <c r="G28" s="87" t="s">
        <v>313</v>
      </c>
      <c r="H28" s="2" t="str">
        <f>IF(NOT(ISBLANK(design[[#This Row],[Commentaires]])), "Needs Fix",
    IF(design[[#This Row],[Review]]&lt;&gt;"inactive", design[[#This Row],[Review]],
        IF(design[[#This Row],[Progress]]=100%, "Pending Review",
            IF(AND(0%&lt;design[[#This Row],[Progress]], design[[#This Row],[Progress]]&lt;100%),  "In Progress", "Ready")
        )
    )
)</f>
        <v>Approved</v>
      </c>
      <c r="I28" s="2">
        <v>2</v>
      </c>
      <c r="J28" s="185">
        <v>1</v>
      </c>
      <c r="K28" s="185">
        <v>1</v>
      </c>
      <c r="L28" s="185">
        <v>1</v>
      </c>
      <c r="M28" s="6" cm="1">
        <f t="array" ref="M28">SUM(design[[#This Row],[rnd]:[clean]]*design_ponderation)</f>
        <v>1</v>
      </c>
      <c r="N28" s="84">
        <f>(1-design[[#This Row],[Progress]])*design[[#This Row],[Estimated]]</f>
        <v>0</v>
      </c>
      <c r="O28" s="188"/>
    </row>
    <row r="29" spans="1:15" ht="23.25" customHeight="1" x14ac:dyDescent="0.25">
      <c r="A29" s="174" t="str">
        <f>metaASSETS[[#This Row],[Asset Name]]</f>
        <v>crowd_03</v>
      </c>
      <c r="B29" s="87" t="str">
        <f>metaASSETS[[#This Row],[Type]]</f>
        <v>Crowd</v>
      </c>
      <c r="D29" s="85" t="b">
        <v>0</v>
      </c>
      <c r="E29" s="186" t="s">
        <v>309</v>
      </c>
      <c r="F29" s="165" t="s">
        <v>20</v>
      </c>
      <c r="G29" s="87" t="s">
        <v>313</v>
      </c>
      <c r="H29" s="2" t="str">
        <f>IF(NOT(ISBLANK(design[[#This Row],[Commentaires]])), "Needs Fix",
    IF(design[[#This Row],[Review]]&lt;&gt;"inactive", design[[#This Row],[Review]],
        IF(design[[#This Row],[Progress]]=100%, "Pending Review",
            IF(AND(0%&lt;design[[#This Row],[Progress]], design[[#This Row],[Progress]]&lt;100%),  "In Progress", "Ready")
        )
    )
)</f>
        <v>Approved</v>
      </c>
      <c r="I29" s="2">
        <v>5</v>
      </c>
      <c r="J29" s="185">
        <v>1</v>
      </c>
      <c r="K29" s="185">
        <v>1</v>
      </c>
      <c r="L29" s="185">
        <v>1</v>
      </c>
      <c r="M29" s="6" cm="1">
        <f t="array" ref="M29">SUM(design[[#This Row],[rnd]:[clean]]*design_ponderation)</f>
        <v>1</v>
      </c>
      <c r="N29" s="84">
        <f>(1-design[[#This Row],[Progress]])*design[[#This Row],[Estimated]]</f>
        <v>0</v>
      </c>
      <c r="O29" s="188"/>
    </row>
    <row r="30" spans="1:15" ht="23.25" customHeight="1" x14ac:dyDescent="0.25">
      <c r="A30" s="174" t="str">
        <f>metaASSETS[[#This Row],[Asset Name]]</f>
        <v>bucher</v>
      </c>
      <c r="B30" s="87" t="str">
        <f>metaASSETS[[#This Row],[Type]]</f>
        <v>Environment</v>
      </c>
      <c r="D30" s="85" t="b">
        <v>0</v>
      </c>
      <c r="E30" s="186" t="s">
        <v>309</v>
      </c>
      <c r="F30" s="165" t="s">
        <v>20</v>
      </c>
      <c r="G30" s="87" t="s">
        <v>313</v>
      </c>
      <c r="H30" s="2" t="str">
        <f>IF(NOT(ISBLANK(design[[#This Row],[Commentaires]])), "Needs Fix",
    IF(design[[#This Row],[Review]]&lt;&gt;"inactive", design[[#This Row],[Review]],
        IF(design[[#This Row],[Progress]]=100%, "Pending Review",
            IF(AND(0%&lt;design[[#This Row],[Progress]], design[[#This Row],[Progress]]&lt;100%),  "In Progress", "Ready")
        )
    )
)</f>
        <v>Approved</v>
      </c>
      <c r="I30" s="2">
        <v>5</v>
      </c>
      <c r="J30" s="185">
        <v>1</v>
      </c>
      <c r="K30" s="185">
        <v>1</v>
      </c>
      <c r="L30" s="185">
        <v>1</v>
      </c>
      <c r="M30" s="6" cm="1">
        <f t="array" ref="M30">SUM(design[[#This Row],[rnd]:[clean]]*design_ponderation)</f>
        <v>1</v>
      </c>
      <c r="N30" s="84">
        <f>(1-design[[#This Row],[Progress]])*design[[#This Row],[Estimated]]</f>
        <v>0</v>
      </c>
      <c r="O30" s="188"/>
    </row>
    <row r="31" spans="1:15" ht="23.25" customHeight="1" x14ac:dyDescent="0.25">
      <c r="A31" s="174" t="str">
        <f>metaASSETS[[#This Row],[Asset Name]]</f>
        <v>church_ext</v>
      </c>
      <c r="B31" s="87" t="str">
        <f>metaASSETS[[#This Row],[Type]]</f>
        <v>Environment</v>
      </c>
      <c r="D31" s="85" t="b">
        <v>0</v>
      </c>
      <c r="E31" s="186" t="s">
        <v>309</v>
      </c>
      <c r="F31" s="165" t="s">
        <v>20</v>
      </c>
      <c r="G31" s="87" t="s">
        <v>311</v>
      </c>
      <c r="H31" s="2" t="str">
        <f>IF(NOT(ISBLANK(design[[#This Row],[Commentaires]])), "Needs Fix",
    IF(design[[#This Row],[Review]]&lt;&gt;"inactive", design[[#This Row],[Review]],
        IF(design[[#This Row],[Progress]]=100%, "Pending Review",
            IF(AND(0%&lt;design[[#This Row],[Progress]], design[[#This Row],[Progress]]&lt;100%),  "In Progress", "Ready")
        )
    )
)</f>
        <v>Approved</v>
      </c>
      <c r="I31" s="2">
        <v>10</v>
      </c>
      <c r="J31" s="185">
        <v>1</v>
      </c>
      <c r="K31" s="185">
        <v>1</v>
      </c>
      <c r="L31" s="185">
        <v>1</v>
      </c>
      <c r="M31" s="6" cm="1">
        <f t="array" ref="M31">SUM(design[[#This Row],[rnd]:[clean]]*design_ponderation)</f>
        <v>1</v>
      </c>
      <c r="N31" s="84">
        <f>(1-design[[#This Row],[Progress]])*design[[#This Row],[Estimated]]</f>
        <v>0</v>
      </c>
      <c r="O31" s="188"/>
    </row>
    <row r="32" spans="1:15" ht="23.25" customHeight="1" x14ac:dyDescent="0.25">
      <c r="A32" s="175" t="str">
        <f>metaASSETS[[#This Row],[Asset Name]]</f>
        <v>church_int</v>
      </c>
      <c r="B32" s="8" t="str">
        <f>metaASSETS[[#This Row],[Type]]</f>
        <v>Environment</v>
      </c>
      <c r="D32" s="85" t="b">
        <v>0</v>
      </c>
      <c r="E32" s="186" t="s">
        <v>309</v>
      </c>
      <c r="F32" s="165" t="s">
        <v>20</v>
      </c>
      <c r="G32" s="8" t="s">
        <v>311</v>
      </c>
      <c r="H32" s="2" t="str">
        <f>IF(NOT(ISBLANK(design[[#This Row],[Commentaires]])), "Needs Fix",
    IF(design[[#This Row],[Review]]&lt;&gt;"inactive", design[[#This Row],[Review]],
        IF(design[[#This Row],[Progress]]=100%, "Pending Review",
            IF(AND(0%&lt;design[[#This Row],[Progress]], design[[#This Row],[Progress]]&lt;100%),  "In Progress", "Ready")
        )
    )
)</f>
        <v>Approved</v>
      </c>
      <c r="I32" s="2">
        <v>10</v>
      </c>
      <c r="J32" s="185">
        <v>1</v>
      </c>
      <c r="K32" s="185">
        <v>1</v>
      </c>
      <c r="L32" s="185">
        <v>1</v>
      </c>
      <c r="M32" s="6" cm="1">
        <f t="array" ref="M32">SUM(design[[#This Row],[rnd]:[clean]]*design_ponderation)</f>
        <v>1</v>
      </c>
      <c r="N32" s="84">
        <f>(1-design[[#This Row],[Progress]])*design[[#This Row],[Estimated]]</f>
        <v>0</v>
      </c>
      <c r="O32" s="189"/>
    </row>
    <row r="33" spans="1:15" ht="23.25" customHeight="1" x14ac:dyDescent="0.25">
      <c r="A33" s="175" t="str">
        <f>metaASSETS[[#This Row],[Asset Name]]</f>
        <v>door_01</v>
      </c>
      <c r="B33" s="8" t="str">
        <f>metaASSETS[[#This Row],[Type]]</f>
        <v>Environment</v>
      </c>
      <c r="D33" s="85" t="b">
        <v>0</v>
      </c>
      <c r="E33" s="186" t="s">
        <v>309</v>
      </c>
      <c r="F33" s="165" t="s">
        <v>12</v>
      </c>
      <c r="G33" s="8" t="s">
        <v>311</v>
      </c>
      <c r="H33" s="2" t="str">
        <f>IF(NOT(ISBLANK(design[[#This Row],[Commentaires]])), "Needs Fix",
    IF(design[[#This Row],[Review]]&lt;&gt;"inactive", design[[#This Row],[Review]],
        IF(design[[#This Row],[Progress]]=100%, "Pending Review",
            IF(AND(0%&lt;design[[#This Row],[Progress]], design[[#This Row],[Progress]]&lt;100%),  "In Progress", "Ready")
        )
    )
)</f>
        <v>Approved</v>
      </c>
      <c r="I33" s="2">
        <v>0.5</v>
      </c>
      <c r="J33" s="185">
        <v>1</v>
      </c>
      <c r="K33" s="185">
        <v>1</v>
      </c>
      <c r="L33" s="185">
        <v>1</v>
      </c>
      <c r="M33" s="6" cm="1">
        <f t="array" ref="M33">SUM(design[[#This Row],[rnd]:[clean]]*design_ponderation)</f>
        <v>1</v>
      </c>
      <c r="N33" s="84">
        <f>(1-design[[#This Row],[Progress]])*design[[#This Row],[Estimated]]</f>
        <v>0</v>
      </c>
      <c r="O33" s="189"/>
    </row>
    <row r="34" spans="1:15" ht="23.25" customHeight="1" x14ac:dyDescent="0.25">
      <c r="A34" s="175" t="str">
        <f>metaASSETS[[#This Row],[Asset Name]]</f>
        <v>door_02</v>
      </c>
      <c r="B34" s="8" t="str">
        <f>metaASSETS[[#This Row],[Type]]</f>
        <v>Environment</v>
      </c>
      <c r="D34" s="85" t="b">
        <v>0</v>
      </c>
      <c r="E34" s="186" t="s">
        <v>309</v>
      </c>
      <c r="F34" s="165" t="s">
        <v>20</v>
      </c>
      <c r="G34" s="166" t="s">
        <v>312</v>
      </c>
      <c r="H34" s="2" t="str">
        <f>IF(NOT(ISBLANK(design[[#This Row],[Commentaires]])), "Needs Fix",
    IF(design[[#This Row],[Review]]&lt;&gt;"inactive", design[[#This Row],[Review]],
        IF(design[[#This Row],[Progress]]=100%, "Pending Review",
            IF(AND(0%&lt;design[[#This Row],[Progress]], design[[#This Row],[Progress]]&lt;100%),  "In Progress", "Ready")
        )
    )
)</f>
        <v>Approved</v>
      </c>
      <c r="I34" s="2">
        <v>0.5</v>
      </c>
      <c r="J34" s="185">
        <v>1</v>
      </c>
      <c r="K34" s="185">
        <v>1</v>
      </c>
      <c r="L34" s="185">
        <v>1</v>
      </c>
      <c r="M34" s="6" cm="1">
        <f t="array" ref="M34">SUM(design[[#This Row],[rnd]:[clean]]*design_ponderation)</f>
        <v>1</v>
      </c>
      <c r="N34" s="84">
        <f>(1-design[[#This Row],[Progress]])*design[[#This Row],[Estimated]]</f>
        <v>0</v>
      </c>
      <c r="O34" s="189"/>
    </row>
    <row r="35" spans="1:15" ht="23.25" customHeight="1" x14ac:dyDescent="0.25">
      <c r="A35" s="175" t="str">
        <f>metaASSETS[[#This Row],[Asset Name]]</f>
        <v>door_03</v>
      </c>
      <c r="B35" s="8" t="str">
        <f>metaASSETS[[#This Row],[Type]]</f>
        <v>Environment</v>
      </c>
      <c r="D35" s="85" t="b">
        <v>0</v>
      </c>
      <c r="E35" s="186" t="s">
        <v>309</v>
      </c>
      <c r="F35" s="165" t="s">
        <v>20</v>
      </c>
      <c r="G35" s="166" t="s">
        <v>312</v>
      </c>
      <c r="H35" s="2" t="str">
        <f>IF(NOT(ISBLANK(design[[#This Row],[Commentaires]])), "Needs Fix",
    IF(design[[#This Row],[Review]]&lt;&gt;"inactive", design[[#This Row],[Review]],
        IF(design[[#This Row],[Progress]]=100%, "Pending Review",
            IF(AND(0%&lt;design[[#This Row],[Progress]], design[[#This Row],[Progress]]&lt;100%),  "In Progress", "Ready")
        )
    )
)</f>
        <v>Approved</v>
      </c>
      <c r="I35" s="2">
        <v>0.5</v>
      </c>
      <c r="J35" s="185">
        <v>1</v>
      </c>
      <c r="K35" s="185">
        <v>1</v>
      </c>
      <c r="L35" s="185">
        <v>1</v>
      </c>
      <c r="M35" s="6" cm="1">
        <f t="array" ref="M35">SUM(design[[#This Row],[rnd]:[clean]]*design_ponderation)</f>
        <v>1</v>
      </c>
      <c r="N35" s="84">
        <f>(1-design[[#This Row],[Progress]])*design[[#This Row],[Estimated]]</f>
        <v>0</v>
      </c>
      <c r="O35" s="189"/>
    </row>
    <row r="36" spans="1:15" ht="23.25" customHeight="1" x14ac:dyDescent="0.25">
      <c r="A36" s="175" t="str">
        <f>metaASSETS[[#This Row],[Asset Name]]</f>
        <v>door_04</v>
      </c>
      <c r="B36" s="8" t="str">
        <f>metaASSETS[[#This Row],[Type]]</f>
        <v>Environment</v>
      </c>
      <c r="D36" s="85" t="b">
        <v>0</v>
      </c>
      <c r="E36" s="186" t="s">
        <v>309</v>
      </c>
      <c r="F36" s="165" t="s">
        <v>20</v>
      </c>
      <c r="G36" s="166" t="s">
        <v>312</v>
      </c>
      <c r="H36" s="2" t="str">
        <f>IF(NOT(ISBLANK(design[[#This Row],[Commentaires]])), "Needs Fix",
    IF(design[[#This Row],[Review]]&lt;&gt;"inactive", design[[#This Row],[Review]],
        IF(design[[#This Row],[Progress]]=100%, "Pending Review",
            IF(AND(0%&lt;design[[#This Row],[Progress]], design[[#This Row],[Progress]]&lt;100%),  "In Progress", "Ready")
        )
    )
)</f>
        <v>Approved</v>
      </c>
      <c r="I36" s="2">
        <v>0.5</v>
      </c>
      <c r="J36" s="185">
        <v>1</v>
      </c>
      <c r="K36" s="185">
        <v>1</v>
      </c>
      <c r="L36" s="185">
        <v>1</v>
      </c>
      <c r="M36" s="6" cm="1">
        <f t="array" ref="M36">SUM(design[[#This Row],[rnd]:[clean]]*design_ponderation)</f>
        <v>1</v>
      </c>
      <c r="N36" s="84">
        <f>(1-design[[#This Row],[Progress]])*design[[#This Row],[Estimated]]</f>
        <v>0</v>
      </c>
      <c r="O36" s="189"/>
    </row>
    <row r="37" spans="1:15" ht="23.25" customHeight="1" x14ac:dyDescent="0.25">
      <c r="A37" s="175" t="str">
        <f>metaASSETS[[#This Row],[Asset Name]]</f>
        <v>door_05</v>
      </c>
      <c r="B37" s="8" t="str">
        <f>metaASSETS[[#This Row],[Type]]</f>
        <v>Environment</v>
      </c>
      <c r="D37" s="85" t="b">
        <v>0</v>
      </c>
      <c r="E37" s="186" t="s">
        <v>309</v>
      </c>
      <c r="F37" s="165" t="s">
        <v>12</v>
      </c>
      <c r="G37" s="166" t="s">
        <v>312</v>
      </c>
      <c r="H37" s="2" t="str">
        <f>IF(NOT(ISBLANK(design[[#This Row],[Commentaires]])), "Needs Fix",
    IF(design[[#This Row],[Review]]&lt;&gt;"inactive", design[[#This Row],[Review]],
        IF(design[[#This Row],[Progress]]=100%, "Pending Review",
            IF(AND(0%&lt;design[[#This Row],[Progress]], design[[#This Row],[Progress]]&lt;100%),  "In Progress", "Ready")
        )
    )
)</f>
        <v>Approved</v>
      </c>
      <c r="I37" s="2">
        <v>0.5</v>
      </c>
      <c r="J37" s="185">
        <v>1</v>
      </c>
      <c r="K37" s="185">
        <v>1</v>
      </c>
      <c r="L37" s="185">
        <v>1</v>
      </c>
      <c r="M37" s="6" cm="1">
        <f t="array" ref="M37">SUM(design[[#This Row],[rnd]:[clean]]*design_ponderation)</f>
        <v>1</v>
      </c>
      <c r="N37" s="84">
        <f>(1-design[[#This Row],[Progress]])*design[[#This Row],[Estimated]]</f>
        <v>0</v>
      </c>
      <c r="O37" s="189"/>
    </row>
    <row r="38" spans="1:15" ht="23.25" customHeight="1" x14ac:dyDescent="0.25">
      <c r="A38" s="175" t="str">
        <f>metaASSETS[[#This Row],[Asset Name]]</f>
        <v>fake_int</v>
      </c>
      <c r="B38" s="8" t="str">
        <f>metaASSETS[[#This Row],[Type]]</f>
        <v>Environment</v>
      </c>
      <c r="D38" s="85" t="b">
        <v>0</v>
      </c>
      <c r="E38" s="186" t="s">
        <v>309</v>
      </c>
      <c r="F38" s="165" t="s">
        <v>12</v>
      </c>
      <c r="G38" s="166" t="s">
        <v>312</v>
      </c>
      <c r="H38" s="2" t="str">
        <f>IF(NOT(ISBLANK(design[[#This Row],[Commentaires]])), "Needs Fix",
    IF(design[[#This Row],[Review]]&lt;&gt;"inactive", design[[#This Row],[Review]],
        IF(design[[#This Row],[Progress]]=100%, "Pending Review",
            IF(AND(0%&lt;design[[#This Row],[Progress]], design[[#This Row],[Progress]]&lt;100%),  "In Progress", "Ready")
        )
    )
)</f>
        <v>Approved</v>
      </c>
      <c r="I38" s="2">
        <v>1</v>
      </c>
      <c r="J38" s="185">
        <v>1</v>
      </c>
      <c r="K38" s="185">
        <v>1</v>
      </c>
      <c r="L38" s="185">
        <v>1</v>
      </c>
      <c r="M38" s="6" cm="1">
        <f t="array" ref="M38">SUM(design[[#This Row],[rnd]:[clean]]*design_ponderation)</f>
        <v>1</v>
      </c>
      <c r="N38" s="84">
        <f>(1-design[[#This Row],[Progress]])*design[[#This Row],[Estimated]]</f>
        <v>0</v>
      </c>
      <c r="O38" s="189"/>
    </row>
    <row r="39" spans="1:15" ht="23.25" customHeight="1" x14ac:dyDescent="0.25">
      <c r="A39" s="175" t="str">
        <f>metaASSETS[[#This Row],[Asset Name]]</f>
        <v>flr_01</v>
      </c>
      <c r="B39" s="8" t="str">
        <f>metaASSETS[[#This Row],[Type]]</f>
        <v>Environment</v>
      </c>
      <c r="D39" s="85" t="b">
        <v>0</v>
      </c>
      <c r="E39" s="186" t="s">
        <v>309</v>
      </c>
      <c r="F39" s="165" t="s">
        <v>20</v>
      </c>
      <c r="G39" s="8" t="s">
        <v>313</v>
      </c>
      <c r="H39" s="2" t="str">
        <f>IF(NOT(ISBLANK(design[[#This Row],[Commentaires]])), "Needs Fix",
    IF(design[[#This Row],[Review]]&lt;&gt;"inactive", design[[#This Row],[Review]],
        IF(design[[#This Row],[Progress]]=100%, "Pending Review",
            IF(AND(0%&lt;design[[#This Row],[Progress]], design[[#This Row],[Progress]]&lt;100%),  "In Progress", "Ready")
        )
    )
)</f>
        <v>Approved</v>
      </c>
      <c r="I39" s="2">
        <v>0.5</v>
      </c>
      <c r="J39" s="185">
        <v>1</v>
      </c>
      <c r="K39" s="185">
        <v>1</v>
      </c>
      <c r="L39" s="185">
        <v>1</v>
      </c>
      <c r="M39" s="6" cm="1">
        <f t="array" ref="M39">SUM(design[[#This Row],[rnd]:[clean]]*design_ponderation)</f>
        <v>1</v>
      </c>
      <c r="N39" s="84">
        <f>(1-design[[#This Row],[Progress]])*design[[#This Row],[Estimated]]</f>
        <v>0</v>
      </c>
      <c r="O39" s="189"/>
    </row>
    <row r="40" spans="1:15" ht="23.25" customHeight="1" x14ac:dyDescent="0.25">
      <c r="A40" s="175" t="str">
        <f>metaASSETS[[#This Row],[Asset Name]]</f>
        <v>flr_02</v>
      </c>
      <c r="B40" s="8" t="str">
        <f>metaASSETS[[#This Row],[Type]]</f>
        <v>Environment</v>
      </c>
      <c r="D40" s="85" t="b">
        <v>0</v>
      </c>
      <c r="E40" s="186" t="s">
        <v>309</v>
      </c>
      <c r="F40" s="165" t="s">
        <v>20</v>
      </c>
      <c r="G40" s="8" t="s">
        <v>310</v>
      </c>
      <c r="H40" s="2" t="str">
        <f>IF(NOT(ISBLANK(design[[#This Row],[Commentaires]])), "Needs Fix",
    IF(design[[#This Row],[Review]]&lt;&gt;"inactive", design[[#This Row],[Review]],
        IF(design[[#This Row],[Progress]]=100%, "Pending Review",
            IF(AND(0%&lt;design[[#This Row],[Progress]], design[[#This Row],[Progress]]&lt;100%),  "In Progress", "Ready")
        )
    )
)</f>
        <v>Approved</v>
      </c>
      <c r="I40" s="2">
        <v>0.5</v>
      </c>
      <c r="J40" s="185">
        <v>1</v>
      </c>
      <c r="K40" s="185">
        <v>1</v>
      </c>
      <c r="L40" s="185">
        <v>1</v>
      </c>
      <c r="M40" s="6" cm="1">
        <f t="array" ref="M40">SUM(design[[#This Row],[rnd]:[clean]]*design_ponderation)</f>
        <v>1</v>
      </c>
      <c r="N40" s="84">
        <f>(1-design[[#This Row],[Progress]])*design[[#This Row],[Estimated]]</f>
        <v>0</v>
      </c>
      <c r="O40" s="189"/>
    </row>
    <row r="41" spans="1:15" ht="23.25" customHeight="1" x14ac:dyDescent="0.25">
      <c r="A41" s="175" t="str">
        <f>metaASSETS[[#This Row],[Asset Name]]</f>
        <v>hill</v>
      </c>
      <c r="B41" s="8" t="str">
        <f>metaASSETS[[#This Row],[Type]]</f>
        <v>Environment</v>
      </c>
      <c r="D41" s="85" t="b">
        <v>0</v>
      </c>
      <c r="E41" s="186" t="s">
        <v>309</v>
      </c>
      <c r="F41" s="165" t="s">
        <v>12</v>
      </c>
      <c r="G41" s="8" t="s">
        <v>310</v>
      </c>
      <c r="H41" s="2" t="str">
        <f>IF(NOT(ISBLANK(design[[#This Row],[Commentaires]])), "Needs Fix",
    IF(design[[#This Row],[Review]]&lt;&gt;"inactive", design[[#This Row],[Review]],
        IF(design[[#This Row],[Progress]]=100%, "Pending Review",
            IF(AND(0%&lt;design[[#This Row],[Progress]], design[[#This Row],[Progress]]&lt;100%),  "In Progress", "Ready")
        )
    )
)</f>
        <v>Approved</v>
      </c>
      <c r="I41" s="2">
        <v>1</v>
      </c>
      <c r="J41" s="185">
        <v>1</v>
      </c>
      <c r="K41" s="185">
        <v>1</v>
      </c>
      <c r="L41" s="185">
        <v>1</v>
      </c>
      <c r="M41" s="6" cm="1">
        <f t="array" ref="M41">SUM(design[[#This Row],[rnd]:[clean]]*design_ponderation)</f>
        <v>1</v>
      </c>
      <c r="N41" s="84">
        <f>(1-design[[#This Row],[Progress]])*design[[#This Row],[Estimated]]</f>
        <v>0</v>
      </c>
      <c r="O41" s="189"/>
    </row>
    <row r="42" spans="1:15" ht="23.25" customHeight="1" x14ac:dyDescent="0.25">
      <c r="A42" s="175" t="str">
        <f>metaASSETS[[#This Row],[Asset Name]]</f>
        <v>house_01</v>
      </c>
      <c r="B42" s="8" t="str">
        <f>metaASSETS[[#This Row],[Type]]</f>
        <v>Environment</v>
      </c>
      <c r="D42" s="85" t="b">
        <v>0</v>
      </c>
      <c r="E42" s="186" t="s">
        <v>309</v>
      </c>
      <c r="F42" s="165" t="s">
        <v>20</v>
      </c>
      <c r="G42" s="8" t="s">
        <v>314</v>
      </c>
      <c r="H42" s="2" t="str">
        <f>IF(NOT(ISBLANK(design[[#This Row],[Commentaires]])), "Needs Fix",
    IF(design[[#This Row],[Review]]&lt;&gt;"inactive", design[[#This Row],[Review]],
        IF(design[[#This Row],[Progress]]=100%, "Pending Review",
            IF(AND(0%&lt;design[[#This Row],[Progress]], design[[#This Row],[Progress]]&lt;100%),  "In Progress", "Ready")
        )
    )
)</f>
        <v>Approved</v>
      </c>
      <c r="I42" s="2">
        <v>1</v>
      </c>
      <c r="J42" s="185">
        <v>1</v>
      </c>
      <c r="K42" s="185">
        <v>1</v>
      </c>
      <c r="L42" s="185">
        <v>1</v>
      </c>
      <c r="M42" s="6" cm="1">
        <f t="array" ref="M42">SUM(design[[#This Row],[rnd]:[clean]]*design_ponderation)</f>
        <v>1</v>
      </c>
      <c r="N42" s="84">
        <f>(1-design[[#This Row],[Progress]])*design[[#This Row],[Estimated]]</f>
        <v>0</v>
      </c>
      <c r="O42" s="189"/>
    </row>
    <row r="43" spans="1:15" ht="23.25" customHeight="1" x14ac:dyDescent="0.25">
      <c r="A43" s="175" t="str">
        <f>metaASSETS[[#This Row],[Asset Name]]</f>
        <v>house_02</v>
      </c>
      <c r="B43" s="8" t="str">
        <f>metaASSETS[[#This Row],[Type]]</f>
        <v>Environment</v>
      </c>
      <c r="D43" s="85" t="b">
        <v>0</v>
      </c>
      <c r="E43" s="186" t="s">
        <v>309</v>
      </c>
      <c r="F43" s="165" t="s">
        <v>20</v>
      </c>
      <c r="G43" s="8" t="s">
        <v>310</v>
      </c>
      <c r="H43" s="2" t="str">
        <f>IF(NOT(ISBLANK(design[[#This Row],[Commentaires]])), "Needs Fix",
    IF(design[[#This Row],[Review]]&lt;&gt;"inactive", design[[#This Row],[Review]],
        IF(design[[#This Row],[Progress]]=100%, "Pending Review",
            IF(AND(0%&lt;design[[#This Row],[Progress]], design[[#This Row],[Progress]]&lt;100%),  "In Progress", "Ready")
        )
    )
)</f>
        <v>Approved</v>
      </c>
      <c r="I43" s="2">
        <v>1</v>
      </c>
      <c r="J43" s="185">
        <v>1</v>
      </c>
      <c r="K43" s="185">
        <v>1</v>
      </c>
      <c r="L43" s="185">
        <v>1</v>
      </c>
      <c r="M43" s="6" cm="1">
        <f t="array" ref="M43">SUM(design[[#This Row],[rnd]:[clean]]*design_ponderation)</f>
        <v>1</v>
      </c>
      <c r="N43" s="84">
        <f>(1-design[[#This Row],[Progress]])*design[[#This Row],[Estimated]]</f>
        <v>0</v>
      </c>
      <c r="O43" s="189"/>
    </row>
    <row r="44" spans="1:15" ht="23.25" customHeight="1" x14ac:dyDescent="0.25">
      <c r="A44" s="175" t="str">
        <f>metaASSETS[[#This Row],[Asset Name]]</f>
        <v>house_03</v>
      </c>
      <c r="B44" s="8" t="str">
        <f>metaASSETS[[#This Row],[Type]]</f>
        <v>Environment</v>
      </c>
      <c r="D44" s="85" t="b">
        <v>0</v>
      </c>
      <c r="E44" s="186" t="s">
        <v>309</v>
      </c>
      <c r="F44" s="165" t="s">
        <v>20</v>
      </c>
      <c r="G44" s="8" t="s">
        <v>310</v>
      </c>
      <c r="H44" s="2" t="str">
        <f>IF(NOT(ISBLANK(design[[#This Row],[Commentaires]])), "Needs Fix",
    IF(design[[#This Row],[Review]]&lt;&gt;"inactive", design[[#This Row],[Review]],
        IF(design[[#This Row],[Progress]]=100%, "Pending Review",
            IF(AND(0%&lt;design[[#This Row],[Progress]], design[[#This Row],[Progress]]&lt;100%),  "In Progress", "Ready")
        )
    )
)</f>
        <v>Approved</v>
      </c>
      <c r="I44" s="2">
        <v>1</v>
      </c>
      <c r="J44" s="185">
        <v>1</v>
      </c>
      <c r="K44" s="185">
        <v>1</v>
      </c>
      <c r="L44" s="185">
        <v>1</v>
      </c>
      <c r="M44" s="6" cm="1">
        <f t="array" ref="M44">SUM(design[[#This Row],[rnd]:[clean]]*design_ponderation)</f>
        <v>1</v>
      </c>
      <c r="N44" s="84">
        <f>(1-design[[#This Row],[Progress]])*design[[#This Row],[Estimated]]</f>
        <v>0</v>
      </c>
      <c r="O44" s="189"/>
    </row>
    <row r="45" spans="1:15" ht="23.25" customHeight="1" x14ac:dyDescent="0.25">
      <c r="A45" s="175" t="str">
        <f>metaASSETS[[#This Row],[Asset Name]]</f>
        <v>house_04</v>
      </c>
      <c r="B45" s="8" t="str">
        <f>metaASSETS[[#This Row],[Type]]</f>
        <v>Environment</v>
      </c>
      <c r="D45" s="85" t="b">
        <v>0</v>
      </c>
      <c r="E45" s="186" t="s">
        <v>309</v>
      </c>
      <c r="F45" s="165" t="s">
        <v>20</v>
      </c>
      <c r="G45" s="8" t="s">
        <v>310</v>
      </c>
      <c r="H45" s="2" t="str">
        <f>IF(NOT(ISBLANK(design[[#This Row],[Commentaires]])), "Needs Fix",
    IF(design[[#This Row],[Review]]&lt;&gt;"inactive", design[[#This Row],[Review]],
        IF(design[[#This Row],[Progress]]=100%, "Pending Review",
            IF(AND(0%&lt;design[[#This Row],[Progress]], design[[#This Row],[Progress]]&lt;100%),  "In Progress", "Ready")
        )
    )
)</f>
        <v>Approved</v>
      </c>
      <c r="I45" s="2">
        <v>1</v>
      </c>
      <c r="J45" s="185">
        <v>1</v>
      </c>
      <c r="K45" s="185">
        <v>1</v>
      </c>
      <c r="L45" s="185">
        <v>1</v>
      </c>
      <c r="M45" s="6" cm="1">
        <f t="array" ref="M45">SUM(design[[#This Row],[rnd]:[clean]]*design_ponderation)</f>
        <v>1</v>
      </c>
      <c r="N45" s="84">
        <f>(1-design[[#This Row],[Progress]])*design[[#This Row],[Estimated]]</f>
        <v>0</v>
      </c>
      <c r="O45" s="189"/>
    </row>
    <row r="46" spans="1:15" ht="23.25" customHeight="1" x14ac:dyDescent="0.25">
      <c r="A46" s="175" t="str">
        <f>metaASSETS[[#This Row],[Asset Name]]</f>
        <v>house_05</v>
      </c>
      <c r="B46" s="8" t="str">
        <f>metaASSETS[[#This Row],[Type]]</f>
        <v>Environment</v>
      </c>
      <c r="D46" s="85" t="b">
        <v>0</v>
      </c>
      <c r="E46" s="186" t="s">
        <v>309</v>
      </c>
      <c r="F46" s="165" t="s">
        <v>20</v>
      </c>
      <c r="G46" s="8" t="s">
        <v>310</v>
      </c>
      <c r="H46" s="2" t="str">
        <f>IF(NOT(ISBLANK(design[[#This Row],[Commentaires]])), "Needs Fix",
    IF(design[[#This Row],[Review]]&lt;&gt;"inactive", design[[#This Row],[Review]],
        IF(design[[#This Row],[Progress]]=100%, "Pending Review",
            IF(AND(0%&lt;design[[#This Row],[Progress]], design[[#This Row],[Progress]]&lt;100%),  "In Progress", "Ready")
        )
    )
)</f>
        <v>Approved</v>
      </c>
      <c r="I46" s="2">
        <v>1</v>
      </c>
      <c r="J46" s="185">
        <v>1</v>
      </c>
      <c r="K46" s="185">
        <v>1</v>
      </c>
      <c r="L46" s="185">
        <v>1</v>
      </c>
      <c r="M46" s="6" cm="1">
        <f t="array" ref="M46">SUM(design[[#This Row],[rnd]:[clean]]*design_ponderation)</f>
        <v>1</v>
      </c>
      <c r="N46" s="84">
        <f>(1-design[[#This Row],[Progress]])*design[[#This Row],[Estimated]]</f>
        <v>0</v>
      </c>
      <c r="O46" s="189"/>
    </row>
    <row r="47" spans="1:15" ht="23.25" customHeight="1" x14ac:dyDescent="0.25">
      <c r="A47" s="175" t="str">
        <f>metaASSETS[[#This Row],[Asset Name]]</f>
        <v>house_06</v>
      </c>
      <c r="B47" s="8" t="str">
        <f>metaASSETS[[#This Row],[Type]]</f>
        <v>Environment</v>
      </c>
      <c r="D47" s="85" t="b">
        <v>0</v>
      </c>
      <c r="E47" s="186" t="s">
        <v>309</v>
      </c>
      <c r="F47" s="165" t="s">
        <v>20</v>
      </c>
      <c r="G47" s="8" t="s">
        <v>310</v>
      </c>
      <c r="H47" s="2" t="str">
        <f>IF(NOT(ISBLANK(design[[#This Row],[Commentaires]])), "Needs Fix",
    IF(design[[#This Row],[Review]]&lt;&gt;"inactive", design[[#This Row],[Review]],
        IF(design[[#This Row],[Progress]]=100%, "Pending Review",
            IF(AND(0%&lt;design[[#This Row],[Progress]], design[[#This Row],[Progress]]&lt;100%),  "In Progress", "Ready")
        )
    )
)</f>
        <v>Approved</v>
      </c>
      <c r="I47" s="2">
        <v>1</v>
      </c>
      <c r="J47" s="185">
        <v>1</v>
      </c>
      <c r="K47" s="185">
        <v>1</v>
      </c>
      <c r="L47" s="185">
        <v>1</v>
      </c>
      <c r="M47" s="6" cm="1">
        <f t="array" ref="M47">SUM(design[[#This Row],[rnd]:[clean]]*design_ponderation)</f>
        <v>1</v>
      </c>
      <c r="N47" s="84">
        <f>(1-design[[#This Row],[Progress]])*design[[#This Row],[Estimated]]</f>
        <v>0</v>
      </c>
      <c r="O47" s="189"/>
    </row>
    <row r="48" spans="1:15" ht="23.25" customHeight="1" x14ac:dyDescent="0.25">
      <c r="A48" s="175" t="str">
        <f>metaASSETS[[#This Row],[Asset Name]]</f>
        <v>house_07</v>
      </c>
      <c r="B48" s="8" t="str">
        <f>metaASSETS[[#This Row],[Type]]</f>
        <v>Environment</v>
      </c>
      <c r="D48" s="85" t="b">
        <v>0</v>
      </c>
      <c r="E48" s="186" t="s">
        <v>309</v>
      </c>
      <c r="F48" s="165" t="s">
        <v>20</v>
      </c>
      <c r="G48" s="8" t="s">
        <v>310</v>
      </c>
      <c r="H48" s="2" t="str">
        <f>IF(NOT(ISBLANK(design[[#This Row],[Commentaires]])), "Needs Fix",
    IF(design[[#This Row],[Review]]&lt;&gt;"inactive", design[[#This Row],[Review]],
        IF(design[[#This Row],[Progress]]=100%, "Pending Review",
            IF(AND(0%&lt;design[[#This Row],[Progress]], design[[#This Row],[Progress]]&lt;100%),  "In Progress", "Ready")
        )
    )
)</f>
        <v>Approved</v>
      </c>
      <c r="I48" s="2">
        <v>1</v>
      </c>
      <c r="J48" s="185">
        <v>1</v>
      </c>
      <c r="K48" s="185">
        <v>1</v>
      </c>
      <c r="L48" s="185">
        <v>1</v>
      </c>
      <c r="M48" s="6" cm="1">
        <f t="array" ref="M48">SUM(design[[#This Row],[rnd]:[clean]]*design_ponderation)</f>
        <v>1</v>
      </c>
      <c r="N48" s="84">
        <f>(1-design[[#This Row],[Progress]])*design[[#This Row],[Estimated]]</f>
        <v>0</v>
      </c>
      <c r="O48" s="189"/>
    </row>
    <row r="49" spans="1:15" ht="23.25" customHeight="1" x14ac:dyDescent="0.25">
      <c r="A49" s="175" t="str">
        <f>metaASSETS[[#This Row],[Asset Name]]</f>
        <v>house_08</v>
      </c>
      <c r="B49" s="8" t="str">
        <f>metaASSETS[[#This Row],[Type]]</f>
        <v>Environment</v>
      </c>
      <c r="D49" s="85" t="b">
        <v>0</v>
      </c>
      <c r="E49" s="186" t="s">
        <v>309</v>
      </c>
      <c r="F49" s="165" t="s">
        <v>20</v>
      </c>
      <c r="G49" s="8" t="s">
        <v>310</v>
      </c>
      <c r="H49" s="2" t="str">
        <f>IF(NOT(ISBLANK(design[[#This Row],[Commentaires]])), "Needs Fix",
    IF(design[[#This Row],[Review]]&lt;&gt;"inactive", design[[#This Row],[Review]],
        IF(design[[#This Row],[Progress]]=100%, "Pending Review",
            IF(AND(0%&lt;design[[#This Row],[Progress]], design[[#This Row],[Progress]]&lt;100%),  "In Progress", "Ready")
        )
    )
)</f>
        <v>Approved</v>
      </c>
      <c r="I49" s="2">
        <v>1</v>
      </c>
      <c r="J49" s="185">
        <v>1</v>
      </c>
      <c r="K49" s="185">
        <v>1</v>
      </c>
      <c r="L49" s="185">
        <v>1</v>
      </c>
      <c r="M49" s="6" cm="1">
        <f t="array" ref="M49">SUM(design[[#This Row],[rnd]:[clean]]*design_ponderation)</f>
        <v>1</v>
      </c>
      <c r="N49" s="84">
        <f>(1-design[[#This Row],[Progress]])*design[[#This Row],[Estimated]]</f>
        <v>0</v>
      </c>
      <c r="O49" s="189"/>
    </row>
    <row r="50" spans="1:15" ht="23.25" customHeight="1" x14ac:dyDescent="0.25">
      <c r="A50" s="175" t="str">
        <f>metaASSETS[[#This Row],[Asset Name]]</f>
        <v>arrows</v>
      </c>
      <c r="B50" s="8" t="str">
        <f>metaASSETS[[#This Row],[Type]]</f>
        <v>FX</v>
      </c>
      <c r="D50" s="85" t="b">
        <v>0</v>
      </c>
      <c r="E50" s="186" t="s">
        <v>309</v>
      </c>
      <c r="F50" s="165" t="s">
        <v>20</v>
      </c>
      <c r="G50" s="8" t="s">
        <v>310</v>
      </c>
      <c r="H50" s="2" t="str">
        <f>IF(NOT(ISBLANK(design[[#This Row],[Commentaires]])), "Needs Fix",
    IF(design[[#This Row],[Review]]&lt;&gt;"inactive", design[[#This Row],[Review]],
        IF(design[[#This Row],[Progress]]=100%, "Pending Review",
            IF(AND(0%&lt;design[[#This Row],[Progress]], design[[#This Row],[Progress]]&lt;100%),  "In Progress", "Ready")
        )
    )
)</f>
        <v>Approved</v>
      </c>
      <c r="I50" s="2">
        <v>0.5</v>
      </c>
      <c r="J50" s="185">
        <v>1</v>
      </c>
      <c r="K50" s="185">
        <v>1</v>
      </c>
      <c r="L50" s="185">
        <v>1</v>
      </c>
      <c r="M50" s="6" cm="1">
        <f t="array" ref="M50">SUM(design[[#This Row],[rnd]:[clean]]*design_ponderation)</f>
        <v>1</v>
      </c>
      <c r="N50" s="84">
        <f>(1-design[[#This Row],[Progress]])*design[[#This Row],[Estimated]]</f>
        <v>0</v>
      </c>
      <c r="O50" s="189"/>
    </row>
    <row r="51" spans="1:15" ht="23.25" customHeight="1" x14ac:dyDescent="0.25">
      <c r="A51" s="175" t="str">
        <f>metaASSETS[[#This Row],[Asset Name]]</f>
        <v>plaines_01</v>
      </c>
      <c r="B51" s="8" t="str">
        <f>metaASSETS[[#This Row],[Type]]</f>
        <v>Matte Painting</v>
      </c>
      <c r="D51" s="85" t="b">
        <v>0</v>
      </c>
      <c r="E51" s="186" t="s">
        <v>309</v>
      </c>
      <c r="F51" s="165" t="s">
        <v>20</v>
      </c>
      <c r="G51" s="8" t="s">
        <v>310</v>
      </c>
      <c r="H51" s="2" t="str">
        <f>IF(NOT(ISBLANK(design[[#This Row],[Commentaires]])), "Needs Fix",
    IF(design[[#This Row],[Review]]&lt;&gt;"inactive", design[[#This Row],[Review]],
        IF(design[[#This Row],[Progress]]=100%, "Pending Review",
            IF(AND(0%&lt;design[[#This Row],[Progress]], design[[#This Row],[Progress]]&lt;100%),  "In Progress", "Ready")
        )
    )
)</f>
        <v>Approved</v>
      </c>
      <c r="I51" s="2">
        <v>15</v>
      </c>
      <c r="J51" s="185">
        <v>1</v>
      </c>
      <c r="K51" s="185">
        <v>1</v>
      </c>
      <c r="L51" s="185">
        <v>1</v>
      </c>
      <c r="M51" s="6" cm="1">
        <f t="array" ref="M51">SUM(design[[#This Row],[rnd]:[clean]]*design_ponderation)</f>
        <v>1</v>
      </c>
      <c r="N51" s="84">
        <f>(1-design[[#This Row],[Progress]])*design[[#This Row],[Estimated]]</f>
        <v>0</v>
      </c>
      <c r="O51" s="189"/>
    </row>
    <row r="52" spans="1:15" ht="23.25" customHeight="1" x14ac:dyDescent="0.25">
      <c r="A52" s="175" t="str">
        <f>metaASSETS[[#This Row],[Asset Name]]</f>
        <v>plaines_02</v>
      </c>
      <c r="B52" s="8" t="str">
        <f>metaASSETS[[#This Row],[Type]]</f>
        <v>Matte Painting</v>
      </c>
      <c r="D52" s="85" t="b">
        <v>0</v>
      </c>
      <c r="E52" s="186" t="s">
        <v>309</v>
      </c>
      <c r="F52" s="165" t="s">
        <v>20</v>
      </c>
      <c r="G52" s="8" t="s">
        <v>310</v>
      </c>
      <c r="H52" s="2" t="str">
        <f>IF(NOT(ISBLANK(design[[#This Row],[Commentaires]])), "Needs Fix",
    IF(design[[#This Row],[Review]]&lt;&gt;"inactive", design[[#This Row],[Review]],
        IF(design[[#This Row],[Progress]]=100%, "Pending Review",
            IF(AND(0%&lt;design[[#This Row],[Progress]], design[[#This Row],[Progress]]&lt;100%),  "In Progress", "Ready")
        )
    )
)</f>
        <v>Approved</v>
      </c>
      <c r="I52" s="2">
        <v>10</v>
      </c>
      <c r="J52" s="185">
        <v>1</v>
      </c>
      <c r="K52" s="185">
        <v>1</v>
      </c>
      <c r="L52" s="185">
        <v>1</v>
      </c>
      <c r="M52" s="6" cm="1">
        <f t="array" ref="M52">SUM(design[[#This Row],[rnd]:[clean]]*design_ponderation)</f>
        <v>1</v>
      </c>
      <c r="N52" s="84">
        <f>(1-design[[#This Row],[Progress]])*design[[#This Row],[Estimated]]</f>
        <v>0</v>
      </c>
      <c r="O52" s="189"/>
    </row>
    <row r="53" spans="1:15" ht="23.25" customHeight="1" x14ac:dyDescent="0.25">
      <c r="A53" s="175" t="str">
        <f>metaASSETS[[#This Row],[Asset Name]]</f>
        <v>plaines_03</v>
      </c>
      <c r="B53" s="8" t="str">
        <f>metaASSETS[[#This Row],[Type]]</f>
        <v>Matte Painting</v>
      </c>
      <c r="D53" s="85" t="b">
        <v>0</v>
      </c>
      <c r="E53" s="186" t="s">
        <v>309</v>
      </c>
      <c r="F53" s="165" t="s">
        <v>20</v>
      </c>
      <c r="G53" s="8" t="s">
        <v>310</v>
      </c>
      <c r="H53" s="2" t="str">
        <f>IF(NOT(ISBLANK(design[[#This Row],[Commentaires]])), "Needs Fix",
    IF(design[[#This Row],[Review]]&lt;&gt;"inactive", design[[#This Row],[Review]],
        IF(design[[#This Row],[Progress]]=100%, "Pending Review",
            IF(AND(0%&lt;design[[#This Row],[Progress]], design[[#This Row],[Progress]]&lt;100%),  "In Progress", "Ready")
        )
    )
)</f>
        <v>Approved</v>
      </c>
      <c r="I53" s="2">
        <v>10</v>
      </c>
      <c r="J53" s="185">
        <v>1</v>
      </c>
      <c r="K53" s="185">
        <v>1</v>
      </c>
      <c r="L53" s="185">
        <v>1</v>
      </c>
      <c r="M53" s="6" cm="1">
        <f t="array" ref="M53">SUM(design[[#This Row],[rnd]:[clean]]*design_ponderation)</f>
        <v>1</v>
      </c>
      <c r="N53" s="84">
        <f>(1-design[[#This Row],[Progress]])*design[[#This Row],[Estimated]]</f>
        <v>0</v>
      </c>
      <c r="O53" s="189"/>
    </row>
    <row r="54" spans="1:15" ht="23.25" customHeight="1" x14ac:dyDescent="0.25">
      <c r="A54" s="175" t="str">
        <f>metaASSETS[[#This Row],[Asset Name]]</f>
        <v>accessory_01</v>
      </c>
      <c r="B54" s="8" t="str">
        <f>metaASSETS[[#This Row],[Type]]</f>
        <v>Prop</v>
      </c>
      <c r="D54" s="85" t="b">
        <v>0</v>
      </c>
      <c r="E54" s="186" t="s">
        <v>309</v>
      </c>
      <c r="F54" s="165" t="s">
        <v>12</v>
      </c>
      <c r="G54" s="8" t="s">
        <v>310</v>
      </c>
      <c r="H54" s="2" t="str">
        <f>IF(NOT(ISBLANK(design[[#This Row],[Commentaires]])), "Needs Fix",
    IF(design[[#This Row],[Review]]&lt;&gt;"inactive", design[[#This Row],[Review]],
        IF(design[[#This Row],[Progress]]=100%, "Pending Review",
            IF(AND(0%&lt;design[[#This Row],[Progress]], design[[#This Row],[Progress]]&lt;100%),  "In Progress", "Ready")
        )
    )
)</f>
        <v>Approved</v>
      </c>
      <c r="I54" s="2">
        <v>1</v>
      </c>
      <c r="J54" s="185">
        <v>1</v>
      </c>
      <c r="K54" s="185">
        <v>1</v>
      </c>
      <c r="L54" s="185">
        <v>1</v>
      </c>
      <c r="M54" s="6" cm="1">
        <f t="array" ref="M54">SUM(design[[#This Row],[rnd]:[clean]]*design_ponderation)</f>
        <v>1</v>
      </c>
      <c r="N54" s="84">
        <f>(1-design[[#This Row],[Progress]])*design[[#This Row],[Estimated]]</f>
        <v>0</v>
      </c>
      <c r="O54" s="189"/>
    </row>
    <row r="55" spans="1:15" ht="23.25" customHeight="1" x14ac:dyDescent="0.25">
      <c r="A55" s="175" t="str">
        <f>metaASSETS[[#This Row],[Asset Name]]</f>
        <v>accessory_02</v>
      </c>
      <c r="B55" s="8" t="str">
        <f>metaASSETS[[#This Row],[Type]]</f>
        <v>Prop</v>
      </c>
      <c r="D55" s="85" t="b">
        <v>0</v>
      </c>
      <c r="E55" s="186" t="s">
        <v>309</v>
      </c>
      <c r="F55" s="165" t="s">
        <v>20</v>
      </c>
      <c r="G55" s="8" t="s">
        <v>310</v>
      </c>
      <c r="H55" s="2" t="str">
        <f>IF(NOT(ISBLANK(design[[#This Row],[Commentaires]])), "Needs Fix",
    IF(design[[#This Row],[Review]]&lt;&gt;"inactive", design[[#This Row],[Review]],
        IF(design[[#This Row],[Progress]]=100%, "Pending Review",
            IF(AND(0%&lt;design[[#This Row],[Progress]], design[[#This Row],[Progress]]&lt;100%),  "In Progress", "Ready")
        )
    )
)</f>
        <v>Approved</v>
      </c>
      <c r="I55" s="2">
        <v>1</v>
      </c>
      <c r="J55" s="185">
        <v>1</v>
      </c>
      <c r="K55" s="185">
        <v>1</v>
      </c>
      <c r="L55" s="185">
        <v>1</v>
      </c>
      <c r="M55" s="6" cm="1">
        <f t="array" ref="M55">SUM(design[[#This Row],[rnd]:[clean]]*design_ponderation)</f>
        <v>1</v>
      </c>
      <c r="N55" s="84">
        <f>(1-design[[#This Row],[Progress]])*design[[#This Row],[Estimated]]</f>
        <v>0</v>
      </c>
      <c r="O55" s="189"/>
    </row>
    <row r="56" spans="1:15" ht="23.25" customHeight="1" x14ac:dyDescent="0.25">
      <c r="A56" s="175" t="str">
        <f>metaASSETS[[#This Row],[Asset Name]]</f>
        <v>accessory_03</v>
      </c>
      <c r="B56" s="8" t="str">
        <f>metaASSETS[[#This Row],[Type]]</f>
        <v>Prop</v>
      </c>
      <c r="D56" s="85" t="b">
        <v>0</v>
      </c>
      <c r="E56" s="186" t="s">
        <v>309</v>
      </c>
      <c r="F56" s="165" t="s">
        <v>12</v>
      </c>
      <c r="G56" s="8" t="s">
        <v>310</v>
      </c>
      <c r="H56" s="2" t="str">
        <f>IF(NOT(ISBLANK(design[[#This Row],[Commentaires]])), "Needs Fix",
    IF(design[[#This Row],[Review]]&lt;&gt;"inactive", design[[#This Row],[Review]],
        IF(design[[#This Row],[Progress]]=100%, "Pending Review",
            IF(AND(0%&lt;design[[#This Row],[Progress]], design[[#This Row],[Progress]]&lt;100%),  "In Progress", "Ready")
        )
    )
)</f>
        <v>Approved</v>
      </c>
      <c r="I56" s="2">
        <v>1</v>
      </c>
      <c r="J56" s="185">
        <v>1</v>
      </c>
      <c r="K56" s="185">
        <v>1</v>
      </c>
      <c r="L56" s="185">
        <v>1</v>
      </c>
      <c r="M56" s="6" cm="1">
        <f t="array" ref="M56">SUM(design[[#This Row],[rnd]:[clean]]*design_ponderation)</f>
        <v>1</v>
      </c>
      <c r="N56" s="84">
        <f>(1-design[[#This Row],[Progress]])*design[[#This Row],[Estimated]]</f>
        <v>0</v>
      </c>
      <c r="O56" s="189"/>
    </row>
    <row r="57" spans="1:15" ht="23.25" customHeight="1" x14ac:dyDescent="0.25">
      <c r="A57" s="175" t="str">
        <f>metaASSETS[[#This Row],[Asset Name]]</f>
        <v>accessory_04</v>
      </c>
      <c r="B57" s="8" t="str">
        <f>metaASSETS[[#This Row],[Type]]</f>
        <v>Prop</v>
      </c>
      <c r="D57" s="85" t="b">
        <v>0</v>
      </c>
      <c r="E57" s="186" t="s">
        <v>309</v>
      </c>
      <c r="F57" s="165" t="s">
        <v>20</v>
      </c>
      <c r="G57" s="8" t="s">
        <v>310</v>
      </c>
      <c r="H57" s="2" t="str">
        <f>IF(NOT(ISBLANK(design[[#This Row],[Commentaires]])), "Needs Fix",
    IF(design[[#This Row],[Review]]&lt;&gt;"inactive", design[[#This Row],[Review]],
        IF(design[[#This Row],[Progress]]=100%, "Pending Review",
            IF(AND(0%&lt;design[[#This Row],[Progress]], design[[#This Row],[Progress]]&lt;100%),  "In Progress", "Ready")
        )
    )
)</f>
        <v>Approved</v>
      </c>
      <c r="I57" s="2">
        <v>1</v>
      </c>
      <c r="J57" s="185">
        <v>1</v>
      </c>
      <c r="K57" s="185">
        <v>1</v>
      </c>
      <c r="L57" s="185">
        <v>1</v>
      </c>
      <c r="M57" s="6" cm="1">
        <f t="array" ref="M57">SUM(design[[#This Row],[rnd]:[clean]]*design_ponderation)</f>
        <v>1</v>
      </c>
      <c r="N57" s="84">
        <f>(1-design[[#This Row],[Progress]])*design[[#This Row],[Estimated]]</f>
        <v>0</v>
      </c>
      <c r="O57" s="189"/>
    </row>
    <row r="58" spans="1:15" ht="23.25" customHeight="1" x14ac:dyDescent="0.25">
      <c r="A58" s="175" t="str">
        <f>metaASSETS[[#This Row],[Asset Name]]</f>
        <v>arrow</v>
      </c>
      <c r="B58" s="8" t="str">
        <f>metaASSETS[[#This Row],[Type]]</f>
        <v>Prop</v>
      </c>
      <c r="D58" s="85" t="b">
        <v>0</v>
      </c>
      <c r="E58" s="186" t="s">
        <v>309</v>
      </c>
      <c r="F58" s="15" t="s">
        <v>12</v>
      </c>
      <c r="G58" s="8" t="s">
        <v>310</v>
      </c>
      <c r="H58" s="2" t="str">
        <f>IF(NOT(ISBLANK(design[[#This Row],[Commentaires]])), "Needs Fix",
    IF(design[[#This Row],[Review]]&lt;&gt;"inactive", design[[#This Row],[Review]],
        IF(design[[#This Row],[Progress]]=100%, "Pending Review",
            IF(AND(0%&lt;design[[#This Row],[Progress]], design[[#This Row],[Progress]]&lt;100%),  "In Progress", "Ready")
        )
    )
)</f>
        <v>Approved</v>
      </c>
      <c r="I58" s="2">
        <v>0</v>
      </c>
      <c r="J58" s="185">
        <v>1</v>
      </c>
      <c r="K58" s="185">
        <v>1</v>
      </c>
      <c r="L58" s="185">
        <v>1</v>
      </c>
      <c r="M58" s="6" cm="1">
        <f t="array" ref="M58">SUM(design[[#This Row],[rnd]:[clean]]*design_ponderation)</f>
        <v>1</v>
      </c>
      <c r="N58" s="84">
        <f>(1-design[[#This Row],[Progress]])*design[[#This Row],[Estimated]]</f>
        <v>0</v>
      </c>
      <c r="O58" s="189"/>
    </row>
    <row r="59" spans="1:15" ht="23.25" customHeight="1" x14ac:dyDescent="0.25">
      <c r="A59" s="175" t="str">
        <f>metaASSETS[[#This Row],[Asset Name]]</f>
        <v>banner</v>
      </c>
      <c r="B59" s="8" t="str">
        <f>metaASSETS[[#This Row],[Type]]</f>
        <v>Prop</v>
      </c>
      <c r="D59" s="85" t="b">
        <v>0</v>
      </c>
      <c r="E59" s="186" t="s">
        <v>309</v>
      </c>
      <c r="F59" s="15" t="s">
        <v>12</v>
      </c>
      <c r="G59" s="8" t="s">
        <v>310</v>
      </c>
      <c r="H59" s="2" t="str">
        <f>IF(NOT(ISBLANK(design[[#This Row],[Commentaires]])), "Needs Fix",
    IF(design[[#This Row],[Review]]&lt;&gt;"inactive", design[[#This Row],[Review]],
        IF(design[[#This Row],[Progress]]=100%, "Pending Review",
            IF(AND(0%&lt;design[[#This Row],[Progress]], design[[#This Row],[Progress]]&lt;100%),  "In Progress", "Ready")
        )
    )
)</f>
        <v>Approved</v>
      </c>
      <c r="I59" s="2">
        <v>2</v>
      </c>
      <c r="J59" s="185">
        <v>1</v>
      </c>
      <c r="K59" s="185">
        <v>1</v>
      </c>
      <c r="L59" s="185">
        <v>1</v>
      </c>
      <c r="M59" s="6" cm="1">
        <f t="array" ref="M59">SUM(design[[#This Row],[rnd]:[clean]]*design_ponderation)</f>
        <v>1</v>
      </c>
      <c r="N59" s="84">
        <f>(1-design[[#This Row],[Progress]])*design[[#This Row],[Estimated]]</f>
        <v>0</v>
      </c>
      <c r="O59" s="189"/>
    </row>
    <row r="60" spans="1:15" ht="23.25" customHeight="1" x14ac:dyDescent="0.25">
      <c r="A60" s="175" t="str">
        <f>metaASSETS[[#This Row],[Asset Name]]</f>
        <v>bow</v>
      </c>
      <c r="B60" s="8" t="str">
        <f>metaASSETS[[#This Row],[Type]]</f>
        <v>Prop</v>
      </c>
      <c r="D60" s="85" t="b">
        <v>0</v>
      </c>
      <c r="E60" s="186" t="s">
        <v>309</v>
      </c>
      <c r="F60" s="15" t="s">
        <v>12</v>
      </c>
      <c r="G60" s="8" t="s">
        <v>310</v>
      </c>
      <c r="H60" s="2" t="str">
        <f>IF(NOT(ISBLANK(design[[#This Row],[Commentaires]])), "Needs Fix",
    IF(design[[#This Row],[Review]]&lt;&gt;"inactive", design[[#This Row],[Review]],
        IF(design[[#This Row],[Progress]]=100%, "Pending Review",
            IF(AND(0%&lt;design[[#This Row],[Progress]], design[[#This Row],[Progress]]&lt;100%),  "In Progress", "Ready")
        )
    )
)</f>
        <v>Approved</v>
      </c>
      <c r="I60" s="2">
        <v>0</v>
      </c>
      <c r="J60" s="185">
        <v>1</v>
      </c>
      <c r="K60" s="185">
        <v>1</v>
      </c>
      <c r="L60" s="185">
        <v>1</v>
      </c>
      <c r="M60" s="6" cm="1">
        <f t="array" ref="M60">SUM(design[[#This Row],[rnd]:[clean]]*design_ponderation)</f>
        <v>1</v>
      </c>
      <c r="N60" s="84">
        <f>(1-design[[#This Row],[Progress]])*design[[#This Row],[Estimated]]</f>
        <v>0</v>
      </c>
      <c r="O60" s="189"/>
    </row>
    <row r="61" spans="1:15" ht="23.25" customHeight="1" x14ac:dyDescent="0.25">
      <c r="A61" s="175" t="str">
        <f>metaASSETS[[#This Row],[Asset Name]]</f>
        <v>chains_01</v>
      </c>
      <c r="B61" s="8" t="str">
        <f>metaASSETS[[#This Row],[Type]]</f>
        <v>Prop</v>
      </c>
      <c r="D61" s="85" t="b">
        <v>0</v>
      </c>
      <c r="E61" s="186" t="s">
        <v>309</v>
      </c>
      <c r="F61" s="15" t="s">
        <v>12</v>
      </c>
      <c r="G61" s="8" t="s">
        <v>310</v>
      </c>
      <c r="H61" s="2" t="str">
        <f>IF(NOT(ISBLANK(design[[#This Row],[Commentaires]])), "Needs Fix",
    IF(design[[#This Row],[Review]]&lt;&gt;"inactive", design[[#This Row],[Review]],
        IF(design[[#This Row],[Progress]]=100%, "Pending Review",
            IF(AND(0%&lt;design[[#This Row],[Progress]], design[[#This Row],[Progress]]&lt;100%),  "In Progress", "Ready")
        )
    )
)</f>
        <v>Approved</v>
      </c>
      <c r="I61" s="2">
        <v>0</v>
      </c>
      <c r="J61" s="185">
        <v>1</v>
      </c>
      <c r="K61" s="185">
        <v>1</v>
      </c>
      <c r="L61" s="185">
        <v>1</v>
      </c>
      <c r="M61" s="6" cm="1">
        <f t="array" ref="M61">SUM(design[[#This Row],[rnd]:[clean]]*design_ponderation)</f>
        <v>1</v>
      </c>
      <c r="N61" s="84">
        <f>(1-design[[#This Row],[Progress]])*design[[#This Row],[Estimated]]</f>
        <v>0</v>
      </c>
      <c r="O61" s="189"/>
    </row>
    <row r="62" spans="1:15" ht="23.25" customHeight="1" x14ac:dyDescent="0.25">
      <c r="A62" s="175" t="str">
        <f>metaASSETS[[#This Row],[Asset Name]]</f>
        <v>chains_02</v>
      </c>
      <c r="B62" s="8" t="str">
        <f>metaASSETS[[#This Row],[Type]]</f>
        <v>Prop</v>
      </c>
      <c r="D62" s="85" t="b">
        <v>0</v>
      </c>
      <c r="E62" s="186" t="s">
        <v>309</v>
      </c>
      <c r="F62" s="15" t="s">
        <v>12</v>
      </c>
      <c r="G62" s="8" t="s">
        <v>310</v>
      </c>
      <c r="H62" s="2" t="str">
        <f>IF(NOT(ISBLANK(design[[#This Row],[Commentaires]])), "Needs Fix",
    IF(design[[#This Row],[Review]]&lt;&gt;"inactive", design[[#This Row],[Review]],
        IF(design[[#This Row],[Progress]]=100%, "Pending Review",
            IF(AND(0%&lt;design[[#This Row],[Progress]], design[[#This Row],[Progress]]&lt;100%),  "In Progress", "Ready")
        )
    )
)</f>
        <v>Approved</v>
      </c>
      <c r="I62" s="2">
        <v>0</v>
      </c>
      <c r="J62" s="185">
        <v>1</v>
      </c>
      <c r="K62" s="185">
        <v>1</v>
      </c>
      <c r="L62" s="185">
        <v>1</v>
      </c>
      <c r="M62" s="6" cm="1">
        <f t="array" ref="M62">SUM(design[[#This Row],[rnd]:[clean]]*design_ponderation)</f>
        <v>1</v>
      </c>
      <c r="N62" s="84">
        <f>(1-design[[#This Row],[Progress]])*design[[#This Row],[Estimated]]</f>
        <v>0</v>
      </c>
      <c r="O62" s="189"/>
    </row>
    <row r="63" spans="1:15" ht="23.25" customHeight="1" x14ac:dyDescent="0.25">
      <c r="A63" s="175" t="str">
        <f>metaASSETS[[#This Row],[Asset Name]]</f>
        <v>chains_break</v>
      </c>
      <c r="B63" s="8" t="str">
        <f>metaASSETS[[#This Row],[Type]]</f>
        <v>Prop</v>
      </c>
      <c r="D63" s="85" t="b">
        <v>0</v>
      </c>
      <c r="E63" s="186" t="s">
        <v>309</v>
      </c>
      <c r="F63" s="15" t="s">
        <v>12</v>
      </c>
      <c r="G63" s="8" t="s">
        <v>310</v>
      </c>
      <c r="H63" s="2" t="str">
        <f>IF(NOT(ISBLANK(design[[#This Row],[Commentaires]])), "Needs Fix",
    IF(design[[#This Row],[Review]]&lt;&gt;"inactive", design[[#This Row],[Review]],
        IF(design[[#This Row],[Progress]]=100%, "Pending Review",
            IF(AND(0%&lt;design[[#This Row],[Progress]], design[[#This Row],[Progress]]&lt;100%),  "In Progress", "Ready")
        )
    )
)</f>
        <v>Approved</v>
      </c>
      <c r="I63" s="2">
        <v>0</v>
      </c>
      <c r="J63" s="185">
        <v>1</v>
      </c>
      <c r="K63" s="185">
        <v>1</v>
      </c>
      <c r="L63" s="185">
        <v>1</v>
      </c>
      <c r="M63" s="6" cm="1">
        <f t="array" ref="M63">SUM(design[[#This Row],[rnd]:[clean]]*design_ponderation)</f>
        <v>1</v>
      </c>
      <c r="N63" s="84">
        <f>(1-design[[#This Row],[Progress]])*design[[#This Row],[Estimated]]</f>
        <v>0</v>
      </c>
      <c r="O63" s="189"/>
    </row>
    <row r="64" spans="1:15" ht="23.25" customHeight="1" x14ac:dyDescent="0.25">
      <c r="A64" s="175" t="str">
        <f>metaASSETS[[#This Row],[Asset Name]]</f>
        <v>helmet_eng_01</v>
      </c>
      <c r="B64" s="8" t="str">
        <f>metaASSETS[[#This Row],[Type]]</f>
        <v>Prop</v>
      </c>
      <c r="D64" s="85" t="b">
        <v>0</v>
      </c>
      <c r="E64" s="186" t="s">
        <v>309</v>
      </c>
      <c r="F64" s="15" t="s">
        <v>12</v>
      </c>
      <c r="G64" s="8" t="s">
        <v>310</v>
      </c>
      <c r="H64" s="2" t="str">
        <f>IF(NOT(ISBLANK(design[[#This Row],[Commentaires]])), "Needs Fix",
    IF(design[[#This Row],[Review]]&lt;&gt;"inactive", design[[#This Row],[Review]],
        IF(design[[#This Row],[Progress]]=100%, "Pending Review",
            IF(AND(0%&lt;design[[#This Row],[Progress]], design[[#This Row],[Progress]]&lt;100%),  "In Progress", "Ready")
        )
    )
)</f>
        <v>Approved</v>
      </c>
      <c r="I64" s="2">
        <v>0</v>
      </c>
      <c r="J64" s="185">
        <v>1</v>
      </c>
      <c r="K64" s="185">
        <v>1</v>
      </c>
      <c r="L64" s="185">
        <v>1</v>
      </c>
      <c r="M64" s="6" cm="1">
        <f t="array" ref="M64">SUM(design[[#This Row],[rnd]:[clean]]*design_ponderation)</f>
        <v>1</v>
      </c>
      <c r="N64" s="84">
        <f>(1-design[[#This Row],[Progress]])*design[[#This Row],[Estimated]]</f>
        <v>0</v>
      </c>
      <c r="O64" s="189"/>
    </row>
    <row r="65" spans="1:15" ht="23.25" customHeight="1" x14ac:dyDescent="0.25">
      <c r="A65" s="175" t="str">
        <f>metaASSETS[[#This Row],[Asset Name]]</f>
        <v>helmet_eng_02</v>
      </c>
      <c r="B65" s="8" t="str">
        <f>metaASSETS[[#This Row],[Type]]</f>
        <v>Prop</v>
      </c>
      <c r="D65" s="85" t="b">
        <v>0</v>
      </c>
      <c r="E65" s="186" t="s">
        <v>309</v>
      </c>
      <c r="F65" s="15" t="s">
        <v>12</v>
      </c>
      <c r="G65" s="8" t="s">
        <v>310</v>
      </c>
      <c r="H65" s="2" t="str">
        <f>IF(NOT(ISBLANK(design[[#This Row],[Commentaires]])), "Needs Fix",
    IF(design[[#This Row],[Review]]&lt;&gt;"inactive", design[[#This Row],[Review]],
        IF(design[[#This Row],[Progress]]=100%, "Pending Review",
            IF(AND(0%&lt;design[[#This Row],[Progress]], design[[#This Row],[Progress]]&lt;100%),  "In Progress", "Ready")
        )
    )
)</f>
        <v>Approved</v>
      </c>
      <c r="I65" s="2">
        <v>0</v>
      </c>
      <c r="J65" s="185">
        <v>1</v>
      </c>
      <c r="K65" s="185">
        <v>1</v>
      </c>
      <c r="L65" s="185">
        <v>1</v>
      </c>
      <c r="M65" s="6" cm="1">
        <f t="array" ref="M65">SUM(design[[#This Row],[rnd]:[clean]]*design_ponderation)</f>
        <v>1</v>
      </c>
      <c r="N65" s="84">
        <f>(1-design[[#This Row],[Progress]])*design[[#This Row],[Estimated]]</f>
        <v>0</v>
      </c>
      <c r="O65" s="189"/>
    </row>
    <row r="66" spans="1:15" ht="23.25" customHeight="1" x14ac:dyDescent="0.25">
      <c r="A66" s="175" t="str">
        <f>metaASSETS[[#This Row],[Asset Name]]</f>
        <v>helmet_fr_01</v>
      </c>
      <c r="B66" s="8" t="str">
        <f>metaASSETS[[#This Row],[Type]]</f>
        <v>Prop</v>
      </c>
      <c r="D66" s="85" t="b">
        <v>0</v>
      </c>
      <c r="E66" s="186" t="s">
        <v>309</v>
      </c>
      <c r="F66" s="15" t="s">
        <v>12</v>
      </c>
      <c r="G66" s="8" t="s">
        <v>310</v>
      </c>
      <c r="H66" s="2" t="str">
        <f>IF(NOT(ISBLANK(design[[#This Row],[Commentaires]])), "Needs Fix",
    IF(design[[#This Row],[Review]]&lt;&gt;"inactive", design[[#This Row],[Review]],
        IF(design[[#This Row],[Progress]]=100%, "Pending Review",
            IF(AND(0%&lt;design[[#This Row],[Progress]], design[[#This Row],[Progress]]&lt;100%),  "In Progress", "Ready")
        )
    )
)</f>
        <v>Approved</v>
      </c>
      <c r="I66" s="2">
        <v>0</v>
      </c>
      <c r="J66" s="185">
        <v>1</v>
      </c>
      <c r="K66" s="185">
        <v>1</v>
      </c>
      <c r="L66" s="185">
        <v>1</v>
      </c>
      <c r="M66" s="6" cm="1">
        <f t="array" ref="M66">SUM(design[[#This Row],[rnd]:[clean]]*design_ponderation)</f>
        <v>1</v>
      </c>
      <c r="N66" s="84">
        <f>(1-design[[#This Row],[Progress]])*design[[#This Row],[Estimated]]</f>
        <v>0</v>
      </c>
      <c r="O66" s="189"/>
    </row>
    <row r="67" spans="1:15" ht="23.25" customHeight="1" x14ac:dyDescent="0.25">
      <c r="A67" s="175" t="str">
        <f>metaASSETS[[#This Row],[Asset Name]]</f>
        <v>helmet_fr_02</v>
      </c>
      <c r="B67" s="8" t="str">
        <f>metaASSETS[[#This Row],[Type]]</f>
        <v>Prop</v>
      </c>
      <c r="D67" s="85" t="b">
        <v>0</v>
      </c>
      <c r="E67" s="186" t="s">
        <v>309</v>
      </c>
      <c r="F67" s="15" t="s">
        <v>12</v>
      </c>
      <c r="G67" s="8" t="s">
        <v>310</v>
      </c>
      <c r="H67" s="2" t="str">
        <f>IF(NOT(ISBLANK(design[[#This Row],[Commentaires]])), "Needs Fix",
    IF(design[[#This Row],[Review]]&lt;&gt;"inactive", design[[#This Row],[Review]],
        IF(design[[#This Row],[Progress]]=100%, "Pending Review",
            IF(AND(0%&lt;design[[#This Row],[Progress]], design[[#This Row],[Progress]]&lt;100%),  "In Progress", "Ready")
        )
    )
)</f>
        <v>Approved</v>
      </c>
      <c r="I67" s="2">
        <v>0</v>
      </c>
      <c r="J67" s="185">
        <v>1</v>
      </c>
      <c r="K67" s="185">
        <v>1</v>
      </c>
      <c r="L67" s="185">
        <v>1</v>
      </c>
      <c r="M67" s="6" cm="1">
        <f t="array" ref="M67">SUM(design[[#This Row],[rnd]:[clean]]*design_ponderation)</f>
        <v>1</v>
      </c>
      <c r="N67" s="84">
        <f>(1-design[[#This Row],[Progress]])*design[[#This Row],[Estimated]]</f>
        <v>0</v>
      </c>
      <c r="O67" s="189"/>
    </row>
    <row r="68" spans="1:15" ht="23.25" customHeight="1" x14ac:dyDescent="0.25">
      <c r="A68" s="175" t="str">
        <f>metaASSETS[[#This Row],[Asset Name]]</f>
        <v>helmet_fr_03</v>
      </c>
      <c r="B68" s="8" t="str">
        <f>metaASSETS[[#This Row],[Type]]</f>
        <v>Prop</v>
      </c>
      <c r="D68" s="85" t="b">
        <v>0</v>
      </c>
      <c r="E68" s="186" t="s">
        <v>309</v>
      </c>
      <c r="F68" s="15" t="s">
        <v>12</v>
      </c>
      <c r="G68" s="8" t="s">
        <v>310</v>
      </c>
      <c r="H68" s="2" t="str">
        <f>IF(NOT(ISBLANK(design[[#This Row],[Commentaires]])), "Needs Fix",
    IF(design[[#This Row],[Review]]&lt;&gt;"inactive", design[[#This Row],[Review]],
        IF(design[[#This Row],[Progress]]=100%, "Pending Review",
            IF(AND(0%&lt;design[[#This Row],[Progress]], design[[#This Row],[Progress]]&lt;100%),  "In Progress", "Ready")
        )
    )
)</f>
        <v>Approved</v>
      </c>
      <c r="I68" s="2">
        <v>0</v>
      </c>
      <c r="J68" s="185">
        <v>1</v>
      </c>
      <c r="K68" s="185">
        <v>1</v>
      </c>
      <c r="L68" s="185">
        <v>1</v>
      </c>
      <c r="M68" s="6" cm="1">
        <f t="array" ref="M68">SUM(design[[#This Row],[rnd]:[clean]]*design_ponderation)</f>
        <v>1</v>
      </c>
      <c r="N68" s="84">
        <f>(1-design[[#This Row],[Progress]])*design[[#This Row],[Estimated]]</f>
        <v>0</v>
      </c>
      <c r="O68" s="189"/>
    </row>
    <row r="69" spans="1:15" ht="23.25" customHeight="1" x14ac:dyDescent="0.25">
      <c r="A69" s="175" t="str">
        <f>metaASSETS[[#This Row],[Asset Name]]</f>
        <v>mace</v>
      </c>
      <c r="B69" s="8" t="str">
        <f>metaASSETS[[#This Row],[Type]]</f>
        <v>Prop</v>
      </c>
      <c r="D69" s="85" t="b">
        <v>0</v>
      </c>
      <c r="E69" s="186" t="s">
        <v>309</v>
      </c>
      <c r="F69" s="15" t="s">
        <v>12</v>
      </c>
      <c r="G69" s="8" t="s">
        <v>310</v>
      </c>
      <c r="H69" s="2" t="str">
        <f>IF(NOT(ISBLANK(design[[#This Row],[Commentaires]])), "Needs Fix",
    IF(design[[#This Row],[Review]]&lt;&gt;"inactive", design[[#This Row],[Review]],
        IF(design[[#This Row],[Progress]]=100%, "Pending Review",
            IF(AND(0%&lt;design[[#This Row],[Progress]], design[[#This Row],[Progress]]&lt;100%),  "In Progress", "Ready")
        )
    )
)</f>
        <v>Approved</v>
      </c>
      <c r="I69" s="2">
        <v>0</v>
      </c>
      <c r="J69" s="185">
        <v>1</v>
      </c>
      <c r="K69" s="185">
        <v>1</v>
      </c>
      <c r="L69" s="185">
        <v>1</v>
      </c>
      <c r="M69" s="6" cm="1">
        <f t="array" ref="M69">SUM(design[[#This Row],[rnd]:[clean]]*design_ponderation)</f>
        <v>1</v>
      </c>
      <c r="N69" s="84">
        <f>(1-design[[#This Row],[Progress]])*design[[#This Row],[Estimated]]</f>
        <v>0</v>
      </c>
      <c r="O69" s="189"/>
    </row>
    <row r="70" spans="1:15" ht="23.25" customHeight="1" x14ac:dyDescent="0.25">
      <c r="A70" s="175" t="str">
        <f>metaASSETS[[#This Row],[Asset Name]]</f>
        <v>shield</v>
      </c>
      <c r="B70" s="8" t="str">
        <f>metaASSETS[[#This Row],[Type]]</f>
        <v>Prop</v>
      </c>
      <c r="D70" s="85" t="b">
        <v>0</v>
      </c>
      <c r="E70" s="186" t="s">
        <v>309</v>
      </c>
      <c r="F70" s="15" t="s">
        <v>12</v>
      </c>
      <c r="G70" s="8" t="s">
        <v>310</v>
      </c>
      <c r="H70" s="2" t="str">
        <f>IF(NOT(ISBLANK(design[[#This Row],[Commentaires]])), "Needs Fix",
    IF(design[[#This Row],[Review]]&lt;&gt;"inactive", design[[#This Row],[Review]],
        IF(design[[#This Row],[Progress]]=100%, "Pending Review",
            IF(AND(0%&lt;design[[#This Row],[Progress]], design[[#This Row],[Progress]]&lt;100%),  "In Progress", "Ready")
        )
    )
)</f>
        <v>Approved</v>
      </c>
      <c r="I70" s="2">
        <v>2</v>
      </c>
      <c r="J70" s="185">
        <v>1</v>
      </c>
      <c r="K70" s="185">
        <v>1</v>
      </c>
      <c r="L70" s="185">
        <v>1</v>
      </c>
      <c r="M70" s="6" cm="1">
        <f t="array" ref="M70">SUM(design[[#This Row],[rnd]:[clean]]*design_ponderation)</f>
        <v>1</v>
      </c>
      <c r="N70" s="84">
        <f>(1-design[[#This Row],[Progress]])*design[[#This Row],[Estimated]]</f>
        <v>0</v>
      </c>
      <c r="O70" s="189"/>
    </row>
    <row r="71" spans="1:15" ht="23.25" customHeight="1" x14ac:dyDescent="0.25">
      <c r="A71" s="175" t="str">
        <f>metaASSETS[[#This Row],[Asset Name]]</f>
        <v>swrd</v>
      </c>
      <c r="B71" s="8" t="str">
        <f>metaASSETS[[#This Row],[Type]]</f>
        <v>Prop</v>
      </c>
      <c r="D71" s="85" t="b">
        <v>0</v>
      </c>
      <c r="E71" s="186" t="s">
        <v>309</v>
      </c>
      <c r="F71" s="15" t="s">
        <v>12</v>
      </c>
      <c r="G71" s="8" t="s">
        <v>310</v>
      </c>
      <c r="H71" s="2" t="str">
        <f>IF(NOT(ISBLANK(design[[#This Row],[Commentaires]])), "Needs Fix",
    IF(design[[#This Row],[Review]]&lt;&gt;"inactive", design[[#This Row],[Review]],
        IF(design[[#This Row],[Progress]]=100%, "Pending Review",
            IF(AND(0%&lt;design[[#This Row],[Progress]], design[[#This Row],[Progress]]&lt;100%),  "In Progress", "Ready")
        )
    )
)</f>
        <v>Approved</v>
      </c>
      <c r="I71" s="2">
        <v>0</v>
      </c>
      <c r="J71" s="185">
        <v>1</v>
      </c>
      <c r="K71" s="185">
        <v>1</v>
      </c>
      <c r="L71" s="185">
        <v>1</v>
      </c>
      <c r="M71" s="6" cm="1">
        <f t="array" ref="M71">SUM(design[[#This Row],[rnd]:[clean]]*design_ponderation)</f>
        <v>1</v>
      </c>
      <c r="N71" s="84">
        <f>(1-design[[#This Row],[Progress]])*design[[#This Row],[Estimated]]</f>
        <v>0</v>
      </c>
      <c r="O71" s="189"/>
    </row>
    <row r="72" spans="1:15" ht="23.25" customHeight="1" x14ac:dyDescent="0.25">
      <c r="A72" s="175" t="str">
        <f>metaASSETS[[#This Row],[Asset Name]]</f>
        <v>swrd_01</v>
      </c>
      <c r="B72" s="8" t="str">
        <f>metaASSETS[[#This Row],[Type]]</f>
        <v>Prop</v>
      </c>
      <c r="D72" s="85" t="b">
        <v>0</v>
      </c>
      <c r="E72" s="186" t="s">
        <v>309</v>
      </c>
      <c r="F72" s="15" t="s">
        <v>12</v>
      </c>
      <c r="G72" s="8" t="s">
        <v>310</v>
      </c>
      <c r="H72" s="2" t="str">
        <f>IF(NOT(ISBLANK(design[[#This Row],[Commentaires]])), "Needs Fix",
    IF(design[[#This Row],[Review]]&lt;&gt;"inactive", design[[#This Row],[Review]],
        IF(design[[#This Row],[Progress]]=100%, "Pending Review",
            IF(AND(0%&lt;design[[#This Row],[Progress]], design[[#This Row],[Progress]]&lt;100%),  "In Progress", "Ready")
        )
    )
)</f>
        <v>Approved</v>
      </c>
      <c r="I72" s="2">
        <v>0</v>
      </c>
      <c r="J72" s="185">
        <v>1</v>
      </c>
      <c r="K72" s="185">
        <v>1</v>
      </c>
      <c r="L72" s="185">
        <v>1</v>
      </c>
      <c r="M72" s="6" cm="1">
        <f t="array" ref="M72">SUM(design[[#This Row],[rnd]:[clean]]*design_ponderation)</f>
        <v>1</v>
      </c>
      <c r="N72" s="84">
        <f>(1-design[[#This Row],[Progress]])*design[[#This Row],[Estimated]]</f>
        <v>0</v>
      </c>
      <c r="O72" s="189"/>
    </row>
    <row r="73" spans="1:15" ht="23.25" customHeight="1" x14ac:dyDescent="0.25">
      <c r="A73" s="175" t="str">
        <f>metaASSETS[[#This Row],[Asset Name]]</f>
        <v>weapon_01</v>
      </c>
      <c r="B73" s="8" t="str">
        <f>metaASSETS[[#This Row],[Type]]</f>
        <v>Prop</v>
      </c>
      <c r="D73" s="85" t="b">
        <v>0</v>
      </c>
      <c r="E73" s="186" t="s">
        <v>309</v>
      </c>
      <c r="F73" s="15" t="s">
        <v>12</v>
      </c>
      <c r="G73" s="8" t="s">
        <v>310</v>
      </c>
      <c r="H73" s="2" t="str">
        <f>IF(NOT(ISBLANK(design[[#This Row],[Commentaires]])), "Needs Fix",
    IF(design[[#This Row],[Review]]&lt;&gt;"inactive", design[[#This Row],[Review]],
        IF(design[[#This Row],[Progress]]=100%, "Pending Review",
            IF(AND(0%&lt;design[[#This Row],[Progress]], design[[#This Row],[Progress]]&lt;100%),  "In Progress", "Ready")
        )
    )
)</f>
        <v>Approved</v>
      </c>
      <c r="I73" s="2">
        <v>0</v>
      </c>
      <c r="J73" s="185">
        <v>1</v>
      </c>
      <c r="K73" s="185">
        <v>1</v>
      </c>
      <c r="L73" s="185">
        <v>1</v>
      </c>
      <c r="M73" s="6" cm="1">
        <f t="array" ref="M73">SUM(design[[#This Row],[rnd]:[clean]]*design_ponderation)</f>
        <v>1</v>
      </c>
      <c r="N73" s="84">
        <f>(1-design[[#This Row],[Progress]])*design[[#This Row],[Estimated]]</f>
        <v>0</v>
      </c>
      <c r="O73" s="189"/>
    </row>
    <row r="74" spans="1:15" ht="23.25" customHeight="1" x14ac:dyDescent="0.25">
      <c r="A74" s="175" t="str">
        <f>metaASSETS[[#This Row],[Asset Name]]</f>
        <v>weapon_02</v>
      </c>
      <c r="B74" s="8" t="str">
        <f>metaASSETS[[#This Row],[Type]]</f>
        <v>Prop</v>
      </c>
      <c r="D74" s="85" t="b">
        <v>0</v>
      </c>
      <c r="E74" s="186" t="s">
        <v>309</v>
      </c>
      <c r="F74" s="15" t="s">
        <v>20</v>
      </c>
      <c r="G74" s="8" t="s">
        <v>310</v>
      </c>
      <c r="H74" s="2" t="str">
        <f>IF(NOT(ISBLANK(design[[#This Row],[Commentaires]])), "Needs Fix",
    IF(design[[#This Row],[Review]]&lt;&gt;"inactive", design[[#This Row],[Review]],
        IF(design[[#This Row],[Progress]]=100%, "Pending Review",
            IF(AND(0%&lt;design[[#This Row],[Progress]], design[[#This Row],[Progress]]&lt;100%),  "In Progress", "Ready")
        )
    )
)</f>
        <v>Approved</v>
      </c>
      <c r="I74" s="2">
        <v>0</v>
      </c>
      <c r="J74" s="185">
        <v>1</v>
      </c>
      <c r="K74" s="185">
        <v>1</v>
      </c>
      <c r="L74" s="185">
        <v>1</v>
      </c>
      <c r="M74" s="6" cm="1">
        <f t="array" ref="M74">SUM(design[[#This Row],[rnd]:[clean]]*design_ponderation)</f>
        <v>1</v>
      </c>
      <c r="N74" s="84">
        <f>(1-design[[#This Row],[Progress]])*design[[#This Row],[Estimated]]</f>
        <v>0</v>
      </c>
      <c r="O74" s="189"/>
    </row>
    <row r="75" spans="1:15" ht="23.25" customHeight="1" x14ac:dyDescent="0.25">
      <c r="A75" s="175" t="str">
        <f>metaASSETS[[#This Row],[Asset Name]]</f>
        <v>weapon_03</v>
      </c>
      <c r="B75" s="8" t="str">
        <f>metaASSETS[[#This Row],[Type]]</f>
        <v>Prop</v>
      </c>
      <c r="D75" s="85" t="b">
        <v>0</v>
      </c>
      <c r="E75" s="186" t="s">
        <v>309</v>
      </c>
      <c r="F75" s="15" t="s">
        <v>12</v>
      </c>
      <c r="G75" s="8" t="s">
        <v>310</v>
      </c>
      <c r="H75" s="2" t="str">
        <f>IF(NOT(ISBLANK(design[[#This Row],[Commentaires]])), "Needs Fix",
    IF(design[[#This Row],[Review]]&lt;&gt;"inactive", design[[#This Row],[Review]],
        IF(design[[#This Row],[Progress]]=100%, "Pending Review",
            IF(AND(0%&lt;design[[#This Row],[Progress]], design[[#This Row],[Progress]]&lt;100%),  "In Progress", "Ready")
        )
    )
)</f>
        <v>Approved</v>
      </c>
      <c r="I75" s="2">
        <v>0</v>
      </c>
      <c r="J75" s="185">
        <v>1</v>
      </c>
      <c r="K75" s="185">
        <v>1</v>
      </c>
      <c r="L75" s="185">
        <v>1</v>
      </c>
      <c r="M75" s="6" cm="1">
        <f t="array" ref="M75">SUM(design[[#This Row],[rnd]:[clean]]*design_ponderation)</f>
        <v>1</v>
      </c>
      <c r="N75" s="84">
        <f>(1-design[[#This Row],[Progress]])*design[[#This Row],[Estimated]]</f>
        <v>0</v>
      </c>
      <c r="O75" s="189"/>
    </row>
    <row r="76" spans="1:15" ht="23.25" customHeight="1" x14ac:dyDescent="0.25">
      <c r="A76" s="175" t="str">
        <f>metaASSETS[[#This Row],[Asset Name]]</f>
        <v>weapon_04</v>
      </c>
      <c r="B76" s="8" t="str">
        <f>metaASSETS[[#This Row],[Type]]</f>
        <v>Prop</v>
      </c>
      <c r="D76" s="85" t="b">
        <v>0</v>
      </c>
      <c r="E76" s="186" t="s">
        <v>309</v>
      </c>
      <c r="F76" s="15" t="s">
        <v>20</v>
      </c>
      <c r="G76" s="8" t="s">
        <v>310</v>
      </c>
      <c r="H76" s="2" t="str">
        <f>IF(NOT(ISBLANK(design[[#This Row],[Commentaires]])), "Needs Fix",
    IF(design[[#This Row],[Review]]&lt;&gt;"inactive", design[[#This Row],[Review]],
        IF(design[[#This Row],[Progress]]=100%, "Pending Review",
            IF(AND(0%&lt;design[[#This Row],[Progress]], design[[#This Row],[Progress]]&lt;100%),  "In Progress", "Ready")
        )
    )
)</f>
        <v>Approved</v>
      </c>
      <c r="I76" s="2">
        <v>0</v>
      </c>
      <c r="J76" s="185">
        <v>1</v>
      </c>
      <c r="K76" s="185">
        <v>1</v>
      </c>
      <c r="L76" s="185">
        <v>1</v>
      </c>
      <c r="M76" s="6" cm="1">
        <f t="array" ref="M76">SUM(design[[#This Row],[rnd]:[clean]]*design_ponderation)</f>
        <v>1</v>
      </c>
      <c r="N76" s="84">
        <f>(1-design[[#This Row],[Progress]])*design[[#This Row],[Estimated]]</f>
        <v>0</v>
      </c>
      <c r="O76" s="189"/>
    </row>
    <row r="77" spans="1:15" ht="23.25" customHeight="1" x14ac:dyDescent="0.25">
      <c r="A77" s="175" t="str">
        <f>metaASSETS[[#This Row],[Asset Name]]</f>
        <v>weapon_05</v>
      </c>
      <c r="B77" s="8" t="str">
        <f>metaASSETS[[#This Row],[Type]]</f>
        <v>Prop</v>
      </c>
      <c r="D77" s="85" t="b">
        <v>0</v>
      </c>
      <c r="E77" s="186" t="s">
        <v>309</v>
      </c>
      <c r="F77" s="15" t="s">
        <v>16</v>
      </c>
      <c r="G77" s="8" t="s">
        <v>312</v>
      </c>
      <c r="H77" s="2" t="str">
        <f>IF(NOT(ISBLANK(design[[#This Row],[Commentaires]])), "Needs Fix",
    IF(design[[#This Row],[Review]]&lt;&gt;"inactive", design[[#This Row],[Review]],
        IF(design[[#This Row],[Progress]]=100%, "Pending Review",
            IF(AND(0%&lt;design[[#This Row],[Progress]], design[[#This Row],[Progress]]&lt;100%),  "In Progress", "Ready")
        )
    )
)</f>
        <v>Approved</v>
      </c>
      <c r="I77" s="2">
        <v>0</v>
      </c>
      <c r="J77" s="185">
        <v>1</v>
      </c>
      <c r="K77" s="185">
        <v>1</v>
      </c>
      <c r="L77" s="185">
        <v>1</v>
      </c>
      <c r="M77" s="6" cm="1">
        <f t="array" ref="M77">SUM(design[[#This Row],[rnd]:[clean]]*design_ponderation)</f>
        <v>1</v>
      </c>
      <c r="N77" s="84">
        <f>(1-design[[#This Row],[Progress]])*design[[#This Row],[Estimated]]</f>
        <v>0</v>
      </c>
      <c r="O77" s="189"/>
    </row>
    <row r="78" spans="1:15" ht="23.25" customHeight="1" x14ac:dyDescent="0.25">
      <c r="A78" s="175" t="str">
        <f>metaASSETS[[#This Row],[Asset Name]]</f>
        <v>broken_vitrail</v>
      </c>
      <c r="B78" s="8" t="str">
        <f>metaASSETS[[#This Row],[Type]]</f>
        <v>Prop</v>
      </c>
      <c r="D78" s="85" t="b">
        <v>0</v>
      </c>
      <c r="E78" s="186" t="s">
        <v>309</v>
      </c>
      <c r="F78" s="15" t="s">
        <v>12</v>
      </c>
      <c r="G78" s="8" t="s">
        <v>313</v>
      </c>
      <c r="H78" s="2" t="str">
        <f>IF(NOT(ISBLANK(design[[#This Row],[Commentaires]])), "Needs Fix",
    IF(design[[#This Row],[Review]]&lt;&gt;"inactive", design[[#This Row],[Review]],
        IF(design[[#This Row],[Progress]]=100%, "Pending Review",
            IF(AND(0%&lt;design[[#This Row],[Progress]], design[[#This Row],[Progress]]&lt;100%),  "In Progress", "Ready")
        )
    )
)</f>
        <v>Approved</v>
      </c>
      <c r="I78" s="2">
        <v>0</v>
      </c>
      <c r="J78" s="185">
        <v>1</v>
      </c>
      <c r="K78" s="185">
        <v>1</v>
      </c>
      <c r="L78" s="185">
        <v>1</v>
      </c>
      <c r="M78" s="6" cm="1">
        <f t="array" ref="M78">SUM(design[[#This Row],[rnd]:[clean]]*design_ponderation)</f>
        <v>1</v>
      </c>
      <c r="N78" s="84">
        <f>(1-design[[#This Row],[Progress]])*design[[#This Row],[Estimated]]</f>
        <v>0</v>
      </c>
      <c r="O78" s="189"/>
    </row>
    <row r="79" spans="1:15" ht="23.25" customHeight="1" x14ac:dyDescent="0.25">
      <c r="A79" s="2" t="s">
        <v>22</v>
      </c>
      <c r="I79" s="2">
        <f>SUBTOTAL(109,design[Estimated])</f>
        <v>168</v>
      </c>
      <c r="J79" s="16">
        <f>SUBTOTAL(101,design[rnd])</f>
        <v>1</v>
      </c>
      <c r="K79" s="16">
        <f>SUBTOTAL(101,design[rough])</f>
        <v>1</v>
      </c>
      <c r="L79" s="16">
        <f>SUBTOTAL(101,design[clean])</f>
        <v>1</v>
      </c>
      <c r="M79" s="16">
        <f>(design[[#Totals],[Estimated]]-design[[#Totals],[Hours to do]])/design[[#Totals],[Estimated]]</f>
        <v>1</v>
      </c>
      <c r="N79" s="84">
        <f>SUBTOTAL(109,design[Hours to do])</f>
        <v>0</v>
      </c>
      <c r="O79" s="8"/>
    </row>
  </sheetData>
  <sheetProtection algorithmName="SHA-512" hashValue="dMvtfh/Y1gTbmzBtGflEj29v79aKL40CiY42NGoVnJvQ5rONQwg8915MqqZkc/UW4gVXpxp5sLGbvCrWBKXcVA==" saltValue="vd68JIFEYpPGu6OXCC7VAg==" spinCount="100000" sheet="1" selectLockedCells="1" autoFilter="0"/>
  <mergeCells count="1">
    <mergeCell ref="A1:D2"/>
  </mergeCells>
  <conditionalFormatting sqref="H4:H79">
    <cfRule type="containsText" dxfId="94" priority="1" operator="containsText" text="Needs Fix">
      <formula>NOT(ISERROR(SEARCH("Needs Fix",H4)))</formula>
    </cfRule>
    <cfRule type="containsText" dxfId="93" priority="2" operator="containsText" text="Approved">
      <formula>NOT(ISERROR(SEARCH("Approved",H4)))</formula>
    </cfRule>
    <cfRule type="containsText" dxfId="92" priority="3" operator="containsText" text="Pending Review">
      <formula>NOT(ISERROR(SEARCH("Pending Review",H4)))</formula>
    </cfRule>
    <cfRule type="containsText" dxfId="91" priority="4" operator="containsText" text="In Progress">
      <formula>NOT(ISERROR(SEARCH("In Progress",H4)))</formula>
    </cfRule>
    <cfRule type="containsText" dxfId="90" priority="5" operator="containsText" text="Ready">
      <formula>NOT(ISERROR(SEARCH("Ready",H4)))</formula>
    </cfRule>
    <cfRule type="containsText" dxfId="89" priority="6" operator="containsText" text="Upcoming">
      <formula>NOT(ISERROR(SEARCH("Upcoming",H4)))</formula>
    </cfRule>
    <cfRule type="containsText" dxfId="88" priority="7" operator="containsText" text="Waiting">
      <formula>NOT(ISERROR(SEARCH("Waiting",H4)))</formula>
    </cfRule>
  </conditionalFormatting>
  <conditionalFormatting sqref="J4:M78">
    <cfRule type="colorScale" priority="8">
      <colorScale>
        <cfvo type="num" val="0"/>
        <cfvo type="num" val="0.5"/>
        <cfvo type="num" val="1"/>
        <color rgb="FFFF0000"/>
        <color rgb="FFFFFF00"/>
        <color theme="9" tint="-0.249977111117893"/>
      </colorScale>
    </cfRule>
  </conditionalFormatting>
  <conditionalFormatting sqref="O11:O31 O4:O9 N4:N78 D4:D78">
    <cfRule type="dataBar" priority="217">
      <dataBar>
        <cfvo type="min"/>
        <cfvo type="max"/>
        <color rgb="FF008AEF"/>
      </dataBar>
      <extLst>
        <ext xmlns:x14="http://schemas.microsoft.com/office/spreadsheetml/2009/9/main" uri="{B025F937-C7B1-47D3-B67F-A62EFF666E3E}">
          <x14:id>{812EFB03-EAAA-442B-A839-CEFBA68BDB71}</x14:id>
        </ext>
      </extLst>
    </cfRule>
  </conditionalFormatting>
  <pageMargins left="0.7" right="0.7" top="0.75" bottom="0.75" header="0.3" footer="0.3"/>
  <pageSetup paperSize="9" orientation="portrait" horizontalDpi="360" verticalDpi="36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12EFB03-EAAA-442B-A839-CEFBA68BDB71}">
            <x14:dataBar minLength="0" maxLength="100" border="1" negativeBarBorderColorSameAsPositive="0">
              <x14:cfvo type="autoMin"/>
              <x14:cfvo type="autoMax"/>
              <x14:borderColor rgb="FF008AEF"/>
              <x14:negativeFillColor rgb="FFFF0000"/>
              <x14:negativeBorderColor rgb="FFFF0000"/>
              <x14:axisColor rgb="FF000000"/>
            </x14:dataBar>
          </x14:cfRule>
          <xm:sqref>O11:O31 O4:O9 N4:N78 D4:D78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2769AF8-C41C-49D7-87F9-31A8C3C72751}">
          <x14:formula1>
            <xm:f>_data_!$T$8:$T$10</xm:f>
          </x14:formula1>
          <xm:sqref>E4:E78</xm:sqref>
        </x14:dataValidation>
        <x14:dataValidation type="list" allowBlank="1" showInputMessage="1" showErrorMessage="1" xr:uid="{5A60C9EF-8AF3-4349-92A9-C2E8787F87C3}">
          <x14:formula1>
            <xm:f>_data_!$R$15:$R$16</xm:f>
          </x14:formula1>
          <xm:sqref>D4:D78</xm:sqref>
        </x14:dataValidation>
        <x14:dataValidation type="list" allowBlank="1" showInputMessage="1" showErrorMessage="1" xr:uid="{C8554D5F-AB4A-4D90-8EBF-9AD818ED173E}">
          <x14:formula1>
            <xm:f>_data_!$M$18:$M$22</xm:f>
          </x14:formula1>
          <xm:sqref>G4:G78</xm:sqref>
        </x14:dataValidation>
        <x14:dataValidation type="list" allowBlank="1" showInputMessage="1" showErrorMessage="1" xr:uid="{A7A0A2EA-443E-41CE-A911-E63601169B69}">
          <x14:formula1>
            <xm:f>_data_!$X$28:$X$32</xm:f>
          </x14:formula1>
          <xm:sqref>F4:F78</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AF2E7-CB6D-48D1-B650-6FB7B06C7826}">
  <sheetPr codeName="Feuil5">
    <tabColor rgb="FF24A699"/>
  </sheetPr>
  <dimension ref="A1:O79"/>
  <sheetViews>
    <sheetView showGridLines="0" showRowColHeaders="0" tabSelected="1" zoomScaleNormal="100" workbookViewId="0">
      <pane ySplit="3" topLeftCell="A4" activePane="bottomLeft" state="frozen"/>
      <selection activeCell="C28" sqref="C28"/>
      <selection pane="bottomLeft" activeCell="K40" sqref="K40"/>
    </sheetView>
  </sheetViews>
  <sheetFormatPr baseColWidth="10" defaultColWidth="16" defaultRowHeight="23.25" customHeight="1" x14ac:dyDescent="0.25"/>
  <cols>
    <col min="1" max="1" width="17.85546875" style="2" customWidth="1"/>
    <col min="2" max="14" width="14.28515625" style="2" customWidth="1"/>
    <col min="15" max="15" width="67.140625" style="2" customWidth="1"/>
    <col min="16" max="16" width="107.140625" style="2" customWidth="1"/>
    <col min="17" max="16384" width="16" style="2"/>
  </cols>
  <sheetData>
    <row r="1" spans="1:15" s="118" customFormat="1" ht="41.25" customHeight="1" x14ac:dyDescent="0.25">
      <c r="A1" s="286" t="s">
        <v>315</v>
      </c>
      <c r="B1" s="286"/>
      <c r="C1" s="286"/>
      <c r="D1" s="286"/>
      <c r="E1" s="286"/>
      <c r="F1" s="286"/>
      <c r="G1" s="286"/>
      <c r="H1" s="286"/>
      <c r="I1" s="116" t="s">
        <v>297</v>
      </c>
      <c r="J1" s="117">
        <v>0.4</v>
      </c>
      <c r="K1" s="117">
        <v>0.3</v>
      </c>
      <c r="L1" s="117">
        <v>0.3</v>
      </c>
    </row>
    <row r="2" spans="1:15" s="118" customFormat="1" ht="41.25" customHeight="1" x14ac:dyDescent="0.25">
      <c r="A2" s="286"/>
      <c r="B2" s="286"/>
      <c r="C2" s="286"/>
      <c r="D2" s="286"/>
      <c r="E2" s="286"/>
      <c r="F2" s="286"/>
      <c r="G2" s="286"/>
      <c r="H2" s="286"/>
      <c r="I2" s="118" t="s">
        <v>298</v>
      </c>
      <c r="J2" s="119" cm="1">
        <f t="array" ref="J2">IF(J79="Done", "Done",J1*SUM(modeling[[Estimated]:[Estimated]]*(1-modeling[blocking])))</f>
        <v>0</v>
      </c>
      <c r="K2" s="119" cm="1">
        <f t="array" ref="K2">IF(K79="Done", "Done",K1*SUM(modeling[[Estimated]:[Estimated]]*(1-modeling[polish])))</f>
        <v>0.29999999999999993</v>
      </c>
      <c r="L2" s="119" cm="1">
        <f t="array" ref="L2">IF(L79="Done", "Done",L1*SUM(modeling[[Estimated]:[Estimated]]*(1-modeling[uv])))</f>
        <v>3.2999999999999994</v>
      </c>
    </row>
    <row r="3" spans="1:15" ht="23.25" customHeight="1" x14ac:dyDescent="0.25">
      <c r="A3" s="2" t="s">
        <v>299</v>
      </c>
      <c r="B3" s="2" t="s">
        <v>23</v>
      </c>
      <c r="C3" s="2" t="s">
        <v>300</v>
      </c>
      <c r="D3" s="2" t="s">
        <v>301</v>
      </c>
      <c r="E3" s="2" t="s">
        <v>302</v>
      </c>
      <c r="F3" s="2" t="s">
        <v>6</v>
      </c>
      <c r="G3" s="2" t="s">
        <v>303</v>
      </c>
      <c r="H3" s="2" t="s">
        <v>269</v>
      </c>
      <c r="I3" s="2" t="s">
        <v>304</v>
      </c>
      <c r="J3" s="171" t="s">
        <v>316</v>
      </c>
      <c r="K3" s="171" t="s">
        <v>317</v>
      </c>
      <c r="L3" s="171" t="s">
        <v>318</v>
      </c>
      <c r="M3" s="2" t="s">
        <v>295</v>
      </c>
      <c r="N3" s="2" t="s">
        <v>308</v>
      </c>
      <c r="O3" s="2" t="s">
        <v>270</v>
      </c>
    </row>
    <row r="4" spans="1:15" ht="23.25" customHeight="1" x14ac:dyDescent="0.25">
      <c r="A4" s="174" t="str">
        <f>metaASSETS[[#This Row],[Asset Name]]</f>
        <v>vitrail_00</v>
      </c>
      <c r="B4" s="87" t="str">
        <f>metaASSETS[[#This Row],[Type]]</f>
        <v>Asset</v>
      </c>
      <c r="D4" s="86" t="b">
        <v>0</v>
      </c>
      <c r="E4" s="186" t="s">
        <v>309</v>
      </c>
      <c r="F4" s="165" t="s">
        <v>12</v>
      </c>
      <c r="G4" s="87" t="s">
        <v>310</v>
      </c>
      <c r="H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 s="2">
        <v>10</v>
      </c>
      <c r="J4" s="185">
        <v>1</v>
      </c>
      <c r="K4" s="185">
        <v>1</v>
      </c>
      <c r="L4" s="185">
        <v>1</v>
      </c>
      <c r="M4" s="16" cm="1">
        <f t="array" ref="M4">SUM(modeling[[#This Row],[blocking]:[uv]]*modeling_ponderation)</f>
        <v>1</v>
      </c>
      <c r="N4" s="84">
        <f>(1-modeling[[#This Row],[Progress]])*modeling[[#This Row],[Estimated]]</f>
        <v>0</v>
      </c>
      <c r="O4" s="218"/>
    </row>
    <row r="5" spans="1:15" ht="23.25" customHeight="1" x14ac:dyDescent="0.25">
      <c r="A5" s="174" t="str">
        <f>metaASSETS[[#This Row],[Asset Name]]</f>
        <v>vitrail_01</v>
      </c>
      <c r="B5" s="87" t="str">
        <f>metaASSETS[[#This Row],[Type]]</f>
        <v>Asset</v>
      </c>
      <c r="D5" s="86" t="b">
        <v>1</v>
      </c>
      <c r="E5" s="186" t="s">
        <v>309</v>
      </c>
      <c r="F5" s="165" t="s">
        <v>12</v>
      </c>
      <c r="G5" s="87" t="s">
        <v>310</v>
      </c>
      <c r="H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 s="2">
        <v>10</v>
      </c>
      <c r="J5" s="185">
        <v>1</v>
      </c>
      <c r="K5" s="185">
        <v>1</v>
      </c>
      <c r="L5" s="185">
        <v>1</v>
      </c>
      <c r="M5" s="16" cm="1">
        <f t="array" ref="M5">SUM(modeling[[#This Row],[blocking]:[uv]]*modeling_ponderation)</f>
        <v>1</v>
      </c>
      <c r="N5" s="84">
        <f>(1-modeling[[#This Row],[Progress]])*modeling[[#This Row],[Estimated]]</f>
        <v>0</v>
      </c>
      <c r="O5" s="218"/>
    </row>
    <row r="6" spans="1:15" ht="23.25" customHeight="1" x14ac:dyDescent="0.25">
      <c r="A6" s="174" t="str">
        <f>metaASSETS[[#This Row],[Asset Name]]</f>
        <v>vitrail_02</v>
      </c>
      <c r="B6" s="87" t="str">
        <f>metaASSETS[[#This Row],[Type]]</f>
        <v>Asset</v>
      </c>
      <c r="D6" s="86" t="b">
        <v>0</v>
      </c>
      <c r="E6" s="186" t="s">
        <v>309</v>
      </c>
      <c r="F6" s="165" t="s">
        <v>12</v>
      </c>
      <c r="G6" s="87" t="s">
        <v>310</v>
      </c>
      <c r="H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 s="2">
        <v>10</v>
      </c>
      <c r="J6" s="185">
        <v>1</v>
      </c>
      <c r="K6" s="185">
        <v>1</v>
      </c>
      <c r="L6" s="185">
        <v>1</v>
      </c>
      <c r="M6" s="16" cm="1">
        <f t="array" ref="M6">SUM(modeling[[#This Row],[blocking]:[uv]]*modeling_ponderation)</f>
        <v>1</v>
      </c>
      <c r="N6" s="84">
        <f>(1-modeling[[#This Row],[Progress]])*modeling[[#This Row],[Estimated]]</f>
        <v>0</v>
      </c>
      <c r="O6" s="218"/>
    </row>
    <row r="7" spans="1:15" ht="23.25" customHeight="1" x14ac:dyDescent="0.25">
      <c r="A7" s="174" t="str">
        <f>metaASSETS[[#This Row],[Asset Name]]</f>
        <v>joan</v>
      </c>
      <c r="B7" s="87" t="str">
        <f>metaASSETS[[#This Row],[Type]]</f>
        <v>Character</v>
      </c>
      <c r="D7" s="86" t="b">
        <v>0</v>
      </c>
      <c r="E7" s="186" t="s">
        <v>309</v>
      </c>
      <c r="F7" s="165" t="s">
        <v>14</v>
      </c>
      <c r="G7" s="87" t="s">
        <v>311</v>
      </c>
      <c r="H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 s="2">
        <v>0</v>
      </c>
      <c r="J7" s="185">
        <v>1</v>
      </c>
      <c r="K7" s="185">
        <v>1</v>
      </c>
      <c r="L7" s="185">
        <v>1</v>
      </c>
      <c r="M7" s="16" cm="1">
        <f t="array" ref="M7">SUM(modeling[[#This Row],[blocking]:[uv]]*modeling_ponderation)</f>
        <v>1</v>
      </c>
      <c r="N7" s="84">
        <f>(1-modeling[[#This Row],[Progress]])*modeling[[#This Row],[Estimated]]</f>
        <v>0</v>
      </c>
      <c r="O7" s="218"/>
    </row>
    <row r="8" spans="1:15" ht="23.25" customHeight="1" x14ac:dyDescent="0.25">
      <c r="A8" s="174" t="str">
        <f>metaASSETS[[#This Row],[Asset Name]]</f>
        <v>joan_01</v>
      </c>
      <c r="B8" s="87" t="str">
        <f>metaASSETS[[#This Row],[Type]]</f>
        <v>Character</v>
      </c>
      <c r="D8" s="86" t="b">
        <v>0</v>
      </c>
      <c r="E8" s="186" t="s">
        <v>309</v>
      </c>
      <c r="F8" s="165" t="s">
        <v>12</v>
      </c>
      <c r="G8" s="87" t="s">
        <v>311</v>
      </c>
      <c r="H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8" s="2">
        <v>8</v>
      </c>
      <c r="J8" s="185">
        <v>1</v>
      </c>
      <c r="K8" s="185">
        <v>1</v>
      </c>
      <c r="L8" s="185">
        <v>1</v>
      </c>
      <c r="M8" s="16" cm="1">
        <f t="array" ref="M8">SUM(modeling[[#This Row],[blocking]:[uv]]*modeling_ponderation)</f>
        <v>1</v>
      </c>
      <c r="N8" s="84">
        <f>(1-modeling[[#This Row],[Progress]])*modeling[[#This Row],[Estimated]]</f>
        <v>0</v>
      </c>
      <c r="O8" s="218"/>
    </row>
    <row r="9" spans="1:15" ht="23.25" customHeight="1" x14ac:dyDescent="0.25">
      <c r="A9" s="174" t="str">
        <f>metaASSETS[[#This Row],[Asset Name]]</f>
        <v>joan_dlbr</v>
      </c>
      <c r="B9" s="87" t="str">
        <f>metaASSETS[[#This Row],[Type]]</f>
        <v>Character</v>
      </c>
      <c r="D9" s="86" t="b">
        <v>1</v>
      </c>
      <c r="E9" s="186" t="s">
        <v>309</v>
      </c>
      <c r="F9" s="165" t="s">
        <v>14</v>
      </c>
      <c r="G9" s="87" t="s">
        <v>311</v>
      </c>
      <c r="H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9" s="2">
        <v>10</v>
      </c>
      <c r="J9" s="185">
        <v>1</v>
      </c>
      <c r="K9" s="185">
        <v>1</v>
      </c>
      <c r="L9" s="185">
        <v>1</v>
      </c>
      <c r="M9" s="16" cm="1">
        <f t="array" ref="M9">SUM(modeling[[#This Row],[blocking]:[uv]]*modeling_ponderation)</f>
        <v>1</v>
      </c>
      <c r="N9" s="84">
        <f>(1-modeling[[#This Row],[Progress]])*modeling[[#This Row],[Estimated]]</f>
        <v>0</v>
      </c>
      <c r="O9" s="218"/>
    </row>
    <row r="10" spans="1:15" ht="23.25" customHeight="1" x14ac:dyDescent="0.25">
      <c r="A10" s="174" t="str">
        <f>metaASSETS[[#This Row],[Asset Name]]</f>
        <v>knight</v>
      </c>
      <c r="B10" s="87" t="str">
        <f>metaASSETS[[#This Row],[Type]]</f>
        <v>Character</v>
      </c>
      <c r="D10" s="86" t="b">
        <v>0</v>
      </c>
      <c r="E10" s="186" t="s">
        <v>309</v>
      </c>
      <c r="F10" s="165" t="s">
        <v>14</v>
      </c>
      <c r="G10" s="87" t="s">
        <v>311</v>
      </c>
      <c r="H1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0" s="2">
        <v>25</v>
      </c>
      <c r="J10" s="185">
        <v>1</v>
      </c>
      <c r="K10" s="185">
        <v>1</v>
      </c>
      <c r="L10" s="185">
        <v>1</v>
      </c>
      <c r="M10" s="16" cm="1">
        <f t="array" ref="M10">SUM(modeling[[#This Row],[blocking]:[uv]]*modeling_ponderation)</f>
        <v>1</v>
      </c>
      <c r="N10" s="84">
        <f>(1-modeling[[#This Row],[Progress]])*modeling[[#This Row],[Estimated]]</f>
        <v>0</v>
      </c>
      <c r="O10" s="218"/>
    </row>
    <row r="11" spans="1:15" ht="23.25" customHeight="1" x14ac:dyDescent="0.25">
      <c r="A11" s="174" t="str">
        <f>metaASSETS[[#This Row],[Asset Name]]</f>
        <v>L_arm</v>
      </c>
      <c r="B11" s="87" t="str">
        <f>metaASSETS[[#This Row],[Type]]</f>
        <v>Character</v>
      </c>
      <c r="D11" s="86" t="b">
        <v>0</v>
      </c>
      <c r="E11" s="186" t="s">
        <v>309</v>
      </c>
      <c r="F11" s="165" t="s">
        <v>16</v>
      </c>
      <c r="G11" s="87" t="s">
        <v>312</v>
      </c>
      <c r="H1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1" s="2">
        <v>0</v>
      </c>
      <c r="J11" s="185">
        <v>1</v>
      </c>
      <c r="K11" s="185">
        <v>1</v>
      </c>
      <c r="L11" s="185">
        <v>1</v>
      </c>
      <c r="M11" s="16" cm="1">
        <f t="array" ref="M11">SUM(modeling[[#This Row],[blocking]:[uv]]*modeling_ponderation)</f>
        <v>1</v>
      </c>
      <c r="N11" s="84">
        <f>(1-modeling[[#This Row],[Progress]])*modeling[[#This Row],[Estimated]]</f>
        <v>0</v>
      </c>
      <c r="O11" s="218"/>
    </row>
    <row r="12" spans="1:15" ht="23.25" customHeight="1" x14ac:dyDescent="0.25">
      <c r="A12" s="174" t="str">
        <f>metaASSETS[[#This Row],[Asset Name]]</f>
        <v>L_leg</v>
      </c>
      <c r="B12" s="87" t="str">
        <f>metaASSETS[[#This Row],[Type]]</f>
        <v>Character</v>
      </c>
      <c r="D12" s="86" t="b">
        <v>0</v>
      </c>
      <c r="E12" s="186" t="s">
        <v>309</v>
      </c>
      <c r="F12" s="165" t="s">
        <v>16</v>
      </c>
      <c r="G12" s="87" t="s">
        <v>312</v>
      </c>
      <c r="H1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2" s="2">
        <v>0</v>
      </c>
      <c r="J12" s="185">
        <v>1</v>
      </c>
      <c r="K12" s="185">
        <v>1</v>
      </c>
      <c r="L12" s="185">
        <v>1</v>
      </c>
      <c r="M12" s="16" cm="1">
        <f t="array" ref="M12">SUM(modeling[[#This Row],[blocking]:[uv]]*modeling_ponderation)</f>
        <v>1</v>
      </c>
      <c r="N12" s="84">
        <f>(1-modeling[[#This Row],[Progress]])*modeling[[#This Row],[Estimated]]</f>
        <v>0</v>
      </c>
      <c r="O12" s="218"/>
    </row>
    <row r="13" spans="1:15" ht="23.25" customHeight="1" x14ac:dyDescent="0.25">
      <c r="A13" s="174" t="str">
        <f>metaASSETS[[#This Row],[Asset Name]]</f>
        <v>R_arm</v>
      </c>
      <c r="B13" s="87" t="str">
        <f>metaASSETS[[#This Row],[Type]]</f>
        <v>Character</v>
      </c>
      <c r="D13" s="86" t="b">
        <v>0</v>
      </c>
      <c r="E13" s="186" t="s">
        <v>309</v>
      </c>
      <c r="F13" s="165" t="s">
        <v>16</v>
      </c>
      <c r="G13" s="87" t="s">
        <v>312</v>
      </c>
      <c r="H1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3" s="2">
        <v>0</v>
      </c>
      <c r="J13" s="185">
        <v>1</v>
      </c>
      <c r="K13" s="185">
        <v>1</v>
      </c>
      <c r="L13" s="185">
        <v>1</v>
      </c>
      <c r="M13" s="16" cm="1">
        <f t="array" ref="M13">SUM(modeling[[#This Row],[blocking]:[uv]]*modeling_ponderation)</f>
        <v>1</v>
      </c>
      <c r="N13" s="84">
        <f>(1-modeling[[#This Row],[Progress]])*modeling[[#This Row],[Estimated]]</f>
        <v>0</v>
      </c>
      <c r="O13" s="218"/>
    </row>
    <row r="14" spans="1:15" ht="23.25" customHeight="1" x14ac:dyDescent="0.25">
      <c r="A14" s="174" t="str">
        <f>metaASSETS[[#This Row],[Asset Name]]</f>
        <v>R_leg</v>
      </c>
      <c r="B14" s="87" t="str">
        <f>metaASSETS[[#This Row],[Type]]</f>
        <v>Character</v>
      </c>
      <c r="D14" s="86" t="b">
        <v>0</v>
      </c>
      <c r="E14" s="186" t="s">
        <v>309</v>
      </c>
      <c r="F14" s="165" t="s">
        <v>16</v>
      </c>
      <c r="G14" s="87" t="s">
        <v>312</v>
      </c>
      <c r="H1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4" s="2">
        <v>0</v>
      </c>
      <c r="J14" s="185">
        <v>1</v>
      </c>
      <c r="K14" s="185">
        <v>1</v>
      </c>
      <c r="L14" s="185">
        <v>1</v>
      </c>
      <c r="M14" s="16" cm="1">
        <f t="array" ref="M14">SUM(modeling[[#This Row],[blocking]:[uv]]*modeling_ponderation)</f>
        <v>1</v>
      </c>
      <c r="N14" s="84">
        <f>(1-modeling[[#This Row],[Progress]])*modeling[[#This Row],[Estimated]]</f>
        <v>0</v>
      </c>
      <c r="O14" s="218"/>
    </row>
    <row r="15" spans="1:15" ht="23.25" customHeight="1" x14ac:dyDescent="0.25">
      <c r="A15" s="174" t="str">
        <f>metaASSETS[[#This Row],[Asset Name]]</f>
        <v>soldier_01</v>
      </c>
      <c r="B15" s="87" t="str">
        <f>metaASSETS[[#This Row],[Type]]</f>
        <v>Character</v>
      </c>
      <c r="D15" s="86" t="b">
        <v>0</v>
      </c>
      <c r="E15" s="186" t="s">
        <v>309</v>
      </c>
      <c r="F15" s="165" t="s">
        <v>14</v>
      </c>
      <c r="G15" s="87" t="s">
        <v>313</v>
      </c>
      <c r="H1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5" s="2">
        <v>3</v>
      </c>
      <c r="J15" s="185">
        <v>1</v>
      </c>
      <c r="K15" s="185">
        <v>1</v>
      </c>
      <c r="L15" s="185">
        <v>1</v>
      </c>
      <c r="M15" s="16" cm="1">
        <f t="array" ref="M15">SUM(modeling[[#This Row],[blocking]:[uv]]*modeling_ponderation)</f>
        <v>1</v>
      </c>
      <c r="N15" s="84">
        <f>(1-modeling[[#This Row],[Progress]])*modeling[[#This Row],[Estimated]]</f>
        <v>0</v>
      </c>
      <c r="O15" s="218"/>
    </row>
    <row r="16" spans="1:15" ht="23.25" customHeight="1" x14ac:dyDescent="0.25">
      <c r="A16" s="174" t="str">
        <f>metaASSETS[[#This Row],[Asset Name]]</f>
        <v>soldier_02</v>
      </c>
      <c r="B16" s="87" t="str">
        <f>metaASSETS[[#This Row],[Type]]</f>
        <v>Character</v>
      </c>
      <c r="D16" s="86" t="b">
        <v>0</v>
      </c>
      <c r="E16" s="186" t="s">
        <v>309</v>
      </c>
      <c r="F16" s="165" t="s">
        <v>14</v>
      </c>
      <c r="G16" s="87" t="s">
        <v>313</v>
      </c>
      <c r="H1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6" s="2">
        <v>3</v>
      </c>
      <c r="J16" s="185">
        <v>1</v>
      </c>
      <c r="K16" s="185">
        <v>1</v>
      </c>
      <c r="L16" s="185">
        <v>1</v>
      </c>
      <c r="M16" s="16" cm="1">
        <f t="array" ref="M16">SUM(modeling[[#This Row],[blocking]:[uv]]*modeling_ponderation)</f>
        <v>1</v>
      </c>
      <c r="N16" s="84">
        <f>(1-modeling[[#This Row],[Progress]])*modeling[[#This Row],[Estimated]]</f>
        <v>0</v>
      </c>
      <c r="O16" s="218"/>
    </row>
    <row r="17" spans="1:15" ht="23.25" customHeight="1" x14ac:dyDescent="0.25">
      <c r="A17" s="174" t="str">
        <f>metaASSETS[[#This Row],[Asset Name]]</f>
        <v>soldier_03</v>
      </c>
      <c r="B17" s="87" t="str">
        <f>metaASSETS[[#This Row],[Type]]</f>
        <v>Character</v>
      </c>
      <c r="D17" s="86" t="b">
        <v>0</v>
      </c>
      <c r="E17" s="186" t="s">
        <v>309</v>
      </c>
      <c r="F17" s="165" t="s">
        <v>14</v>
      </c>
      <c r="G17" s="87" t="s">
        <v>313</v>
      </c>
      <c r="H1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7" s="2">
        <v>3</v>
      </c>
      <c r="J17" s="185">
        <v>1</v>
      </c>
      <c r="K17" s="185">
        <v>1</v>
      </c>
      <c r="L17" s="185">
        <v>1</v>
      </c>
      <c r="M17" s="16" cm="1">
        <f t="array" ref="M17">SUM(modeling[[#This Row],[blocking]:[uv]]*modeling_ponderation)</f>
        <v>1</v>
      </c>
      <c r="N17" s="84">
        <f>(1-modeling[[#This Row],[Progress]])*modeling[[#This Row],[Estimated]]</f>
        <v>0</v>
      </c>
      <c r="O17" s="218"/>
    </row>
    <row r="18" spans="1:15" ht="23.25" customHeight="1" x14ac:dyDescent="0.25">
      <c r="A18" s="174" t="str">
        <f>metaASSETS[[#This Row],[Asset Name]]</f>
        <v>villager_01</v>
      </c>
      <c r="B18" s="87" t="str">
        <f>metaASSETS[[#This Row],[Type]]</f>
        <v>Character</v>
      </c>
      <c r="D18" s="86" t="b">
        <v>0</v>
      </c>
      <c r="E18" s="186" t="s">
        <v>309</v>
      </c>
      <c r="F18" s="165" t="s">
        <v>14</v>
      </c>
      <c r="G18" s="87" t="s">
        <v>313</v>
      </c>
      <c r="H1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8" s="2">
        <v>1</v>
      </c>
      <c r="J18" s="185">
        <v>1</v>
      </c>
      <c r="K18" s="185">
        <v>1</v>
      </c>
      <c r="L18" s="185">
        <v>1</v>
      </c>
      <c r="M18" s="16" cm="1">
        <f t="array" ref="M18">SUM(modeling[[#This Row],[blocking]:[uv]]*modeling_ponderation)</f>
        <v>1</v>
      </c>
      <c r="N18" s="84">
        <f>(1-modeling[[#This Row],[Progress]])*modeling[[#This Row],[Estimated]]</f>
        <v>0</v>
      </c>
      <c r="O18" s="218"/>
    </row>
    <row r="19" spans="1:15" ht="23.25" customHeight="1" x14ac:dyDescent="0.25">
      <c r="A19" s="174" t="str">
        <f>metaASSETS[[#This Row],[Asset Name]]</f>
        <v>villager_02</v>
      </c>
      <c r="B19" s="87" t="str">
        <f>metaASSETS[[#This Row],[Type]]</f>
        <v>Character</v>
      </c>
      <c r="D19" s="86" t="b">
        <v>0</v>
      </c>
      <c r="E19" s="186" t="s">
        <v>309</v>
      </c>
      <c r="F19" s="165" t="s">
        <v>14</v>
      </c>
      <c r="G19" s="87" t="s">
        <v>313</v>
      </c>
      <c r="H1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19" s="2">
        <v>1</v>
      </c>
      <c r="J19" s="185">
        <v>1</v>
      </c>
      <c r="K19" s="185">
        <v>1</v>
      </c>
      <c r="L19" s="185">
        <v>1</v>
      </c>
      <c r="M19" s="16" cm="1">
        <f t="array" ref="M19">SUM(modeling[[#This Row],[blocking]:[uv]]*modeling_ponderation)</f>
        <v>1</v>
      </c>
      <c r="N19" s="84">
        <f>(1-modeling[[#This Row],[Progress]])*modeling[[#This Row],[Estimated]]</f>
        <v>0</v>
      </c>
      <c r="O19" s="218"/>
    </row>
    <row r="20" spans="1:15" ht="23.25" customHeight="1" x14ac:dyDescent="0.25">
      <c r="A20" s="174" t="str">
        <f>metaASSETS[[#This Row],[Asset Name]]</f>
        <v>villager_03</v>
      </c>
      <c r="B20" s="87" t="str">
        <f>metaASSETS[[#This Row],[Type]]</f>
        <v>Character</v>
      </c>
      <c r="D20" s="86" t="b">
        <v>0</v>
      </c>
      <c r="E20" s="186" t="s">
        <v>309</v>
      </c>
      <c r="F20" s="165" t="s">
        <v>14</v>
      </c>
      <c r="G20" s="87" t="s">
        <v>313</v>
      </c>
      <c r="H2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0" s="2">
        <v>1</v>
      </c>
      <c r="J20" s="185">
        <v>1</v>
      </c>
      <c r="K20" s="185">
        <v>1</v>
      </c>
      <c r="L20" s="185">
        <v>1</v>
      </c>
      <c r="M20" s="16" cm="1">
        <f t="array" ref="M20">SUM(modeling[[#This Row],[blocking]:[uv]]*modeling_ponderation)</f>
        <v>1</v>
      </c>
      <c r="N20" s="84">
        <f>(1-modeling[[#This Row],[Progress]])*modeling[[#This Row],[Estimated]]</f>
        <v>0</v>
      </c>
      <c r="O20" s="218"/>
    </row>
    <row r="21" spans="1:15" ht="23.25" customHeight="1" x14ac:dyDescent="0.25">
      <c r="A21" s="174" t="str">
        <f>metaASSETS[[#This Row],[Asset Name]]</f>
        <v>villager_04</v>
      </c>
      <c r="B21" s="87" t="str">
        <f>metaASSETS[[#This Row],[Type]]</f>
        <v>Character</v>
      </c>
      <c r="D21" s="86" t="b">
        <v>0</v>
      </c>
      <c r="E21" s="186" t="s">
        <v>309</v>
      </c>
      <c r="F21" s="165" t="s">
        <v>14</v>
      </c>
      <c r="G21" s="87" t="s">
        <v>313</v>
      </c>
      <c r="H2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1" s="2">
        <v>1</v>
      </c>
      <c r="J21" s="185">
        <v>1</v>
      </c>
      <c r="K21" s="185">
        <v>1</v>
      </c>
      <c r="L21" s="185">
        <v>1</v>
      </c>
      <c r="M21" s="16" cm="1">
        <f t="array" ref="M21">SUM(modeling[[#This Row],[blocking]:[uv]]*modeling_ponderation)</f>
        <v>1</v>
      </c>
      <c r="N21" s="84">
        <f>(1-modeling[[#This Row],[Progress]])*modeling[[#This Row],[Estimated]]</f>
        <v>0</v>
      </c>
      <c r="O21" s="218"/>
    </row>
    <row r="22" spans="1:15" ht="23.25" customHeight="1" x14ac:dyDescent="0.25">
      <c r="A22" s="174" t="str">
        <f>metaASSETS[[#This Row],[Asset Name]]</f>
        <v>villager_05</v>
      </c>
      <c r="B22" s="87" t="str">
        <f>metaASSETS[[#This Row],[Type]]</f>
        <v>Character</v>
      </c>
      <c r="D22" s="86" t="b">
        <v>0</v>
      </c>
      <c r="E22" s="186" t="s">
        <v>309</v>
      </c>
      <c r="F22" s="165" t="s">
        <v>14</v>
      </c>
      <c r="G22" s="87" t="s">
        <v>313</v>
      </c>
      <c r="H2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2" s="2">
        <v>1</v>
      </c>
      <c r="J22" s="185">
        <v>1</v>
      </c>
      <c r="K22" s="185">
        <v>1</v>
      </c>
      <c r="L22" s="185">
        <v>1</v>
      </c>
      <c r="M22" s="16" cm="1">
        <f t="array" ref="M22">SUM(modeling[[#This Row],[blocking]:[uv]]*modeling_ponderation)</f>
        <v>1</v>
      </c>
      <c r="N22" s="84">
        <f>(1-modeling[[#This Row],[Progress]])*modeling[[#This Row],[Estimated]]</f>
        <v>0</v>
      </c>
      <c r="O22" s="218"/>
    </row>
    <row r="23" spans="1:15" ht="23.25" customHeight="1" x14ac:dyDescent="0.25">
      <c r="A23" s="174" t="str">
        <f>metaASSETS[[#This Row],[Asset Name]]</f>
        <v>villager_06</v>
      </c>
      <c r="B23" s="87" t="str">
        <f>metaASSETS[[#This Row],[Type]]</f>
        <v>Character</v>
      </c>
      <c r="D23" s="86" t="b">
        <v>0</v>
      </c>
      <c r="E23" s="186" t="s">
        <v>309</v>
      </c>
      <c r="F23" s="165" t="s">
        <v>14</v>
      </c>
      <c r="G23" s="87" t="s">
        <v>313</v>
      </c>
      <c r="H2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3" s="2">
        <v>1</v>
      </c>
      <c r="J23" s="185">
        <v>1</v>
      </c>
      <c r="K23" s="185">
        <v>1</v>
      </c>
      <c r="L23" s="185">
        <v>1</v>
      </c>
      <c r="M23" s="16" cm="1">
        <f t="array" ref="M23">SUM(modeling[[#This Row],[blocking]:[uv]]*modeling_ponderation)</f>
        <v>1</v>
      </c>
      <c r="N23" s="84">
        <f>(1-modeling[[#This Row],[Progress]])*modeling[[#This Row],[Estimated]]</f>
        <v>0</v>
      </c>
      <c r="O23" s="218"/>
    </row>
    <row r="24" spans="1:15" ht="23.25" customHeight="1" x14ac:dyDescent="0.25">
      <c r="A24" s="174" t="str">
        <f>metaASSETS[[#This Row],[Asset Name]]</f>
        <v>villager_07</v>
      </c>
      <c r="B24" s="87" t="str">
        <f>metaASSETS[[#This Row],[Type]]</f>
        <v>Character</v>
      </c>
      <c r="D24" s="86" t="b">
        <v>0</v>
      </c>
      <c r="E24" s="186" t="s">
        <v>309</v>
      </c>
      <c r="F24" s="165" t="s">
        <v>14</v>
      </c>
      <c r="G24" s="87" t="s">
        <v>313</v>
      </c>
      <c r="H2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4" s="2">
        <v>1</v>
      </c>
      <c r="J24" s="185">
        <v>1</v>
      </c>
      <c r="K24" s="185">
        <v>1</v>
      </c>
      <c r="L24" s="185">
        <v>1</v>
      </c>
      <c r="M24" s="16" cm="1">
        <f t="array" ref="M24">SUM(modeling[[#This Row],[blocking]:[uv]]*modeling_ponderation)</f>
        <v>1</v>
      </c>
      <c r="N24" s="84">
        <f>(1-modeling[[#This Row],[Progress]])*modeling[[#This Row],[Estimated]]</f>
        <v>0</v>
      </c>
      <c r="O24" s="218"/>
    </row>
    <row r="25" spans="1:15" ht="23.25" customHeight="1" x14ac:dyDescent="0.25">
      <c r="A25" s="174" t="str">
        <f>metaASSETS[[#This Row],[Asset Name]]</f>
        <v>army_eng</v>
      </c>
      <c r="B25" s="87" t="str">
        <f>metaASSETS[[#This Row],[Type]]</f>
        <v>Crowd</v>
      </c>
      <c r="D25" s="86" t="b">
        <v>0</v>
      </c>
      <c r="E25" s="186" t="s">
        <v>309</v>
      </c>
      <c r="F25" s="165" t="s">
        <v>12</v>
      </c>
      <c r="G25" s="87" t="s">
        <v>310</v>
      </c>
      <c r="H2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5" s="2">
        <v>1</v>
      </c>
      <c r="J25" s="185">
        <v>1</v>
      </c>
      <c r="K25" s="185">
        <v>1</v>
      </c>
      <c r="L25" s="185">
        <v>1</v>
      </c>
      <c r="M25" s="16" cm="1">
        <f t="array" ref="M25">SUM(modeling[[#This Row],[blocking]:[uv]]*modeling_ponderation)</f>
        <v>1</v>
      </c>
      <c r="N25" s="84">
        <f>(1-modeling[[#This Row],[Progress]])*modeling[[#This Row],[Estimated]]</f>
        <v>0</v>
      </c>
      <c r="O25" s="218"/>
    </row>
    <row r="26" spans="1:15" ht="23.25" customHeight="1" x14ac:dyDescent="0.25">
      <c r="A26" s="174" t="str">
        <f>metaASSETS[[#This Row],[Asset Name]]</f>
        <v>army_fr</v>
      </c>
      <c r="B26" s="87" t="str">
        <f>metaASSETS[[#This Row],[Type]]</f>
        <v>Crowd</v>
      </c>
      <c r="D26" s="86" t="b">
        <v>0</v>
      </c>
      <c r="E26" s="186" t="s">
        <v>309</v>
      </c>
      <c r="F26" s="165" t="s">
        <v>14</v>
      </c>
      <c r="G26" s="87" t="s">
        <v>313</v>
      </c>
      <c r="H2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6" s="2">
        <v>1</v>
      </c>
      <c r="J26" s="185">
        <v>1</v>
      </c>
      <c r="K26" s="185">
        <v>1</v>
      </c>
      <c r="L26" s="185">
        <v>1</v>
      </c>
      <c r="M26" s="16" cm="1">
        <f t="array" ref="M26">SUM(modeling[[#This Row],[blocking]:[uv]]*modeling_ponderation)</f>
        <v>1</v>
      </c>
      <c r="N26" s="84">
        <f>(1-modeling[[#This Row],[Progress]])*modeling[[#This Row],[Estimated]]</f>
        <v>0</v>
      </c>
      <c r="O26" s="218"/>
    </row>
    <row r="27" spans="1:15" ht="23.25" customHeight="1" x14ac:dyDescent="0.25">
      <c r="A27" s="174" t="str">
        <f>metaASSETS[[#This Row],[Asset Name]]</f>
        <v>crowd_01</v>
      </c>
      <c r="B27" s="87" t="str">
        <f>metaASSETS[[#This Row],[Type]]</f>
        <v>Crowd</v>
      </c>
      <c r="D27" s="86" t="b">
        <v>0</v>
      </c>
      <c r="E27" s="186" t="s">
        <v>309</v>
      </c>
      <c r="F27" s="165" t="s">
        <v>14</v>
      </c>
      <c r="G27" s="87" t="s">
        <v>313</v>
      </c>
      <c r="H2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7" s="2">
        <v>6</v>
      </c>
      <c r="J27" s="185">
        <v>1</v>
      </c>
      <c r="K27" s="185">
        <v>1</v>
      </c>
      <c r="L27" s="185">
        <v>1</v>
      </c>
      <c r="M27" s="16" cm="1">
        <f t="array" ref="M27">SUM(modeling[[#This Row],[blocking]:[uv]]*modeling_ponderation)</f>
        <v>1</v>
      </c>
      <c r="N27" s="84">
        <f>(1-modeling[[#This Row],[Progress]])*modeling[[#This Row],[Estimated]]</f>
        <v>0</v>
      </c>
      <c r="O27" s="218"/>
    </row>
    <row r="28" spans="1:15" ht="23.25" customHeight="1" x14ac:dyDescent="0.25">
      <c r="A28" s="174" t="str">
        <f>metaASSETS[[#This Row],[Asset Name]]</f>
        <v>crowd_02</v>
      </c>
      <c r="B28" s="87" t="str">
        <f>metaASSETS[[#This Row],[Type]]</f>
        <v>Crowd</v>
      </c>
      <c r="D28" s="86" t="b">
        <v>0</v>
      </c>
      <c r="E28" s="186" t="s">
        <v>309</v>
      </c>
      <c r="F28" s="165" t="s">
        <v>16</v>
      </c>
      <c r="G28" s="87" t="s">
        <v>313</v>
      </c>
      <c r="H2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8" s="2">
        <v>6</v>
      </c>
      <c r="J28" s="185">
        <v>1</v>
      </c>
      <c r="K28" s="185">
        <v>1</v>
      </c>
      <c r="L28" s="185">
        <v>1</v>
      </c>
      <c r="M28" s="16" cm="1">
        <f t="array" ref="M28">SUM(modeling[[#This Row],[blocking]:[uv]]*modeling_ponderation)</f>
        <v>1</v>
      </c>
      <c r="N28" s="84">
        <f>(1-modeling[[#This Row],[Progress]])*modeling[[#This Row],[Estimated]]</f>
        <v>0</v>
      </c>
      <c r="O28" s="218"/>
    </row>
    <row r="29" spans="1:15" ht="23.25" customHeight="1" x14ac:dyDescent="0.25">
      <c r="A29" s="174" t="str">
        <f>metaASSETS[[#This Row],[Asset Name]]</f>
        <v>crowd_03</v>
      </c>
      <c r="B29" s="87" t="str">
        <f>metaASSETS[[#This Row],[Type]]</f>
        <v>Crowd</v>
      </c>
      <c r="D29" s="86" t="b">
        <v>0</v>
      </c>
      <c r="E29" s="186" t="s">
        <v>309</v>
      </c>
      <c r="F29" s="165" t="s">
        <v>16</v>
      </c>
      <c r="G29" s="87" t="s">
        <v>313</v>
      </c>
      <c r="H2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29" s="2">
        <v>6</v>
      </c>
      <c r="J29" s="185">
        <v>1</v>
      </c>
      <c r="K29" s="185">
        <v>1</v>
      </c>
      <c r="L29" s="185">
        <v>1</v>
      </c>
      <c r="M29" s="16" cm="1">
        <f t="array" ref="M29">SUM(modeling[[#This Row],[blocking]:[uv]]*modeling_ponderation)</f>
        <v>1</v>
      </c>
      <c r="N29" s="84">
        <f>(1-modeling[[#This Row],[Progress]])*modeling[[#This Row],[Estimated]]</f>
        <v>0</v>
      </c>
      <c r="O29" s="218"/>
    </row>
    <row r="30" spans="1:15" ht="23.25" customHeight="1" x14ac:dyDescent="0.25">
      <c r="A30" s="174" t="str">
        <f>metaASSETS[[#This Row],[Asset Name]]</f>
        <v>bucher</v>
      </c>
      <c r="B30" s="87" t="str">
        <f>metaASSETS[[#This Row],[Type]]</f>
        <v>Environment</v>
      </c>
      <c r="D30" s="86" t="b">
        <v>0</v>
      </c>
      <c r="E30" s="186" t="s">
        <v>309</v>
      </c>
      <c r="F30" s="165" t="s">
        <v>16</v>
      </c>
      <c r="G30" s="87" t="s">
        <v>313</v>
      </c>
      <c r="H3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0" s="2">
        <v>10</v>
      </c>
      <c r="J30" s="185">
        <v>1</v>
      </c>
      <c r="K30" s="185">
        <v>0.9</v>
      </c>
      <c r="L30" s="185">
        <v>0.9</v>
      </c>
      <c r="M30" s="16" cm="1">
        <f t="array" ref="M30">SUM(modeling[[#This Row],[blocking]:[uv]]*modeling_ponderation)</f>
        <v>0.94000000000000006</v>
      </c>
      <c r="N30" s="84">
        <f>(1-modeling[[#This Row],[Progress]])*modeling[[#This Row],[Estimated]]</f>
        <v>0.59999999999999942</v>
      </c>
      <c r="O30" s="218"/>
    </row>
    <row r="31" spans="1:15" ht="23.25" customHeight="1" x14ac:dyDescent="0.25">
      <c r="A31" s="174" t="str">
        <f>metaASSETS[[#This Row],[Asset Name]]</f>
        <v>church_ext</v>
      </c>
      <c r="B31" s="87" t="str">
        <f>metaASSETS[[#This Row],[Type]]</f>
        <v>Environment</v>
      </c>
      <c r="D31" s="86" t="b">
        <v>0</v>
      </c>
      <c r="E31" s="186" t="s">
        <v>309</v>
      </c>
      <c r="F31" s="165" t="s">
        <v>14</v>
      </c>
      <c r="G31" s="87" t="s">
        <v>311</v>
      </c>
      <c r="H3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1" s="2">
        <v>35</v>
      </c>
      <c r="J31" s="185">
        <v>1</v>
      </c>
      <c r="K31" s="185">
        <v>1</v>
      </c>
      <c r="L31" s="185">
        <v>1</v>
      </c>
      <c r="M31" s="16" cm="1">
        <f t="array" ref="M31">SUM(modeling[[#This Row],[blocking]:[uv]]*modeling_ponderation)</f>
        <v>1</v>
      </c>
      <c r="N31" s="84">
        <f>(1-modeling[[#This Row],[Progress]])*modeling[[#This Row],[Estimated]]</f>
        <v>0</v>
      </c>
      <c r="O31" s="218"/>
    </row>
    <row r="32" spans="1:15" ht="23.25" customHeight="1" x14ac:dyDescent="0.25">
      <c r="A32" s="175" t="str">
        <f>metaASSETS[[#This Row],[Asset Name]]</f>
        <v>church_int</v>
      </c>
      <c r="B32" s="8" t="str">
        <f>metaASSETS[[#This Row],[Type]]</f>
        <v>Environment</v>
      </c>
      <c r="D32" s="86" t="b">
        <v>0</v>
      </c>
      <c r="E32" s="186" t="s">
        <v>309</v>
      </c>
      <c r="F32" s="165" t="s">
        <v>14</v>
      </c>
      <c r="G32" s="8" t="s">
        <v>311</v>
      </c>
      <c r="H3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Needs Fix</v>
      </c>
      <c r="I32" s="2">
        <v>50</v>
      </c>
      <c r="J32" s="185">
        <v>1</v>
      </c>
      <c r="K32" s="185">
        <v>1</v>
      </c>
      <c r="L32" s="185">
        <v>0.8</v>
      </c>
      <c r="M32" s="16" cm="1">
        <f t="array" ref="M32">SUM(modeling[[#This Row],[blocking]:[uv]]*modeling_ponderation)</f>
        <v>0.94</v>
      </c>
      <c r="N32" s="84">
        <f>(1-modeling[[#This Row],[Progress]])*modeling[[#This Row],[Estimated]]</f>
        <v>3.0000000000000027</v>
      </c>
      <c r="O32" s="189" t="s">
        <v>319</v>
      </c>
    </row>
    <row r="33" spans="1:15" ht="23.25" customHeight="1" x14ac:dyDescent="0.25">
      <c r="A33" s="175" t="str">
        <f>metaASSETS[[#This Row],[Asset Name]]</f>
        <v>door_01</v>
      </c>
      <c r="B33" s="8" t="str">
        <f>metaASSETS[[#This Row],[Type]]</f>
        <v>Environment</v>
      </c>
      <c r="D33" s="86" t="b">
        <v>0</v>
      </c>
      <c r="E33" s="186" t="s">
        <v>309</v>
      </c>
      <c r="F33" s="165" t="s">
        <v>14</v>
      </c>
      <c r="G33" s="8" t="s">
        <v>311</v>
      </c>
      <c r="H3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3" s="2">
        <v>1</v>
      </c>
      <c r="J33" s="185">
        <v>1</v>
      </c>
      <c r="K33" s="185">
        <v>1</v>
      </c>
      <c r="L33" s="185">
        <v>1</v>
      </c>
      <c r="M33" s="16" cm="1">
        <f t="array" ref="M33">SUM(modeling[[#This Row],[blocking]:[uv]]*modeling_ponderation)</f>
        <v>1</v>
      </c>
      <c r="N33" s="84">
        <f>(1-modeling[[#This Row],[Progress]])*modeling[[#This Row],[Estimated]]</f>
        <v>0</v>
      </c>
      <c r="O33" s="189"/>
    </row>
    <row r="34" spans="1:15" ht="23.25" customHeight="1" x14ac:dyDescent="0.25">
      <c r="A34" s="175" t="str">
        <f>metaASSETS[[#This Row],[Asset Name]]</f>
        <v>door_02</v>
      </c>
      <c r="B34" s="8" t="str">
        <f>metaASSETS[[#This Row],[Type]]</f>
        <v>Environment</v>
      </c>
      <c r="D34" s="86" t="b">
        <v>0</v>
      </c>
      <c r="E34" s="186" t="s">
        <v>309</v>
      </c>
      <c r="F34" s="165" t="s">
        <v>14</v>
      </c>
      <c r="G34" s="166" t="s">
        <v>312</v>
      </c>
      <c r="H3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4" s="2">
        <v>1</v>
      </c>
      <c r="J34" s="185">
        <v>1</v>
      </c>
      <c r="K34" s="185">
        <v>1</v>
      </c>
      <c r="L34" s="185">
        <v>1</v>
      </c>
      <c r="M34" s="16" cm="1">
        <f t="array" ref="M34">SUM(modeling[[#This Row],[blocking]:[uv]]*modeling_ponderation)</f>
        <v>1</v>
      </c>
      <c r="N34" s="84">
        <f>(1-modeling[[#This Row],[Progress]])*modeling[[#This Row],[Estimated]]</f>
        <v>0</v>
      </c>
      <c r="O34" s="189"/>
    </row>
    <row r="35" spans="1:15" ht="23.25" customHeight="1" x14ac:dyDescent="0.25">
      <c r="A35" s="175" t="str">
        <f>metaASSETS[[#This Row],[Asset Name]]</f>
        <v>door_03</v>
      </c>
      <c r="B35" s="8" t="str">
        <f>metaASSETS[[#This Row],[Type]]</f>
        <v>Environment</v>
      </c>
      <c r="D35" s="86" t="b">
        <v>0</v>
      </c>
      <c r="E35" s="186" t="s">
        <v>309</v>
      </c>
      <c r="F35" s="165" t="s">
        <v>14</v>
      </c>
      <c r="G35" s="166" t="s">
        <v>312</v>
      </c>
      <c r="H3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5" s="2">
        <v>1</v>
      </c>
      <c r="J35" s="185">
        <v>1</v>
      </c>
      <c r="K35" s="185">
        <v>1</v>
      </c>
      <c r="L35" s="185">
        <v>1</v>
      </c>
      <c r="M35" s="16" cm="1">
        <f t="array" ref="M35">SUM(modeling[[#This Row],[blocking]:[uv]]*modeling_ponderation)</f>
        <v>1</v>
      </c>
      <c r="N35" s="84">
        <f>(1-modeling[[#This Row],[Progress]])*modeling[[#This Row],[Estimated]]</f>
        <v>0</v>
      </c>
      <c r="O35" s="189"/>
    </row>
    <row r="36" spans="1:15" ht="23.25" customHeight="1" x14ac:dyDescent="0.25">
      <c r="A36" s="175" t="str">
        <f>metaASSETS[[#This Row],[Asset Name]]</f>
        <v>door_04</v>
      </c>
      <c r="B36" s="8" t="str">
        <f>metaASSETS[[#This Row],[Type]]</f>
        <v>Environment</v>
      </c>
      <c r="D36" s="86" t="b">
        <v>0</v>
      </c>
      <c r="E36" s="186" t="s">
        <v>309</v>
      </c>
      <c r="F36" s="165" t="s">
        <v>14</v>
      </c>
      <c r="G36" s="166" t="s">
        <v>312</v>
      </c>
      <c r="H3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6" s="2">
        <v>1</v>
      </c>
      <c r="J36" s="185">
        <v>1</v>
      </c>
      <c r="K36" s="185">
        <v>1</v>
      </c>
      <c r="L36" s="185">
        <v>1</v>
      </c>
      <c r="M36" s="16" cm="1">
        <f t="array" ref="M36">SUM(modeling[[#This Row],[blocking]:[uv]]*modeling_ponderation)</f>
        <v>1</v>
      </c>
      <c r="N36" s="84">
        <f>(1-modeling[[#This Row],[Progress]])*modeling[[#This Row],[Estimated]]</f>
        <v>0</v>
      </c>
      <c r="O36" s="189"/>
    </row>
    <row r="37" spans="1:15" ht="23.25" customHeight="1" x14ac:dyDescent="0.25">
      <c r="A37" s="175" t="str">
        <f>metaASSETS[[#This Row],[Asset Name]]</f>
        <v>door_05</v>
      </c>
      <c r="B37" s="8" t="str">
        <f>metaASSETS[[#This Row],[Type]]</f>
        <v>Environment</v>
      </c>
      <c r="D37" s="86" t="b">
        <v>0</v>
      </c>
      <c r="E37" s="186" t="s">
        <v>309</v>
      </c>
      <c r="F37" s="165" t="s">
        <v>14</v>
      </c>
      <c r="G37" s="166" t="s">
        <v>312</v>
      </c>
      <c r="H3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7" s="2">
        <v>1</v>
      </c>
      <c r="J37" s="185">
        <v>1</v>
      </c>
      <c r="K37" s="185">
        <v>1</v>
      </c>
      <c r="L37" s="185">
        <v>1</v>
      </c>
      <c r="M37" s="16" cm="1">
        <f t="array" ref="M37">SUM(modeling[[#This Row],[blocking]:[uv]]*modeling_ponderation)</f>
        <v>1</v>
      </c>
      <c r="N37" s="84">
        <f>(1-modeling[[#This Row],[Progress]])*modeling[[#This Row],[Estimated]]</f>
        <v>0</v>
      </c>
      <c r="O37" s="234"/>
    </row>
    <row r="38" spans="1:15" ht="23.25" customHeight="1" x14ac:dyDescent="0.25">
      <c r="A38" s="175" t="str">
        <f>metaASSETS[[#This Row],[Asset Name]]</f>
        <v>fake_int</v>
      </c>
      <c r="B38" s="8" t="str">
        <f>metaASSETS[[#This Row],[Type]]</f>
        <v>Environment</v>
      </c>
      <c r="D38" s="86" t="b">
        <v>0</v>
      </c>
      <c r="E38" s="186" t="s">
        <v>309</v>
      </c>
      <c r="F38" s="165" t="s">
        <v>14</v>
      </c>
      <c r="G38" s="166" t="s">
        <v>312</v>
      </c>
      <c r="H3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8" s="2">
        <v>1</v>
      </c>
      <c r="J38" s="185">
        <v>1</v>
      </c>
      <c r="K38" s="185">
        <v>1</v>
      </c>
      <c r="L38" s="185">
        <v>1</v>
      </c>
      <c r="M38" s="16" cm="1">
        <f t="array" ref="M38">SUM(modeling[[#This Row],[blocking]:[uv]]*modeling_ponderation)</f>
        <v>1</v>
      </c>
      <c r="N38" s="84">
        <f>(1-modeling[[#This Row],[Progress]])*modeling[[#This Row],[Estimated]]</f>
        <v>0</v>
      </c>
      <c r="O38" s="189"/>
    </row>
    <row r="39" spans="1:15" ht="23.25" customHeight="1" x14ac:dyDescent="0.25">
      <c r="A39" s="175" t="str">
        <f>metaASSETS[[#This Row],[Asset Name]]</f>
        <v>flr_01</v>
      </c>
      <c r="B39" s="8" t="str">
        <f>metaASSETS[[#This Row],[Type]]</f>
        <v>Environment</v>
      </c>
      <c r="D39" s="86" t="b">
        <v>0</v>
      </c>
      <c r="E39" s="186" t="s">
        <v>309</v>
      </c>
      <c r="F39" s="165" t="s">
        <v>16</v>
      </c>
      <c r="G39" s="8" t="s">
        <v>313</v>
      </c>
      <c r="H3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39" s="2">
        <v>1</v>
      </c>
      <c r="J39" s="185">
        <v>1</v>
      </c>
      <c r="K39" s="185">
        <v>1</v>
      </c>
      <c r="L39" s="185">
        <v>1</v>
      </c>
      <c r="M39" s="16" cm="1">
        <f t="array" ref="M39">SUM(modeling[[#This Row],[blocking]:[uv]]*modeling_ponderation)</f>
        <v>1</v>
      </c>
      <c r="N39" s="84">
        <f>(1-modeling[[#This Row],[Progress]])*modeling[[#This Row],[Estimated]]</f>
        <v>0</v>
      </c>
      <c r="O39" s="189"/>
    </row>
    <row r="40" spans="1:15" ht="23.25" customHeight="1" x14ac:dyDescent="0.25">
      <c r="A40" s="175" t="str">
        <f>metaASSETS[[#This Row],[Asset Name]]</f>
        <v>flr_02</v>
      </c>
      <c r="B40" s="8" t="str">
        <f>metaASSETS[[#This Row],[Type]]</f>
        <v>Environment</v>
      </c>
      <c r="D40" s="86" t="b">
        <v>0</v>
      </c>
      <c r="E40" s="186" t="s">
        <v>309</v>
      </c>
      <c r="F40" s="165" t="s">
        <v>14</v>
      </c>
      <c r="G40" s="8" t="s">
        <v>310</v>
      </c>
      <c r="H4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0" s="2">
        <v>1</v>
      </c>
      <c r="J40" s="185">
        <v>1</v>
      </c>
      <c r="K40" s="185">
        <v>1</v>
      </c>
      <c r="L40" s="185">
        <v>1</v>
      </c>
      <c r="M40" s="16" cm="1">
        <f t="array" ref="M40">SUM(modeling[[#This Row],[blocking]:[uv]]*modeling_ponderation)</f>
        <v>1</v>
      </c>
      <c r="N40" s="84">
        <f>(1-modeling[[#This Row],[Progress]])*modeling[[#This Row],[Estimated]]</f>
        <v>0</v>
      </c>
      <c r="O40" s="189"/>
    </row>
    <row r="41" spans="1:15" ht="23.25" customHeight="1" x14ac:dyDescent="0.25">
      <c r="A41" s="175" t="str">
        <f>metaASSETS[[#This Row],[Asset Name]]</f>
        <v>hill</v>
      </c>
      <c r="B41" s="8" t="str">
        <f>metaASSETS[[#This Row],[Type]]</f>
        <v>Environment</v>
      </c>
      <c r="D41" s="86" t="b">
        <v>0</v>
      </c>
      <c r="E41" s="186" t="s">
        <v>309</v>
      </c>
      <c r="F41" s="165" t="s">
        <v>14</v>
      </c>
      <c r="G41" s="8" t="s">
        <v>310</v>
      </c>
      <c r="H4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1" s="2">
        <v>10</v>
      </c>
      <c r="J41" s="185">
        <v>1</v>
      </c>
      <c r="K41" s="185">
        <v>1</v>
      </c>
      <c r="L41" s="185">
        <v>1</v>
      </c>
      <c r="M41" s="16" cm="1">
        <f t="array" ref="M41">SUM(modeling[[#This Row],[blocking]:[uv]]*modeling_ponderation)</f>
        <v>1</v>
      </c>
      <c r="N41" s="84">
        <f>(1-modeling[[#This Row],[Progress]])*modeling[[#This Row],[Estimated]]</f>
        <v>0</v>
      </c>
      <c r="O41" s="189"/>
    </row>
    <row r="42" spans="1:15" ht="23.25" customHeight="1" x14ac:dyDescent="0.25">
      <c r="A42" s="175" t="str">
        <f>metaASSETS[[#This Row],[Asset Name]]</f>
        <v>house_01</v>
      </c>
      <c r="B42" s="8" t="str">
        <f>metaASSETS[[#This Row],[Type]]</f>
        <v>Environment</v>
      </c>
      <c r="D42" s="86" t="b">
        <v>0</v>
      </c>
      <c r="E42" s="186" t="s">
        <v>309</v>
      </c>
      <c r="F42" s="165" t="s">
        <v>14</v>
      </c>
      <c r="G42" s="8" t="s">
        <v>314</v>
      </c>
      <c r="H4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2" s="2">
        <v>6</v>
      </c>
      <c r="J42" s="185">
        <v>1</v>
      </c>
      <c r="K42" s="185">
        <v>1</v>
      </c>
      <c r="L42" s="185">
        <v>1</v>
      </c>
      <c r="M42" s="16" cm="1">
        <f t="array" ref="M42">SUM(modeling[[#This Row],[blocking]:[uv]]*modeling_ponderation)</f>
        <v>1</v>
      </c>
      <c r="N42" s="84">
        <f>(1-modeling[[#This Row],[Progress]])*modeling[[#This Row],[Estimated]]</f>
        <v>0</v>
      </c>
      <c r="O42" s="189"/>
    </row>
    <row r="43" spans="1:15" ht="23.25" customHeight="1" x14ac:dyDescent="0.25">
      <c r="A43" s="175" t="str">
        <f>metaASSETS[[#This Row],[Asset Name]]</f>
        <v>house_02</v>
      </c>
      <c r="B43" s="8" t="str">
        <f>metaASSETS[[#This Row],[Type]]</f>
        <v>Environment</v>
      </c>
      <c r="D43" s="86" t="b">
        <v>0</v>
      </c>
      <c r="E43" s="186" t="s">
        <v>309</v>
      </c>
      <c r="F43" s="165" t="s">
        <v>14</v>
      </c>
      <c r="G43" s="8" t="s">
        <v>313</v>
      </c>
      <c r="H4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3" s="2">
        <v>6</v>
      </c>
      <c r="J43" s="185">
        <v>1</v>
      </c>
      <c r="K43" s="185">
        <v>1</v>
      </c>
      <c r="L43" s="185">
        <v>1</v>
      </c>
      <c r="M43" s="16" cm="1">
        <f t="array" ref="M43">SUM(modeling[[#This Row],[blocking]:[uv]]*modeling_ponderation)</f>
        <v>1</v>
      </c>
      <c r="N43" s="84">
        <f>(1-modeling[[#This Row],[Progress]])*modeling[[#This Row],[Estimated]]</f>
        <v>0</v>
      </c>
      <c r="O43" s="189"/>
    </row>
    <row r="44" spans="1:15" ht="23.25" customHeight="1" x14ac:dyDescent="0.25">
      <c r="A44" s="175" t="str">
        <f>metaASSETS[[#This Row],[Asset Name]]</f>
        <v>house_03</v>
      </c>
      <c r="B44" s="8" t="str">
        <f>metaASSETS[[#This Row],[Type]]</f>
        <v>Environment</v>
      </c>
      <c r="D44" s="86" t="b">
        <v>0</v>
      </c>
      <c r="E44" s="186" t="s">
        <v>309</v>
      </c>
      <c r="F44" s="165" t="s">
        <v>14</v>
      </c>
      <c r="G44" s="8" t="s">
        <v>313</v>
      </c>
      <c r="H4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4" s="2">
        <v>6</v>
      </c>
      <c r="J44" s="185">
        <v>1</v>
      </c>
      <c r="K44" s="185">
        <v>1</v>
      </c>
      <c r="L44" s="185">
        <v>1</v>
      </c>
      <c r="M44" s="16" cm="1">
        <f t="array" ref="M44">SUM(modeling[[#This Row],[blocking]:[uv]]*modeling_ponderation)</f>
        <v>1</v>
      </c>
      <c r="N44" s="84">
        <f>(1-modeling[[#This Row],[Progress]])*modeling[[#This Row],[Estimated]]</f>
        <v>0</v>
      </c>
      <c r="O44" s="189"/>
    </row>
    <row r="45" spans="1:15" ht="23.25" customHeight="1" x14ac:dyDescent="0.25">
      <c r="A45" s="175" t="str">
        <f>metaASSETS[[#This Row],[Asset Name]]</f>
        <v>house_04</v>
      </c>
      <c r="B45" s="8" t="str">
        <f>metaASSETS[[#This Row],[Type]]</f>
        <v>Environment</v>
      </c>
      <c r="D45" s="86" t="b">
        <v>0</v>
      </c>
      <c r="E45" s="186" t="s">
        <v>309</v>
      </c>
      <c r="F45" s="165" t="s">
        <v>14</v>
      </c>
      <c r="G45" s="8" t="s">
        <v>313</v>
      </c>
      <c r="H4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5" s="2">
        <v>6</v>
      </c>
      <c r="J45" s="185">
        <v>1</v>
      </c>
      <c r="K45" s="185">
        <v>1</v>
      </c>
      <c r="L45" s="185">
        <v>1</v>
      </c>
      <c r="M45" s="16" cm="1">
        <f t="array" ref="M45">SUM(modeling[[#This Row],[blocking]:[uv]]*modeling_ponderation)</f>
        <v>1</v>
      </c>
      <c r="N45" s="84">
        <f>(1-modeling[[#This Row],[Progress]])*modeling[[#This Row],[Estimated]]</f>
        <v>0</v>
      </c>
      <c r="O45" s="189"/>
    </row>
    <row r="46" spans="1:15" ht="23.25" customHeight="1" x14ac:dyDescent="0.25">
      <c r="A46" s="175" t="str">
        <f>metaASSETS[[#This Row],[Asset Name]]</f>
        <v>house_05</v>
      </c>
      <c r="B46" s="8" t="str">
        <f>metaASSETS[[#This Row],[Type]]</f>
        <v>Environment</v>
      </c>
      <c r="D46" s="86" t="b">
        <v>0</v>
      </c>
      <c r="E46" s="186" t="s">
        <v>309</v>
      </c>
      <c r="F46" s="165" t="s">
        <v>14</v>
      </c>
      <c r="G46" s="8" t="s">
        <v>313</v>
      </c>
      <c r="H4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6" s="2">
        <v>6</v>
      </c>
      <c r="J46" s="185">
        <v>1</v>
      </c>
      <c r="K46" s="185">
        <v>1</v>
      </c>
      <c r="L46" s="185">
        <v>1</v>
      </c>
      <c r="M46" s="16" cm="1">
        <f t="array" ref="M46">SUM(modeling[[#This Row],[blocking]:[uv]]*modeling_ponderation)</f>
        <v>1</v>
      </c>
      <c r="N46" s="84">
        <f>(1-modeling[[#This Row],[Progress]])*modeling[[#This Row],[Estimated]]</f>
        <v>0</v>
      </c>
      <c r="O46" s="189"/>
    </row>
    <row r="47" spans="1:15" ht="23.25" customHeight="1" x14ac:dyDescent="0.25">
      <c r="A47" s="175" t="str">
        <f>metaASSETS[[#This Row],[Asset Name]]</f>
        <v>house_06</v>
      </c>
      <c r="B47" s="8" t="str">
        <f>metaASSETS[[#This Row],[Type]]</f>
        <v>Environment</v>
      </c>
      <c r="D47" s="86" t="b">
        <v>0</v>
      </c>
      <c r="E47" s="186" t="s">
        <v>309</v>
      </c>
      <c r="F47" s="165" t="s">
        <v>14</v>
      </c>
      <c r="G47" s="8" t="s">
        <v>313</v>
      </c>
      <c r="H4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7" s="2">
        <v>6</v>
      </c>
      <c r="J47" s="185">
        <v>1</v>
      </c>
      <c r="K47" s="185">
        <v>1</v>
      </c>
      <c r="L47" s="185">
        <v>1</v>
      </c>
      <c r="M47" s="16" cm="1">
        <f t="array" ref="M47">SUM(modeling[[#This Row],[blocking]:[uv]]*modeling_ponderation)</f>
        <v>1</v>
      </c>
      <c r="N47" s="84">
        <f>(1-modeling[[#This Row],[Progress]])*modeling[[#This Row],[Estimated]]</f>
        <v>0</v>
      </c>
      <c r="O47" s="189"/>
    </row>
    <row r="48" spans="1:15" ht="23.25" customHeight="1" x14ac:dyDescent="0.25">
      <c r="A48" s="175" t="str">
        <f>metaASSETS[[#This Row],[Asset Name]]</f>
        <v>house_07</v>
      </c>
      <c r="B48" s="8" t="str">
        <f>metaASSETS[[#This Row],[Type]]</f>
        <v>Environment</v>
      </c>
      <c r="D48" s="86" t="b">
        <v>0</v>
      </c>
      <c r="E48" s="186" t="s">
        <v>309</v>
      </c>
      <c r="F48" s="165" t="s">
        <v>14</v>
      </c>
      <c r="G48" s="8" t="s">
        <v>313</v>
      </c>
      <c r="H4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8" s="2">
        <v>6</v>
      </c>
      <c r="J48" s="185">
        <v>1</v>
      </c>
      <c r="K48" s="185">
        <v>1</v>
      </c>
      <c r="L48" s="185">
        <v>1</v>
      </c>
      <c r="M48" s="16" cm="1">
        <f t="array" ref="M48">SUM(modeling[[#This Row],[blocking]:[uv]]*modeling_ponderation)</f>
        <v>1</v>
      </c>
      <c r="N48" s="84">
        <f>(1-modeling[[#This Row],[Progress]])*modeling[[#This Row],[Estimated]]</f>
        <v>0</v>
      </c>
      <c r="O48" s="189"/>
    </row>
    <row r="49" spans="1:15" ht="23.25" customHeight="1" x14ac:dyDescent="0.25">
      <c r="A49" s="175" t="str">
        <f>metaASSETS[[#This Row],[Asset Name]]</f>
        <v>house_08</v>
      </c>
      <c r="B49" s="8" t="str">
        <f>metaASSETS[[#This Row],[Type]]</f>
        <v>Environment</v>
      </c>
      <c r="D49" s="86" t="b">
        <v>0</v>
      </c>
      <c r="E49" s="186" t="s">
        <v>309</v>
      </c>
      <c r="F49" s="165" t="s">
        <v>14</v>
      </c>
      <c r="G49" s="8" t="s">
        <v>313</v>
      </c>
      <c r="H4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49" s="2">
        <v>6</v>
      </c>
      <c r="J49" s="185">
        <v>1</v>
      </c>
      <c r="K49" s="185">
        <v>1</v>
      </c>
      <c r="L49" s="185">
        <v>1</v>
      </c>
      <c r="M49" s="16" cm="1">
        <f t="array" ref="M49">SUM(modeling[[#This Row],[blocking]:[uv]]*modeling_ponderation)</f>
        <v>1</v>
      </c>
      <c r="N49" s="84">
        <f>(1-modeling[[#This Row],[Progress]])*modeling[[#This Row],[Estimated]]</f>
        <v>0</v>
      </c>
      <c r="O49" s="189"/>
    </row>
    <row r="50" spans="1:15" ht="23.25" customHeight="1" x14ac:dyDescent="0.25">
      <c r="A50" s="175" t="str">
        <f>metaASSETS[[#This Row],[Asset Name]]</f>
        <v>arrows</v>
      </c>
      <c r="B50" s="8" t="str">
        <f>metaASSETS[[#This Row],[Type]]</f>
        <v>FX</v>
      </c>
      <c r="D50" s="86" t="b">
        <v>0</v>
      </c>
      <c r="E50" s="186" t="s">
        <v>309</v>
      </c>
      <c r="F50" s="165" t="s">
        <v>14</v>
      </c>
      <c r="G50" s="8" t="s">
        <v>313</v>
      </c>
      <c r="H5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0" s="2">
        <v>3</v>
      </c>
      <c r="J50" s="185">
        <v>1</v>
      </c>
      <c r="K50" s="185">
        <v>1</v>
      </c>
      <c r="L50" s="185">
        <v>1</v>
      </c>
      <c r="M50" s="16" cm="1">
        <f t="array" ref="M50">SUM(modeling[[#This Row],[blocking]:[uv]]*modeling_ponderation)</f>
        <v>1</v>
      </c>
      <c r="N50" s="84">
        <f>(1-modeling[[#This Row],[Progress]])*modeling[[#This Row],[Estimated]]</f>
        <v>0</v>
      </c>
      <c r="O50" s="189"/>
    </row>
    <row r="51" spans="1:15" ht="23.25" customHeight="1" x14ac:dyDescent="0.25">
      <c r="A51" s="175" t="str">
        <f>metaASSETS[[#This Row],[Asset Name]]</f>
        <v>plaines_01</v>
      </c>
      <c r="B51" s="8" t="str">
        <f>metaASSETS[[#This Row],[Type]]</f>
        <v>Matte Painting</v>
      </c>
      <c r="D51" s="86" t="b">
        <v>0</v>
      </c>
      <c r="E51" s="186" t="s">
        <v>309</v>
      </c>
      <c r="F51" s="165" t="s">
        <v>14</v>
      </c>
      <c r="G51" s="8" t="s">
        <v>313</v>
      </c>
      <c r="H5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1" s="2">
        <v>15</v>
      </c>
      <c r="J51" s="185">
        <v>1</v>
      </c>
      <c r="K51" s="185">
        <v>1</v>
      </c>
      <c r="L51" s="185">
        <v>1</v>
      </c>
      <c r="M51" s="16" cm="1">
        <f t="array" ref="M51">SUM(modeling[[#This Row],[blocking]:[uv]]*modeling_ponderation)</f>
        <v>1</v>
      </c>
      <c r="N51" s="84">
        <f>(1-modeling[[#This Row],[Progress]])*modeling[[#This Row],[Estimated]]</f>
        <v>0</v>
      </c>
      <c r="O51" s="189"/>
    </row>
    <row r="52" spans="1:15" ht="23.25" customHeight="1" x14ac:dyDescent="0.25">
      <c r="A52" s="175" t="str">
        <f>metaASSETS[[#This Row],[Asset Name]]</f>
        <v>plaines_02</v>
      </c>
      <c r="B52" s="8" t="str">
        <f>metaASSETS[[#This Row],[Type]]</f>
        <v>Matte Painting</v>
      </c>
      <c r="D52" s="86" t="b">
        <v>0</v>
      </c>
      <c r="E52" s="186" t="s">
        <v>309</v>
      </c>
      <c r="F52" s="165" t="s">
        <v>14</v>
      </c>
      <c r="G52" s="8" t="s">
        <v>313</v>
      </c>
      <c r="H5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2" s="2">
        <v>10</v>
      </c>
      <c r="J52" s="185">
        <v>1</v>
      </c>
      <c r="K52" s="185">
        <v>1</v>
      </c>
      <c r="L52" s="185">
        <v>1</v>
      </c>
      <c r="M52" s="16" cm="1">
        <f t="array" ref="M52">SUM(modeling[[#This Row],[blocking]:[uv]]*modeling_ponderation)</f>
        <v>1</v>
      </c>
      <c r="N52" s="84">
        <f>(1-modeling[[#This Row],[Progress]])*modeling[[#This Row],[Estimated]]</f>
        <v>0</v>
      </c>
      <c r="O52" s="189"/>
    </row>
    <row r="53" spans="1:15" ht="23.25" customHeight="1" x14ac:dyDescent="0.25">
      <c r="A53" s="175" t="str">
        <f>metaASSETS[[#This Row],[Asset Name]]</f>
        <v>plaines_03</v>
      </c>
      <c r="B53" s="8" t="str">
        <f>metaASSETS[[#This Row],[Type]]</f>
        <v>Matte Painting</v>
      </c>
      <c r="D53" s="86" t="b">
        <v>0</v>
      </c>
      <c r="E53" s="186" t="s">
        <v>309</v>
      </c>
      <c r="F53" s="165" t="s">
        <v>14</v>
      </c>
      <c r="G53" s="8" t="s">
        <v>313</v>
      </c>
      <c r="H5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3" s="2">
        <v>10</v>
      </c>
      <c r="J53" s="185">
        <v>1</v>
      </c>
      <c r="K53" s="185">
        <v>1</v>
      </c>
      <c r="L53" s="185">
        <v>1</v>
      </c>
      <c r="M53" s="16" cm="1">
        <f t="array" ref="M53">SUM(modeling[[#This Row],[blocking]:[uv]]*modeling_ponderation)</f>
        <v>1</v>
      </c>
      <c r="N53" s="84">
        <f>(1-modeling[[#This Row],[Progress]])*modeling[[#This Row],[Estimated]]</f>
        <v>0</v>
      </c>
      <c r="O53" s="189"/>
    </row>
    <row r="54" spans="1:15" ht="23.25" customHeight="1" x14ac:dyDescent="0.25">
      <c r="A54" s="175" t="str">
        <f>metaASSETS[[#This Row],[Asset Name]]</f>
        <v>accessory_01</v>
      </c>
      <c r="B54" s="8" t="str">
        <f>metaASSETS[[#This Row],[Type]]</f>
        <v>Prop</v>
      </c>
      <c r="D54" s="86" t="b">
        <v>0</v>
      </c>
      <c r="E54" s="186" t="s">
        <v>309</v>
      </c>
      <c r="F54" s="165" t="s">
        <v>14</v>
      </c>
      <c r="G54" s="8" t="s">
        <v>313</v>
      </c>
      <c r="H5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4" s="2">
        <v>3</v>
      </c>
      <c r="J54" s="185">
        <v>1</v>
      </c>
      <c r="K54" s="185">
        <v>1</v>
      </c>
      <c r="L54" s="185">
        <v>1</v>
      </c>
      <c r="M54" s="16" cm="1">
        <f t="array" ref="M54">SUM(modeling[[#This Row],[blocking]:[uv]]*modeling_ponderation)</f>
        <v>1</v>
      </c>
      <c r="N54" s="84">
        <f>(1-modeling[[#This Row],[Progress]])*modeling[[#This Row],[Estimated]]</f>
        <v>0</v>
      </c>
      <c r="O54" s="189"/>
    </row>
    <row r="55" spans="1:15" ht="23.25" customHeight="1" x14ac:dyDescent="0.25">
      <c r="A55" s="175" t="str">
        <f>metaASSETS[[#This Row],[Asset Name]]</f>
        <v>accessory_02</v>
      </c>
      <c r="B55" s="8" t="str">
        <f>metaASSETS[[#This Row],[Type]]</f>
        <v>Prop</v>
      </c>
      <c r="D55" s="86" t="b">
        <v>0</v>
      </c>
      <c r="E55" s="186" t="s">
        <v>309</v>
      </c>
      <c r="F55" s="165" t="s">
        <v>14</v>
      </c>
      <c r="G55" s="8" t="s">
        <v>313</v>
      </c>
      <c r="H5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5" s="2">
        <v>3</v>
      </c>
      <c r="J55" s="185">
        <v>1</v>
      </c>
      <c r="K55" s="185">
        <v>1</v>
      </c>
      <c r="L55" s="185">
        <v>1</v>
      </c>
      <c r="M55" s="16" cm="1">
        <f t="array" ref="M55">SUM(modeling[[#This Row],[blocking]:[uv]]*modeling_ponderation)</f>
        <v>1</v>
      </c>
      <c r="N55" s="84">
        <f>(1-modeling[[#This Row],[Progress]])*modeling[[#This Row],[Estimated]]</f>
        <v>0</v>
      </c>
      <c r="O55" s="189"/>
    </row>
    <row r="56" spans="1:15" ht="23.25" customHeight="1" x14ac:dyDescent="0.25">
      <c r="A56" s="175" t="str">
        <f>metaASSETS[[#This Row],[Asset Name]]</f>
        <v>accessory_03</v>
      </c>
      <c r="B56" s="8" t="str">
        <f>metaASSETS[[#This Row],[Type]]</f>
        <v>Prop</v>
      </c>
      <c r="D56" s="86" t="b">
        <v>0</v>
      </c>
      <c r="E56" s="186" t="s">
        <v>309</v>
      </c>
      <c r="F56" s="165" t="s">
        <v>14</v>
      </c>
      <c r="G56" s="8" t="s">
        <v>313</v>
      </c>
      <c r="H5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6" s="2">
        <v>3</v>
      </c>
      <c r="J56" s="185">
        <v>1</v>
      </c>
      <c r="K56" s="185">
        <v>1</v>
      </c>
      <c r="L56" s="185">
        <v>1</v>
      </c>
      <c r="M56" s="16" cm="1">
        <f t="array" ref="M56">SUM(modeling[[#This Row],[blocking]:[uv]]*modeling_ponderation)</f>
        <v>1</v>
      </c>
      <c r="N56" s="84">
        <f>(1-modeling[[#This Row],[Progress]])*modeling[[#This Row],[Estimated]]</f>
        <v>0</v>
      </c>
      <c r="O56" s="189"/>
    </row>
    <row r="57" spans="1:15" ht="23.25" customHeight="1" x14ac:dyDescent="0.25">
      <c r="A57" s="175" t="str">
        <f>metaASSETS[[#This Row],[Asset Name]]</f>
        <v>accessory_04</v>
      </c>
      <c r="B57" s="8" t="str">
        <f>metaASSETS[[#This Row],[Type]]</f>
        <v>Prop</v>
      </c>
      <c r="D57" s="86" t="b">
        <v>0</v>
      </c>
      <c r="E57" s="186" t="s">
        <v>309</v>
      </c>
      <c r="F57" s="165" t="s">
        <v>14</v>
      </c>
      <c r="G57" s="8" t="s">
        <v>313</v>
      </c>
      <c r="H5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7" s="2">
        <v>3</v>
      </c>
      <c r="J57" s="185">
        <v>1</v>
      </c>
      <c r="K57" s="185">
        <v>1</v>
      </c>
      <c r="L57" s="185">
        <v>1</v>
      </c>
      <c r="M57" s="16" cm="1">
        <f t="array" ref="M57">SUM(modeling[[#This Row],[blocking]:[uv]]*modeling_ponderation)</f>
        <v>1</v>
      </c>
      <c r="N57" s="84">
        <f>(1-modeling[[#This Row],[Progress]])*modeling[[#This Row],[Estimated]]</f>
        <v>0</v>
      </c>
      <c r="O57" s="189"/>
    </row>
    <row r="58" spans="1:15" ht="23.25" customHeight="1" x14ac:dyDescent="0.25">
      <c r="A58" s="175" t="str">
        <f>metaASSETS[[#This Row],[Asset Name]]</f>
        <v>arrow</v>
      </c>
      <c r="B58" s="8" t="str">
        <f>metaASSETS[[#This Row],[Type]]</f>
        <v>Prop</v>
      </c>
      <c r="D58" s="86" t="b">
        <v>0</v>
      </c>
      <c r="E58" s="186" t="s">
        <v>309</v>
      </c>
      <c r="F58" s="15" t="s">
        <v>14</v>
      </c>
      <c r="G58" s="8" t="s">
        <v>313</v>
      </c>
      <c r="H5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8" s="2">
        <v>1</v>
      </c>
      <c r="J58" s="185">
        <v>1</v>
      </c>
      <c r="K58" s="185">
        <v>1</v>
      </c>
      <c r="L58" s="185">
        <v>1</v>
      </c>
      <c r="M58" s="16" cm="1">
        <f t="array" ref="M58">SUM(modeling[[#This Row],[blocking]:[uv]]*modeling_ponderation)</f>
        <v>1</v>
      </c>
      <c r="N58" s="84">
        <f>(1-modeling[[#This Row],[Progress]])*modeling[[#This Row],[Estimated]]</f>
        <v>0</v>
      </c>
      <c r="O58" s="189"/>
    </row>
    <row r="59" spans="1:15" ht="23.25" customHeight="1" x14ac:dyDescent="0.25">
      <c r="A59" s="175" t="str">
        <f>metaASSETS[[#This Row],[Asset Name]]</f>
        <v>banner</v>
      </c>
      <c r="B59" s="8" t="str">
        <f>metaASSETS[[#This Row],[Type]]</f>
        <v>Prop</v>
      </c>
      <c r="D59" s="86" t="b">
        <v>0</v>
      </c>
      <c r="E59" s="186" t="s">
        <v>309</v>
      </c>
      <c r="F59" s="15" t="s">
        <v>14</v>
      </c>
      <c r="G59" s="8" t="s">
        <v>313</v>
      </c>
      <c r="H5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59" s="2">
        <v>3</v>
      </c>
      <c r="J59" s="185">
        <v>1</v>
      </c>
      <c r="K59" s="185">
        <v>1</v>
      </c>
      <c r="L59" s="185">
        <v>1</v>
      </c>
      <c r="M59" s="16" cm="1">
        <f t="array" ref="M59">SUM(modeling[[#This Row],[blocking]:[uv]]*modeling_ponderation)</f>
        <v>1</v>
      </c>
      <c r="N59" s="84">
        <f>(1-modeling[[#This Row],[Progress]])*modeling[[#This Row],[Estimated]]</f>
        <v>0</v>
      </c>
      <c r="O59" s="189"/>
    </row>
    <row r="60" spans="1:15" ht="23.25" customHeight="1" x14ac:dyDescent="0.25">
      <c r="A60" s="175" t="str">
        <f>metaASSETS[[#This Row],[Asset Name]]</f>
        <v>bow</v>
      </c>
      <c r="B60" s="8" t="str">
        <f>metaASSETS[[#This Row],[Type]]</f>
        <v>Prop</v>
      </c>
      <c r="D60" s="86" t="b">
        <v>0</v>
      </c>
      <c r="E60" s="186" t="s">
        <v>309</v>
      </c>
      <c r="F60" s="15" t="s">
        <v>14</v>
      </c>
      <c r="G60" s="8" t="s">
        <v>313</v>
      </c>
      <c r="H6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0" s="2">
        <v>2</v>
      </c>
      <c r="J60" s="185">
        <v>1</v>
      </c>
      <c r="K60" s="185">
        <v>1</v>
      </c>
      <c r="L60" s="185">
        <v>1</v>
      </c>
      <c r="M60" s="16" cm="1">
        <f t="array" ref="M60">SUM(modeling[[#This Row],[blocking]:[uv]]*modeling_ponderation)</f>
        <v>1</v>
      </c>
      <c r="N60" s="84">
        <f>(1-modeling[[#This Row],[Progress]])*modeling[[#This Row],[Estimated]]</f>
        <v>0</v>
      </c>
      <c r="O60" s="189"/>
    </row>
    <row r="61" spans="1:15" ht="23.25" customHeight="1" x14ac:dyDescent="0.25">
      <c r="A61" s="175" t="str">
        <f>metaASSETS[[#This Row],[Asset Name]]</f>
        <v>chains_01</v>
      </c>
      <c r="B61" s="8" t="str">
        <f>metaASSETS[[#This Row],[Type]]</f>
        <v>Prop</v>
      </c>
      <c r="D61" s="86" t="b">
        <v>0</v>
      </c>
      <c r="E61" s="186" t="s">
        <v>309</v>
      </c>
      <c r="F61" s="15" t="s">
        <v>14</v>
      </c>
      <c r="G61" s="8" t="s">
        <v>313</v>
      </c>
      <c r="H6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1" s="2">
        <v>1</v>
      </c>
      <c r="J61" s="185">
        <v>1</v>
      </c>
      <c r="K61" s="185">
        <v>1</v>
      </c>
      <c r="L61" s="185">
        <v>1</v>
      </c>
      <c r="M61" s="16" cm="1">
        <f t="array" ref="M61">SUM(modeling[[#This Row],[blocking]:[uv]]*modeling_ponderation)</f>
        <v>1</v>
      </c>
      <c r="N61" s="84">
        <f>(1-modeling[[#This Row],[Progress]])*modeling[[#This Row],[Estimated]]</f>
        <v>0</v>
      </c>
      <c r="O61" s="189"/>
    </row>
    <row r="62" spans="1:15" ht="23.25" customHeight="1" x14ac:dyDescent="0.25">
      <c r="A62" s="175" t="str">
        <f>metaASSETS[[#This Row],[Asset Name]]</f>
        <v>chains_02</v>
      </c>
      <c r="B62" s="8" t="str">
        <f>metaASSETS[[#This Row],[Type]]</f>
        <v>Prop</v>
      </c>
      <c r="D62" s="86" t="b">
        <v>0</v>
      </c>
      <c r="E62" s="186" t="s">
        <v>309</v>
      </c>
      <c r="F62" s="15" t="s">
        <v>14</v>
      </c>
      <c r="G62" s="8" t="s">
        <v>313</v>
      </c>
      <c r="H6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2" s="2">
        <v>0</v>
      </c>
      <c r="J62" s="185">
        <v>1</v>
      </c>
      <c r="K62" s="185">
        <v>1</v>
      </c>
      <c r="L62" s="185">
        <v>1</v>
      </c>
      <c r="M62" s="16" cm="1">
        <f t="array" ref="M62">SUM(modeling[[#This Row],[blocking]:[uv]]*modeling_ponderation)</f>
        <v>1</v>
      </c>
      <c r="N62" s="84">
        <f>(1-modeling[[#This Row],[Progress]])*modeling[[#This Row],[Estimated]]</f>
        <v>0</v>
      </c>
      <c r="O62" s="189"/>
    </row>
    <row r="63" spans="1:15" ht="23.25" customHeight="1" x14ac:dyDescent="0.25">
      <c r="A63" s="175" t="str">
        <f>metaASSETS[[#This Row],[Asset Name]]</f>
        <v>chains_break</v>
      </c>
      <c r="B63" s="8" t="str">
        <f>metaASSETS[[#This Row],[Type]]</f>
        <v>Prop</v>
      </c>
      <c r="D63" s="86" t="b">
        <v>0</v>
      </c>
      <c r="E63" s="186" t="s">
        <v>309</v>
      </c>
      <c r="F63" s="15" t="s">
        <v>14</v>
      </c>
      <c r="G63" s="8" t="s">
        <v>313</v>
      </c>
      <c r="H6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3" s="2">
        <v>1</v>
      </c>
      <c r="J63" s="185">
        <v>1</v>
      </c>
      <c r="K63" s="185">
        <v>1</v>
      </c>
      <c r="L63" s="185">
        <v>1</v>
      </c>
      <c r="M63" s="16" cm="1">
        <f t="array" ref="M63">SUM(modeling[[#This Row],[blocking]:[uv]]*modeling_ponderation)</f>
        <v>1</v>
      </c>
      <c r="N63" s="84">
        <f>(1-modeling[[#This Row],[Progress]])*modeling[[#This Row],[Estimated]]</f>
        <v>0</v>
      </c>
      <c r="O63" s="189"/>
    </row>
    <row r="64" spans="1:15" ht="23.25" customHeight="1" x14ac:dyDescent="0.25">
      <c r="A64" s="175" t="str">
        <f>metaASSETS[[#This Row],[Asset Name]]</f>
        <v>helmet_eng_01</v>
      </c>
      <c r="B64" s="8" t="str">
        <f>metaASSETS[[#This Row],[Type]]</f>
        <v>Prop</v>
      </c>
      <c r="D64" s="86" t="b">
        <v>0</v>
      </c>
      <c r="E64" s="186" t="s">
        <v>309</v>
      </c>
      <c r="F64" s="15" t="s">
        <v>14</v>
      </c>
      <c r="G64" s="8" t="s">
        <v>313</v>
      </c>
      <c r="H6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4" s="2">
        <v>3</v>
      </c>
      <c r="J64" s="185">
        <v>1</v>
      </c>
      <c r="K64" s="185">
        <v>1</v>
      </c>
      <c r="L64" s="185">
        <v>1</v>
      </c>
      <c r="M64" s="16" cm="1">
        <f t="array" ref="M64">SUM(modeling[[#This Row],[blocking]:[uv]]*modeling_ponderation)</f>
        <v>1</v>
      </c>
      <c r="N64" s="84">
        <f>(1-modeling[[#This Row],[Progress]])*modeling[[#This Row],[Estimated]]</f>
        <v>0</v>
      </c>
      <c r="O64" s="189"/>
    </row>
    <row r="65" spans="1:15" ht="23.25" customHeight="1" x14ac:dyDescent="0.25">
      <c r="A65" s="175" t="str">
        <f>metaASSETS[[#This Row],[Asset Name]]</f>
        <v>helmet_eng_02</v>
      </c>
      <c r="B65" s="8" t="str">
        <f>metaASSETS[[#This Row],[Type]]</f>
        <v>Prop</v>
      </c>
      <c r="D65" s="86" t="b">
        <v>0</v>
      </c>
      <c r="E65" s="186" t="s">
        <v>309</v>
      </c>
      <c r="F65" s="15" t="s">
        <v>14</v>
      </c>
      <c r="G65" s="8" t="s">
        <v>313</v>
      </c>
      <c r="H6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5" s="2">
        <v>3</v>
      </c>
      <c r="J65" s="185">
        <v>1</v>
      </c>
      <c r="K65" s="185">
        <v>1</v>
      </c>
      <c r="L65" s="185">
        <v>1</v>
      </c>
      <c r="M65" s="16" cm="1">
        <f t="array" ref="M65">SUM(modeling[[#This Row],[blocking]:[uv]]*modeling_ponderation)</f>
        <v>1</v>
      </c>
      <c r="N65" s="84">
        <f>(1-modeling[[#This Row],[Progress]])*modeling[[#This Row],[Estimated]]</f>
        <v>0</v>
      </c>
      <c r="O65" s="189"/>
    </row>
    <row r="66" spans="1:15" ht="23.25" customHeight="1" x14ac:dyDescent="0.25">
      <c r="A66" s="175" t="str">
        <f>metaASSETS[[#This Row],[Asset Name]]</f>
        <v>helmet_fr_01</v>
      </c>
      <c r="B66" s="8" t="str">
        <f>metaASSETS[[#This Row],[Type]]</f>
        <v>Prop</v>
      </c>
      <c r="D66" s="86" t="b">
        <v>0</v>
      </c>
      <c r="E66" s="186" t="s">
        <v>309</v>
      </c>
      <c r="F66" s="15" t="s">
        <v>14</v>
      </c>
      <c r="G66" s="8" t="s">
        <v>313</v>
      </c>
      <c r="H6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6" s="2">
        <v>3</v>
      </c>
      <c r="J66" s="185">
        <v>1</v>
      </c>
      <c r="K66" s="185">
        <v>1</v>
      </c>
      <c r="L66" s="185">
        <v>1</v>
      </c>
      <c r="M66" s="16" cm="1">
        <f t="array" ref="M66">SUM(modeling[[#This Row],[blocking]:[uv]]*modeling_ponderation)</f>
        <v>1</v>
      </c>
      <c r="N66" s="84">
        <f>(1-modeling[[#This Row],[Progress]])*modeling[[#This Row],[Estimated]]</f>
        <v>0</v>
      </c>
      <c r="O66" s="189"/>
    </row>
    <row r="67" spans="1:15" ht="23.25" customHeight="1" x14ac:dyDescent="0.25">
      <c r="A67" s="175" t="str">
        <f>metaASSETS[[#This Row],[Asset Name]]</f>
        <v>helmet_fr_02</v>
      </c>
      <c r="B67" s="8" t="str">
        <f>metaASSETS[[#This Row],[Type]]</f>
        <v>Prop</v>
      </c>
      <c r="D67" s="86" t="b">
        <v>0</v>
      </c>
      <c r="E67" s="186" t="s">
        <v>309</v>
      </c>
      <c r="F67" s="15" t="s">
        <v>14</v>
      </c>
      <c r="G67" s="8" t="s">
        <v>313</v>
      </c>
      <c r="H6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7" s="2">
        <v>3</v>
      </c>
      <c r="J67" s="185">
        <v>1</v>
      </c>
      <c r="K67" s="185">
        <v>1</v>
      </c>
      <c r="L67" s="185">
        <v>1</v>
      </c>
      <c r="M67" s="16" cm="1">
        <f t="array" ref="M67">SUM(modeling[[#This Row],[blocking]:[uv]]*modeling_ponderation)</f>
        <v>1</v>
      </c>
      <c r="N67" s="84">
        <f>(1-modeling[[#This Row],[Progress]])*modeling[[#This Row],[Estimated]]</f>
        <v>0</v>
      </c>
      <c r="O67" s="189"/>
    </row>
    <row r="68" spans="1:15" ht="23.25" customHeight="1" x14ac:dyDescent="0.25">
      <c r="A68" s="175" t="str">
        <f>metaASSETS[[#This Row],[Asset Name]]</f>
        <v>helmet_fr_03</v>
      </c>
      <c r="B68" s="8" t="str">
        <f>metaASSETS[[#This Row],[Type]]</f>
        <v>Prop</v>
      </c>
      <c r="D68" s="86" t="b">
        <v>0</v>
      </c>
      <c r="E68" s="186" t="s">
        <v>309</v>
      </c>
      <c r="F68" s="15" t="s">
        <v>14</v>
      </c>
      <c r="G68" s="8" t="s">
        <v>313</v>
      </c>
      <c r="H6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8" s="2">
        <v>3</v>
      </c>
      <c r="J68" s="185">
        <v>1</v>
      </c>
      <c r="K68" s="185">
        <v>1</v>
      </c>
      <c r="L68" s="185">
        <v>1</v>
      </c>
      <c r="M68" s="16" cm="1">
        <f t="array" ref="M68">SUM(modeling[[#This Row],[blocking]:[uv]]*modeling_ponderation)</f>
        <v>1</v>
      </c>
      <c r="N68" s="84">
        <f>(1-modeling[[#This Row],[Progress]])*modeling[[#This Row],[Estimated]]</f>
        <v>0</v>
      </c>
      <c r="O68" s="189"/>
    </row>
    <row r="69" spans="1:15" ht="23.25" customHeight="1" x14ac:dyDescent="0.25">
      <c r="A69" s="175" t="str">
        <f>metaASSETS[[#This Row],[Asset Name]]</f>
        <v>mace</v>
      </c>
      <c r="B69" s="8" t="str">
        <f>metaASSETS[[#This Row],[Type]]</f>
        <v>Prop</v>
      </c>
      <c r="D69" s="86" t="b">
        <v>0</v>
      </c>
      <c r="E69" s="186" t="s">
        <v>309</v>
      </c>
      <c r="F69" s="15" t="s">
        <v>14</v>
      </c>
      <c r="G69" s="8" t="s">
        <v>313</v>
      </c>
      <c r="H69"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69" s="2">
        <v>3</v>
      </c>
      <c r="J69" s="185">
        <v>1</v>
      </c>
      <c r="K69" s="185">
        <v>1</v>
      </c>
      <c r="L69" s="185">
        <v>1</v>
      </c>
      <c r="M69" s="16" cm="1">
        <f t="array" ref="M69">SUM(modeling[[#This Row],[blocking]:[uv]]*modeling_ponderation)</f>
        <v>1</v>
      </c>
      <c r="N69" s="84">
        <f>(1-modeling[[#This Row],[Progress]])*modeling[[#This Row],[Estimated]]</f>
        <v>0</v>
      </c>
      <c r="O69" s="189"/>
    </row>
    <row r="70" spans="1:15" ht="23.25" customHeight="1" x14ac:dyDescent="0.25">
      <c r="A70" s="175" t="str">
        <f>metaASSETS[[#This Row],[Asset Name]]</f>
        <v>shield</v>
      </c>
      <c r="B70" s="8" t="str">
        <f>metaASSETS[[#This Row],[Type]]</f>
        <v>Prop</v>
      </c>
      <c r="D70" s="86" t="b">
        <v>0</v>
      </c>
      <c r="E70" s="186" t="s">
        <v>309</v>
      </c>
      <c r="F70" s="15" t="s">
        <v>14</v>
      </c>
      <c r="G70" s="8" t="s">
        <v>313</v>
      </c>
      <c r="H70"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0" s="2">
        <v>5</v>
      </c>
      <c r="J70" s="185">
        <v>1</v>
      </c>
      <c r="K70" s="185">
        <v>1</v>
      </c>
      <c r="L70" s="185">
        <v>1</v>
      </c>
      <c r="M70" s="16" cm="1">
        <f t="array" ref="M70">SUM(modeling[[#This Row],[blocking]:[uv]]*modeling_ponderation)</f>
        <v>1</v>
      </c>
      <c r="N70" s="84">
        <f>(1-modeling[[#This Row],[Progress]])*modeling[[#This Row],[Estimated]]</f>
        <v>0</v>
      </c>
      <c r="O70" s="189"/>
    </row>
    <row r="71" spans="1:15" ht="23.25" customHeight="1" x14ac:dyDescent="0.25">
      <c r="A71" s="175" t="str">
        <f>metaASSETS[[#This Row],[Asset Name]]</f>
        <v>swrd</v>
      </c>
      <c r="B71" s="8" t="str">
        <f>metaASSETS[[#This Row],[Type]]</f>
        <v>Prop</v>
      </c>
      <c r="D71" s="86" t="b">
        <v>0</v>
      </c>
      <c r="E71" s="186" t="s">
        <v>309</v>
      </c>
      <c r="F71" s="15" t="s">
        <v>14</v>
      </c>
      <c r="G71" s="8" t="s">
        <v>313</v>
      </c>
      <c r="H71"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1" s="2">
        <v>3</v>
      </c>
      <c r="J71" s="185">
        <v>1</v>
      </c>
      <c r="K71" s="185">
        <v>1</v>
      </c>
      <c r="L71" s="185">
        <v>1</v>
      </c>
      <c r="M71" s="16" cm="1">
        <f t="array" ref="M71">SUM(modeling[[#This Row],[blocking]:[uv]]*modeling_ponderation)</f>
        <v>1</v>
      </c>
      <c r="N71" s="84">
        <f>(1-modeling[[#This Row],[Progress]])*modeling[[#This Row],[Estimated]]</f>
        <v>0</v>
      </c>
      <c r="O71" s="189"/>
    </row>
    <row r="72" spans="1:15" ht="23.25" customHeight="1" x14ac:dyDescent="0.25">
      <c r="A72" s="175" t="str">
        <f>metaASSETS[[#This Row],[Asset Name]]</f>
        <v>swrd_01</v>
      </c>
      <c r="B72" s="8" t="str">
        <f>metaASSETS[[#This Row],[Type]]</f>
        <v>Prop</v>
      </c>
      <c r="D72" s="86" t="b">
        <v>0</v>
      </c>
      <c r="E72" s="186" t="s">
        <v>309</v>
      </c>
      <c r="F72" s="15" t="s">
        <v>14</v>
      </c>
      <c r="G72" s="8" t="s">
        <v>313</v>
      </c>
      <c r="H72"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2" s="2">
        <v>3</v>
      </c>
      <c r="J72" s="185">
        <v>1</v>
      </c>
      <c r="K72" s="185">
        <v>1</v>
      </c>
      <c r="L72" s="185">
        <v>1</v>
      </c>
      <c r="M72" s="16" cm="1">
        <f t="array" ref="M72">SUM(modeling[[#This Row],[blocking]:[uv]]*modeling_ponderation)</f>
        <v>1</v>
      </c>
      <c r="N72" s="84">
        <f>(1-modeling[[#This Row],[Progress]])*modeling[[#This Row],[Estimated]]</f>
        <v>0</v>
      </c>
      <c r="O72" s="189"/>
    </row>
    <row r="73" spans="1:15" ht="23.25" customHeight="1" x14ac:dyDescent="0.25">
      <c r="A73" s="175" t="str">
        <f>metaASSETS[[#This Row],[Asset Name]]</f>
        <v>weapon_01</v>
      </c>
      <c r="B73" s="8" t="str">
        <f>metaASSETS[[#This Row],[Type]]</f>
        <v>Prop</v>
      </c>
      <c r="D73" s="86" t="b">
        <v>0</v>
      </c>
      <c r="E73" s="186" t="s">
        <v>309</v>
      </c>
      <c r="F73" s="15" t="s">
        <v>14</v>
      </c>
      <c r="G73" s="8" t="s">
        <v>313</v>
      </c>
      <c r="H73"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3" s="2">
        <v>3</v>
      </c>
      <c r="J73" s="185">
        <v>1</v>
      </c>
      <c r="K73" s="185">
        <v>1</v>
      </c>
      <c r="L73" s="185">
        <v>1</v>
      </c>
      <c r="M73" s="16" cm="1">
        <f t="array" ref="M73">SUM(modeling[[#This Row],[blocking]:[uv]]*modeling_ponderation)</f>
        <v>1</v>
      </c>
      <c r="N73" s="84">
        <f>(1-modeling[[#This Row],[Progress]])*modeling[[#This Row],[Estimated]]</f>
        <v>0</v>
      </c>
      <c r="O73" s="189"/>
    </row>
    <row r="74" spans="1:15" ht="23.25" customHeight="1" x14ac:dyDescent="0.25">
      <c r="A74" s="175" t="str">
        <f>metaASSETS[[#This Row],[Asset Name]]</f>
        <v>weapon_02</v>
      </c>
      <c r="B74" s="8" t="str">
        <f>metaASSETS[[#This Row],[Type]]</f>
        <v>Prop</v>
      </c>
      <c r="D74" s="86" t="b">
        <v>0</v>
      </c>
      <c r="E74" s="186" t="s">
        <v>309</v>
      </c>
      <c r="F74" s="15" t="s">
        <v>14</v>
      </c>
      <c r="G74" s="8" t="s">
        <v>313</v>
      </c>
      <c r="H74"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4" s="2">
        <v>3</v>
      </c>
      <c r="J74" s="185">
        <v>1</v>
      </c>
      <c r="K74" s="185">
        <v>1</v>
      </c>
      <c r="L74" s="185">
        <v>1</v>
      </c>
      <c r="M74" s="16" cm="1">
        <f t="array" ref="M74">SUM(modeling[[#This Row],[blocking]:[uv]]*modeling_ponderation)</f>
        <v>1</v>
      </c>
      <c r="N74" s="84">
        <f>(1-modeling[[#This Row],[Progress]])*modeling[[#This Row],[Estimated]]</f>
        <v>0</v>
      </c>
      <c r="O74" s="189"/>
    </row>
    <row r="75" spans="1:15" ht="23.25" customHeight="1" x14ac:dyDescent="0.25">
      <c r="A75" s="175" t="str">
        <f>metaASSETS[[#This Row],[Asset Name]]</f>
        <v>weapon_03</v>
      </c>
      <c r="B75" s="8" t="str">
        <f>metaASSETS[[#This Row],[Type]]</f>
        <v>Prop</v>
      </c>
      <c r="D75" s="86" t="b">
        <v>0</v>
      </c>
      <c r="E75" s="186" t="s">
        <v>309</v>
      </c>
      <c r="F75" s="15" t="s">
        <v>14</v>
      </c>
      <c r="G75" s="8" t="s">
        <v>313</v>
      </c>
      <c r="H75"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5" s="2">
        <v>3</v>
      </c>
      <c r="J75" s="185">
        <v>1</v>
      </c>
      <c r="K75" s="185">
        <v>1</v>
      </c>
      <c r="L75" s="185">
        <v>1</v>
      </c>
      <c r="M75" s="16" cm="1">
        <f t="array" ref="M75">SUM(modeling[[#This Row],[blocking]:[uv]]*modeling_ponderation)</f>
        <v>1</v>
      </c>
      <c r="N75" s="84">
        <f>(1-modeling[[#This Row],[Progress]])*modeling[[#This Row],[Estimated]]</f>
        <v>0</v>
      </c>
      <c r="O75" s="189"/>
    </row>
    <row r="76" spans="1:15" ht="23.25" customHeight="1" x14ac:dyDescent="0.25">
      <c r="A76" s="175" t="str">
        <f>metaASSETS[[#This Row],[Asset Name]]</f>
        <v>weapon_04</v>
      </c>
      <c r="B76" s="8" t="str">
        <f>metaASSETS[[#This Row],[Type]]</f>
        <v>Prop</v>
      </c>
      <c r="D76" s="86" t="b">
        <v>0</v>
      </c>
      <c r="E76" s="186" t="s">
        <v>309</v>
      </c>
      <c r="F76" s="15" t="s">
        <v>14</v>
      </c>
      <c r="G76" s="8" t="s">
        <v>313</v>
      </c>
      <c r="H76"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6" s="2">
        <v>3</v>
      </c>
      <c r="J76" s="185">
        <v>1</v>
      </c>
      <c r="K76" s="185">
        <v>1</v>
      </c>
      <c r="L76" s="185">
        <v>1</v>
      </c>
      <c r="M76" s="16" cm="1">
        <f t="array" ref="M76">SUM(modeling[[#This Row],[blocking]:[uv]]*modeling_ponderation)</f>
        <v>1</v>
      </c>
      <c r="N76" s="84">
        <f>(1-modeling[[#This Row],[Progress]])*modeling[[#This Row],[Estimated]]</f>
        <v>0</v>
      </c>
      <c r="O76" s="189"/>
    </row>
    <row r="77" spans="1:15" ht="23.25" customHeight="1" x14ac:dyDescent="0.25">
      <c r="A77" s="175" t="str">
        <f>metaASSETS[[#This Row],[Asset Name]]</f>
        <v>weapon_05</v>
      </c>
      <c r="B77" s="8" t="str">
        <f>metaASSETS[[#This Row],[Type]]</f>
        <v>Prop</v>
      </c>
      <c r="D77" s="86" t="b">
        <v>0</v>
      </c>
      <c r="E77" s="186" t="s">
        <v>309</v>
      </c>
      <c r="F77" s="15" t="s">
        <v>14</v>
      </c>
      <c r="G77" s="8" t="s">
        <v>312</v>
      </c>
      <c r="H77"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7" s="2">
        <v>4</v>
      </c>
      <c r="J77" s="185">
        <v>1</v>
      </c>
      <c r="K77" s="185">
        <v>1</v>
      </c>
      <c r="L77" s="185">
        <v>1</v>
      </c>
      <c r="M77" s="16" cm="1">
        <f t="array" ref="M77">SUM(modeling[[#This Row],[blocking]:[uv]]*modeling_ponderation)</f>
        <v>1</v>
      </c>
      <c r="N77" s="84">
        <f>(1-modeling[[#This Row],[Progress]])*modeling[[#This Row],[Estimated]]</f>
        <v>0</v>
      </c>
      <c r="O77" s="189"/>
    </row>
    <row r="78" spans="1:15" ht="23.25" customHeight="1" x14ac:dyDescent="0.25">
      <c r="A78" s="175" t="str">
        <f>metaASSETS[[#This Row],[Asset Name]]</f>
        <v>broken_vitrail</v>
      </c>
      <c r="B78" s="8" t="str">
        <f>metaASSETS[[#This Row],[Type]]</f>
        <v>Prop</v>
      </c>
      <c r="D78" s="86" t="b">
        <v>0</v>
      </c>
      <c r="E78" s="186" t="s">
        <v>309</v>
      </c>
      <c r="F78" s="15" t="s">
        <v>12</v>
      </c>
      <c r="G78" s="8" t="s">
        <v>313</v>
      </c>
      <c r="H78" s="2" t="str">
        <f>IF(
    NOT(ISBLANK(modeling[[#This Row],[Commentaires]])), "Needs Fix",
    IF(modeling[[#This Row],[Review]]&lt;&gt;"inactive", modeling[[#This Row],[Review]],
        IF(modeling[[#This Row],[Progress]]=100%, "Pending Review",
            IF(
                AND(0%&lt;modeling[[#This Row],[Progress]], modeling[[#This Row],[Progress]]&lt;100%), "In Progress",
                IF(
                    design[[#This Row],[Status]]="Approved", "Ready",
                    IF(
                        AND(design[[#This Row],[Progress]]&gt;=upcomingThreshold, design[[#This Row],[Progress]]&lt;=100%), "Upcoming",
                        IF(design[[#This Row],[Progress]]&lt;upcomingThreshold, "Waiting")
                    )
                )
            )
        )
    )
)</f>
        <v>Approved</v>
      </c>
      <c r="I78" s="2">
        <v>1</v>
      </c>
      <c r="J78" s="185">
        <v>1</v>
      </c>
      <c r="K78" s="185">
        <v>1</v>
      </c>
      <c r="L78" s="185">
        <v>1</v>
      </c>
      <c r="M78" s="16" cm="1">
        <f t="array" ref="M78">SUM(modeling[[#This Row],[blocking]:[uv]]*modeling_ponderation)</f>
        <v>1</v>
      </c>
      <c r="N78" s="84">
        <f>(1-modeling[[#This Row],[Progress]])*modeling[[#This Row],[Estimated]]</f>
        <v>0</v>
      </c>
      <c r="O78" s="189"/>
    </row>
    <row r="79" spans="1:15" ht="23.25" customHeight="1" x14ac:dyDescent="0.25">
      <c r="A79" s="2" t="s">
        <v>22</v>
      </c>
      <c r="I79" s="2">
        <f>SUBTOTAL(109,modeling[Estimated])</f>
        <v>374</v>
      </c>
      <c r="J79" s="16">
        <f>SUBTOTAL(101,modeling[blocking])</f>
        <v>1</v>
      </c>
      <c r="K79" s="16">
        <f>SUBTOTAL(101,modeling[polish])</f>
        <v>0.9986666666666667</v>
      </c>
      <c r="L79" s="16">
        <f>SUBTOTAL(101,modeling[uv])</f>
        <v>0.996</v>
      </c>
      <c r="M79" s="16">
        <f>(modeling[[#Totals],[Estimated]]-modeling[[#Totals],[Hours to do]])/modeling[[#Totals],[Estimated]]</f>
        <v>0.99037433155080212</v>
      </c>
      <c r="N79" s="88">
        <f>SUBTOTAL(109,modeling[Hours to do])</f>
        <v>3.6000000000000023</v>
      </c>
      <c r="O79" s="3"/>
    </row>
  </sheetData>
  <sheetProtection algorithmName="SHA-512" hashValue="HY54PaIgNtrO2GteozN75Bil1KIXssG2EWuv2RFraJSwNcZmjjPi/uWdHPybPpS9NH1JAjJyovb5ttgO3i3tbg==" saltValue="umlijVkwt1R/9d/o8+KxAg==" spinCount="100000" sheet="1" selectLockedCells="1" autoFilter="0"/>
  <mergeCells count="1">
    <mergeCell ref="A1:H2"/>
  </mergeCells>
  <conditionalFormatting sqref="H4:H78">
    <cfRule type="containsText" dxfId="87" priority="1" operator="containsText" text="Needs Fix">
      <formula>NOT(ISERROR(SEARCH("Needs Fix",H4)))</formula>
    </cfRule>
    <cfRule type="containsText" dxfId="86" priority="2" operator="containsText" text="Approved">
      <formula>NOT(ISERROR(SEARCH("Approved",H4)))</formula>
    </cfRule>
    <cfRule type="containsText" dxfId="85" priority="3" operator="containsText" text="Pending Review">
      <formula>NOT(ISERROR(SEARCH("Pending Review",H4)))</formula>
    </cfRule>
    <cfRule type="containsText" dxfId="84" priority="4" operator="containsText" text="In Progress">
      <formula>NOT(ISERROR(SEARCH("In Progress",H4)))</formula>
    </cfRule>
    <cfRule type="containsText" dxfId="83" priority="5" operator="containsText" text="Ready">
      <formula>NOT(ISERROR(SEARCH("Ready",H4)))</formula>
    </cfRule>
    <cfRule type="containsText" dxfId="82" priority="6" operator="containsText" text="Upcoming">
      <formula>NOT(ISERROR(SEARCH("Upcoming",H4)))</formula>
    </cfRule>
    <cfRule type="containsText" dxfId="81" priority="7" operator="containsText" text="Waiting">
      <formula>NOT(ISERROR(SEARCH("Waiting",H4)))</formula>
    </cfRule>
  </conditionalFormatting>
  <conditionalFormatting sqref="J4:M78">
    <cfRule type="colorScale" priority="19">
      <colorScale>
        <cfvo type="num" val="0"/>
        <cfvo type="num" val="0.5"/>
        <cfvo type="num" val="1"/>
        <color rgb="FFFF0000"/>
        <color rgb="FFFFFF00"/>
        <color theme="9" tint="-0.249977111117893"/>
      </colorScale>
    </cfRule>
  </conditionalFormatting>
  <conditionalFormatting sqref="N4:N78">
    <cfRule type="dataBar" priority="218">
      <dataBar>
        <cfvo type="min"/>
        <cfvo type="max"/>
        <color rgb="FF008AEF"/>
      </dataBar>
      <extLst>
        <ext xmlns:x14="http://schemas.microsoft.com/office/spreadsheetml/2009/9/main" uri="{B025F937-C7B1-47D3-B67F-A62EFF666E3E}">
          <x14:id>{A429DF62-3962-4D79-8118-54E53289EFD7}</x14:id>
        </ext>
      </extLst>
    </cfRule>
  </conditionalFormatting>
  <conditionalFormatting sqref="O4:O78">
    <cfRule type="dataBar" priority="219">
      <dataBar>
        <cfvo type="min"/>
        <cfvo type="max"/>
        <color rgb="FF008AEF"/>
      </dataBar>
      <extLst>
        <ext xmlns:x14="http://schemas.microsoft.com/office/spreadsheetml/2009/9/main" uri="{B025F937-C7B1-47D3-B67F-A62EFF666E3E}">
          <x14:id>{F06F8EC9-1FDE-4482-875C-2F6C7B8E44E1}</x14:id>
        </ext>
      </extLst>
    </cfRule>
  </conditionalFormatting>
  <pageMargins left="0.7" right="0.7" top="0.75" bottom="0.75" header="0.3" footer="0.3"/>
  <pageSetup paperSize="9" orientation="portrait" horizontalDpi="360" verticalDpi="36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429DF62-3962-4D79-8118-54E53289EFD7}">
            <x14:dataBar minLength="0" maxLength="100" border="1" negativeBarBorderColorSameAsPositive="0">
              <x14:cfvo type="autoMin"/>
              <x14:cfvo type="autoMax"/>
              <x14:borderColor rgb="FF008AEF"/>
              <x14:negativeFillColor rgb="FFFF0000"/>
              <x14:negativeBorderColor rgb="FFFF0000"/>
              <x14:axisColor rgb="FF000000"/>
            </x14:dataBar>
          </x14:cfRule>
          <xm:sqref>N4:N78</xm:sqref>
        </x14:conditionalFormatting>
        <x14:conditionalFormatting xmlns:xm="http://schemas.microsoft.com/office/excel/2006/main">
          <x14:cfRule type="dataBar" id="{F06F8EC9-1FDE-4482-875C-2F6C7B8E44E1}">
            <x14:dataBar minLength="0" maxLength="100" border="1" negativeBarBorderColorSameAsPositive="0">
              <x14:cfvo type="autoMin"/>
              <x14:cfvo type="autoMax"/>
              <x14:borderColor rgb="FF008AEF"/>
              <x14:negativeFillColor rgb="FFFF0000"/>
              <x14:negativeBorderColor rgb="FFFF0000"/>
              <x14:axisColor rgb="FF000000"/>
            </x14:dataBar>
          </x14:cfRule>
          <xm:sqref>O4:O78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09E7180-70D5-4B5D-B6D6-76DC5D14B934}">
          <x14:formula1>
            <xm:f>_data_!$T$8:$T$10</xm:f>
          </x14:formula1>
          <xm:sqref>E4:E78</xm:sqref>
        </x14:dataValidation>
        <x14:dataValidation type="list" allowBlank="1" showInputMessage="1" showErrorMessage="1" xr:uid="{023291E5-0200-44A3-8716-0354BA6F133C}">
          <x14:formula1>
            <xm:f>_data_!$R$15:$R$16</xm:f>
          </x14:formula1>
          <xm:sqref>D4:D78</xm:sqref>
        </x14:dataValidation>
        <x14:dataValidation type="list" allowBlank="1" showInputMessage="1" showErrorMessage="1" xr:uid="{57ED4F1A-A473-45D6-8075-DF122A7ECDB7}">
          <x14:formula1>
            <xm:f>_data_!$M$18:$M$22</xm:f>
          </x14:formula1>
          <xm:sqref>G4:G78</xm:sqref>
        </x14:dataValidation>
        <x14:dataValidation type="list" allowBlank="1" showInputMessage="1" showErrorMessage="1" xr:uid="{5CBABE4A-8633-4B85-958A-3342493C15A1}">
          <x14:formula1>
            <xm:f>_data_!$X$28:$X$32</xm:f>
          </x14:formula1>
          <xm:sqref>F4:F78</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CB79A-E8B0-4893-8D02-7E230DAFAA7E}">
  <sheetPr codeName="Feuil6">
    <tabColor rgb="FFC4AEF2"/>
  </sheetPr>
  <dimension ref="A1:P79"/>
  <sheetViews>
    <sheetView showGridLines="0" showRowColHeaders="0" zoomScaleNormal="100" workbookViewId="0">
      <pane ySplit="3" topLeftCell="A58" activePane="bottomLeft" state="frozen"/>
      <selection activeCell="C28" sqref="C28"/>
      <selection pane="bottomLeft" activeCell="M76" sqref="M76"/>
    </sheetView>
  </sheetViews>
  <sheetFormatPr baseColWidth="10" defaultColWidth="16" defaultRowHeight="23.25" customHeight="1" x14ac:dyDescent="0.25"/>
  <cols>
    <col min="1" max="1" width="17.85546875" style="2" customWidth="1"/>
    <col min="2" max="15" width="14.28515625" style="2" customWidth="1"/>
    <col min="16" max="16" width="52.85546875" style="2" customWidth="1"/>
    <col min="17" max="17" width="94" style="2" customWidth="1"/>
    <col min="18" max="16384" width="16" style="2"/>
  </cols>
  <sheetData>
    <row r="1" spans="1:16" s="122" customFormat="1" ht="41.25" customHeight="1" x14ac:dyDescent="0.25">
      <c r="A1" s="287" t="s">
        <v>320</v>
      </c>
      <c r="B1" s="287"/>
      <c r="C1" s="287"/>
      <c r="D1" s="287"/>
      <c r="E1" s="287"/>
      <c r="F1" s="287"/>
      <c r="G1" s="287"/>
      <c r="H1" s="287"/>
      <c r="I1" s="120" t="s">
        <v>297</v>
      </c>
      <c r="J1" s="121">
        <v>0.5</v>
      </c>
      <c r="K1" s="121">
        <v>0.1</v>
      </c>
      <c r="L1" s="121">
        <v>0.3</v>
      </c>
      <c r="M1" s="121">
        <v>0.1</v>
      </c>
    </row>
    <row r="2" spans="1:16" s="122" customFormat="1" ht="41.25" customHeight="1" x14ac:dyDescent="0.25">
      <c r="A2" s="287"/>
      <c r="B2" s="287"/>
      <c r="C2" s="287"/>
      <c r="D2" s="287"/>
      <c r="E2" s="287"/>
      <c r="F2" s="287"/>
      <c r="G2" s="287"/>
      <c r="H2" s="287"/>
      <c r="I2" s="122" t="s">
        <v>298</v>
      </c>
      <c r="J2" s="123" cm="1">
        <f t="array" ref="J2">IF(J79="Done", "Done",J1*SUM(rigging[[Estimated]:[Estimated]]*(1-rigging[setup])))</f>
        <v>0</v>
      </c>
      <c r="K2" s="123" cm="1">
        <f t="array" ref="K2">IF(K79="Done", "Done",K1*SUM(rigging[[Estimated]:[Estimated]]*(1-rigging[deform])))</f>
        <v>0</v>
      </c>
      <c r="L2" s="123" cm="1">
        <f t="array" ref="L2">IF(L79="Done", "Done",L1*SUM(rigging[[Estimated]:[Estimated]]*(1-rigging[skinning])))</f>
        <v>2.700000000000002</v>
      </c>
      <c r="M2" s="123" cm="1">
        <f t="array" ref="M2">IF(M79="Done", "Done",M1*SUM(rigging[[Estimated]:[Estimated]]*(1-rigging[polish])))</f>
        <v>1.7999999999999998</v>
      </c>
    </row>
    <row r="3" spans="1:16" ht="23.25" customHeight="1" x14ac:dyDescent="0.25">
      <c r="A3" s="2" t="s">
        <v>299</v>
      </c>
      <c r="B3" s="2" t="s">
        <v>23</v>
      </c>
      <c r="C3" s="2" t="s">
        <v>300</v>
      </c>
      <c r="D3" s="2" t="s">
        <v>301</v>
      </c>
      <c r="E3" s="2" t="s">
        <v>302</v>
      </c>
      <c r="F3" s="2" t="s">
        <v>6</v>
      </c>
      <c r="G3" s="2" t="s">
        <v>303</v>
      </c>
      <c r="H3" s="2" t="s">
        <v>269</v>
      </c>
      <c r="I3" s="2" t="s">
        <v>304</v>
      </c>
      <c r="J3" s="171" t="s">
        <v>321</v>
      </c>
      <c r="K3" s="171" t="s">
        <v>322</v>
      </c>
      <c r="L3" s="171" t="s">
        <v>323</v>
      </c>
      <c r="M3" s="171" t="s">
        <v>317</v>
      </c>
      <c r="N3" s="2" t="s">
        <v>295</v>
      </c>
      <c r="O3" s="2" t="s">
        <v>308</v>
      </c>
      <c r="P3" s="2" t="s">
        <v>270</v>
      </c>
    </row>
    <row r="4" spans="1:16" ht="23.25" customHeight="1" x14ac:dyDescent="0.25">
      <c r="A4" s="174" t="str">
        <f>metaASSETS[[#This Row],[Asset Name]]</f>
        <v>vitrail_00</v>
      </c>
      <c r="B4" s="87" t="str">
        <f>metaASSETS[[#This Row],[Type]]</f>
        <v>Asset</v>
      </c>
      <c r="D4" s="86" t="b">
        <v>0</v>
      </c>
      <c r="E4" s="186" t="s">
        <v>309</v>
      </c>
      <c r="F4" s="262" t="s">
        <v>12</v>
      </c>
      <c r="G4" s="87" t="s">
        <v>312</v>
      </c>
      <c r="H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 s="2">
        <v>0</v>
      </c>
      <c r="J4" s="185">
        <v>1</v>
      </c>
      <c r="K4" s="185">
        <v>1</v>
      </c>
      <c r="L4" s="185">
        <v>1</v>
      </c>
      <c r="M4" s="185">
        <v>1</v>
      </c>
      <c r="N4" s="16" cm="1">
        <f t="array" ref="N4">SUM(rigging[[#This Row],[setup]:[polish]]*rigging_ponderation)</f>
        <v>0.99999999999999989</v>
      </c>
      <c r="O4" s="84">
        <f>(1-rigging[[#This Row],[Progress]])*rigging[[#This Row],[Estimated]]</f>
        <v>0</v>
      </c>
      <c r="P4" s="219"/>
    </row>
    <row r="5" spans="1:16" ht="23.25" customHeight="1" x14ac:dyDescent="0.25">
      <c r="A5" s="174" t="str">
        <f>metaASSETS[[#This Row],[Asset Name]]</f>
        <v>vitrail_01</v>
      </c>
      <c r="B5" s="87" t="str">
        <f>metaASSETS[[#This Row],[Type]]</f>
        <v>Asset</v>
      </c>
      <c r="D5" s="86" t="b">
        <v>0</v>
      </c>
      <c r="E5" s="186" t="s">
        <v>309</v>
      </c>
      <c r="F5" s="262" t="s">
        <v>12</v>
      </c>
      <c r="G5" s="87" t="s">
        <v>312</v>
      </c>
      <c r="H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 s="2">
        <v>0</v>
      </c>
      <c r="J5" s="185">
        <v>1</v>
      </c>
      <c r="K5" s="185">
        <v>1</v>
      </c>
      <c r="L5" s="185">
        <v>1</v>
      </c>
      <c r="M5" s="185">
        <v>1</v>
      </c>
      <c r="N5" s="16" cm="1">
        <f t="array" ref="N5">SUM(rigging[[#This Row],[setup]:[polish]]*rigging_ponderation)</f>
        <v>0.99999999999999989</v>
      </c>
      <c r="O5" s="84">
        <f>(1-rigging[[#This Row],[Progress]])*rigging[[#This Row],[Estimated]]</f>
        <v>0</v>
      </c>
      <c r="P5" s="219"/>
    </row>
    <row r="6" spans="1:16" ht="23.25" customHeight="1" x14ac:dyDescent="0.25">
      <c r="A6" s="174" t="str">
        <f>metaASSETS[[#This Row],[Asset Name]]</f>
        <v>vitrail_02</v>
      </c>
      <c r="B6" s="87" t="str">
        <f>metaASSETS[[#This Row],[Type]]</f>
        <v>Asset</v>
      </c>
      <c r="D6" s="86" t="b">
        <v>0</v>
      </c>
      <c r="E6" s="186" t="s">
        <v>309</v>
      </c>
      <c r="F6" s="262" t="s">
        <v>12</v>
      </c>
      <c r="G6" s="87" t="s">
        <v>312</v>
      </c>
      <c r="H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 s="2">
        <v>0</v>
      </c>
      <c r="J6" s="185">
        <v>1</v>
      </c>
      <c r="K6" s="185">
        <v>1</v>
      </c>
      <c r="L6" s="185">
        <v>1</v>
      </c>
      <c r="M6" s="185">
        <v>1</v>
      </c>
      <c r="N6" s="16" cm="1">
        <f t="array" ref="N6">SUM(rigging[[#This Row],[setup]:[polish]]*rigging_ponderation)</f>
        <v>0.99999999999999989</v>
      </c>
      <c r="O6" s="84">
        <f>(1-rigging[[#This Row],[Progress]])*rigging[[#This Row],[Estimated]]</f>
        <v>0</v>
      </c>
      <c r="P6" s="219"/>
    </row>
    <row r="7" spans="1:16" ht="23.25" customHeight="1" x14ac:dyDescent="0.25">
      <c r="A7" s="174" t="str">
        <f>metaASSETS[[#This Row],[Asset Name]]</f>
        <v>joan</v>
      </c>
      <c r="B7" s="87" t="str">
        <f>metaASSETS[[#This Row],[Type]]</f>
        <v>Character</v>
      </c>
      <c r="D7" s="86" t="b">
        <v>0</v>
      </c>
      <c r="E7" s="186" t="s">
        <v>324</v>
      </c>
      <c r="F7" s="262" t="s">
        <v>16</v>
      </c>
      <c r="G7" s="87" t="s">
        <v>311</v>
      </c>
      <c r="H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Needs Fix</v>
      </c>
      <c r="I7" s="2">
        <v>180</v>
      </c>
      <c r="J7" s="185">
        <v>1</v>
      </c>
      <c r="K7" s="185">
        <v>1</v>
      </c>
      <c r="L7" s="185">
        <v>0.95</v>
      </c>
      <c r="M7" s="185">
        <v>0.9</v>
      </c>
      <c r="N7" s="16" cm="1">
        <f t="array" ref="N7">SUM(rigging[[#This Row],[setup]:[polish]]*rigging_ponderation)</f>
        <v>0.97499999999999998</v>
      </c>
      <c r="O7" s="84">
        <f>(1-rigging[[#This Row],[Progress]])*rigging[[#This Row],[Estimated]]</f>
        <v>4.5000000000000036</v>
      </c>
      <c r="P7" s="219" t="s">
        <v>325</v>
      </c>
    </row>
    <row r="8" spans="1:16" ht="23.25" customHeight="1" x14ac:dyDescent="0.25">
      <c r="A8" s="174" t="str">
        <f>metaASSETS[[#This Row],[Asset Name]]</f>
        <v>joan_01</v>
      </c>
      <c r="B8" s="87" t="str">
        <f>metaASSETS[[#This Row],[Type]]</f>
        <v>Character</v>
      </c>
      <c r="D8" s="86" t="b">
        <v>0</v>
      </c>
      <c r="E8" s="186" t="s">
        <v>309</v>
      </c>
      <c r="F8" s="262" t="s">
        <v>12</v>
      </c>
      <c r="G8" s="87" t="s">
        <v>311</v>
      </c>
      <c r="H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8" s="2">
        <v>60</v>
      </c>
      <c r="J8" s="185">
        <v>1</v>
      </c>
      <c r="K8" s="185">
        <v>1</v>
      </c>
      <c r="L8" s="185">
        <v>1</v>
      </c>
      <c r="M8" s="185">
        <v>1</v>
      </c>
      <c r="N8" s="16" cm="1">
        <f t="array" ref="N8">SUM(rigging[[#This Row],[setup]:[polish]]*rigging_ponderation)</f>
        <v>0.99999999999999989</v>
      </c>
      <c r="O8" s="84">
        <f>(1-rigging[[#This Row],[Progress]])*rigging[[#This Row],[Estimated]]</f>
        <v>6.6613381477509392E-15</v>
      </c>
      <c r="P8" s="219"/>
    </row>
    <row r="9" spans="1:16" ht="23.25" customHeight="1" x14ac:dyDescent="0.25">
      <c r="A9" s="174" t="str">
        <f>metaASSETS[[#This Row],[Asset Name]]</f>
        <v>joan_dlbr</v>
      </c>
      <c r="B9" s="87" t="str">
        <f>metaASSETS[[#This Row],[Type]]</f>
        <v>Character</v>
      </c>
      <c r="D9" s="86" t="b">
        <v>0</v>
      </c>
      <c r="E9" s="186" t="s">
        <v>309</v>
      </c>
      <c r="F9" s="262" t="s">
        <v>16</v>
      </c>
      <c r="G9" s="87" t="s">
        <v>311</v>
      </c>
      <c r="H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9" s="2">
        <v>25</v>
      </c>
      <c r="J9" s="185">
        <v>1</v>
      </c>
      <c r="K9" s="185">
        <v>1</v>
      </c>
      <c r="L9" s="185">
        <v>1</v>
      </c>
      <c r="M9" s="185">
        <v>1</v>
      </c>
      <c r="N9" s="16" cm="1">
        <f t="array" ref="N9">SUM(rigging[[#This Row],[setup]:[polish]]*rigging_ponderation)</f>
        <v>0.99999999999999989</v>
      </c>
      <c r="O9" s="84">
        <f>(1-rigging[[#This Row],[Progress]])*rigging[[#This Row],[Estimated]]</f>
        <v>2.7755575615628914E-15</v>
      </c>
      <c r="P9" s="219"/>
    </row>
    <row r="10" spans="1:16" ht="23.25" customHeight="1" x14ac:dyDescent="0.25">
      <c r="A10" s="174" t="str">
        <f>metaASSETS[[#This Row],[Asset Name]]</f>
        <v>knight</v>
      </c>
      <c r="B10" s="87" t="str">
        <f>metaASSETS[[#This Row],[Type]]</f>
        <v>Character</v>
      </c>
      <c r="D10" s="86" t="b">
        <v>0</v>
      </c>
      <c r="E10" s="186" t="s">
        <v>309</v>
      </c>
      <c r="F10" s="262" t="s">
        <v>16</v>
      </c>
      <c r="G10" s="87" t="s">
        <v>311</v>
      </c>
      <c r="H1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0" s="2">
        <v>35</v>
      </c>
      <c r="J10" s="185">
        <v>1</v>
      </c>
      <c r="K10" s="185">
        <v>1</v>
      </c>
      <c r="L10" s="185">
        <v>1</v>
      </c>
      <c r="M10" s="185">
        <v>1</v>
      </c>
      <c r="N10" s="16" cm="1">
        <f t="array" ref="N10">SUM(rigging[[#This Row],[setup]:[polish]]*rigging_ponderation)</f>
        <v>0.99999999999999989</v>
      </c>
      <c r="O10" s="84">
        <f>(1-rigging[[#This Row],[Progress]])*rigging[[#This Row],[Estimated]]</f>
        <v>3.8857805861880479E-15</v>
      </c>
      <c r="P10" s="219"/>
    </row>
    <row r="11" spans="1:16" ht="23.25" customHeight="1" x14ac:dyDescent="0.25">
      <c r="A11" s="174" t="str">
        <f>metaASSETS[[#This Row],[Asset Name]]</f>
        <v>L_arm</v>
      </c>
      <c r="B11" s="87" t="str">
        <f>metaASSETS[[#This Row],[Type]]</f>
        <v>Character</v>
      </c>
      <c r="D11" s="86" t="b">
        <v>0</v>
      </c>
      <c r="E11" s="186" t="s">
        <v>309</v>
      </c>
      <c r="F11" s="262" t="s">
        <v>16</v>
      </c>
      <c r="G11" s="87" t="s">
        <v>312</v>
      </c>
      <c r="H1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1" s="2">
        <v>1</v>
      </c>
      <c r="J11" s="185">
        <v>1</v>
      </c>
      <c r="K11" s="185">
        <v>1</v>
      </c>
      <c r="L11" s="185">
        <v>1</v>
      </c>
      <c r="M11" s="185">
        <v>1</v>
      </c>
      <c r="N11" s="16" cm="1">
        <f t="array" ref="N11">SUM(rigging[[#This Row],[setup]:[polish]]*rigging_ponderation)</f>
        <v>0.99999999999999989</v>
      </c>
      <c r="O11" s="84">
        <f>(1-rigging[[#This Row],[Progress]])*rigging[[#This Row],[Estimated]]</f>
        <v>1.1102230246251565E-16</v>
      </c>
      <c r="P11" s="219"/>
    </row>
    <row r="12" spans="1:16" ht="23.25" customHeight="1" x14ac:dyDescent="0.25">
      <c r="A12" s="174" t="str">
        <f>metaASSETS[[#This Row],[Asset Name]]</f>
        <v>L_leg</v>
      </c>
      <c r="B12" s="87" t="str">
        <f>metaASSETS[[#This Row],[Type]]</f>
        <v>Character</v>
      </c>
      <c r="D12" s="86" t="b">
        <v>0</v>
      </c>
      <c r="E12" s="186" t="s">
        <v>309</v>
      </c>
      <c r="F12" s="262" t="s">
        <v>16</v>
      </c>
      <c r="G12" s="87" t="s">
        <v>312</v>
      </c>
      <c r="H1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2" s="2">
        <v>1</v>
      </c>
      <c r="J12" s="185">
        <v>1</v>
      </c>
      <c r="K12" s="185">
        <v>1</v>
      </c>
      <c r="L12" s="185">
        <v>1</v>
      </c>
      <c r="M12" s="185">
        <v>1</v>
      </c>
      <c r="N12" s="16" cm="1">
        <f t="array" ref="N12">SUM(rigging[[#This Row],[setup]:[polish]]*rigging_ponderation)</f>
        <v>0.99999999999999989</v>
      </c>
      <c r="O12" s="84">
        <f>(1-rigging[[#This Row],[Progress]])*rigging[[#This Row],[Estimated]]</f>
        <v>1.1102230246251565E-16</v>
      </c>
      <c r="P12" s="219"/>
    </row>
    <row r="13" spans="1:16" ht="23.25" customHeight="1" x14ac:dyDescent="0.25">
      <c r="A13" s="174" t="str">
        <f>metaASSETS[[#This Row],[Asset Name]]</f>
        <v>R_arm</v>
      </c>
      <c r="B13" s="87" t="str">
        <f>metaASSETS[[#This Row],[Type]]</f>
        <v>Character</v>
      </c>
      <c r="D13" s="86" t="b">
        <v>0</v>
      </c>
      <c r="E13" s="186" t="s">
        <v>309</v>
      </c>
      <c r="F13" s="262" t="s">
        <v>16</v>
      </c>
      <c r="G13" s="87" t="s">
        <v>312</v>
      </c>
      <c r="H1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3" s="2">
        <v>1</v>
      </c>
      <c r="J13" s="185">
        <v>1</v>
      </c>
      <c r="K13" s="185">
        <v>1</v>
      </c>
      <c r="L13" s="185">
        <v>1</v>
      </c>
      <c r="M13" s="185">
        <v>1</v>
      </c>
      <c r="N13" s="16" cm="1">
        <f t="array" ref="N13">SUM(rigging[[#This Row],[setup]:[polish]]*rigging_ponderation)</f>
        <v>0.99999999999999989</v>
      </c>
      <c r="O13" s="84">
        <f>(1-rigging[[#This Row],[Progress]])*rigging[[#This Row],[Estimated]]</f>
        <v>1.1102230246251565E-16</v>
      </c>
      <c r="P13" s="219"/>
    </row>
    <row r="14" spans="1:16" ht="23.25" customHeight="1" x14ac:dyDescent="0.25">
      <c r="A14" s="174" t="str">
        <f>metaASSETS[[#This Row],[Asset Name]]</f>
        <v>R_leg</v>
      </c>
      <c r="B14" s="87" t="str">
        <f>metaASSETS[[#This Row],[Type]]</f>
        <v>Character</v>
      </c>
      <c r="D14" s="86" t="b">
        <v>0</v>
      </c>
      <c r="E14" s="186" t="s">
        <v>309</v>
      </c>
      <c r="F14" s="262" t="s">
        <v>16</v>
      </c>
      <c r="G14" s="87" t="s">
        <v>312</v>
      </c>
      <c r="H1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4" s="2">
        <v>1</v>
      </c>
      <c r="J14" s="185">
        <v>1</v>
      </c>
      <c r="K14" s="185">
        <v>1</v>
      </c>
      <c r="L14" s="185">
        <v>1</v>
      </c>
      <c r="M14" s="185">
        <v>1</v>
      </c>
      <c r="N14" s="16" cm="1">
        <f t="array" ref="N14">SUM(rigging[[#This Row],[setup]:[polish]]*rigging_ponderation)</f>
        <v>0.99999999999999989</v>
      </c>
      <c r="O14" s="84">
        <f>(1-rigging[[#This Row],[Progress]])*rigging[[#This Row],[Estimated]]</f>
        <v>1.1102230246251565E-16</v>
      </c>
      <c r="P14" s="219"/>
    </row>
    <row r="15" spans="1:16" ht="23.25" customHeight="1" x14ac:dyDescent="0.25">
      <c r="A15" s="174" t="str">
        <f>metaASSETS[[#This Row],[Asset Name]]</f>
        <v>soldier_01</v>
      </c>
      <c r="B15" s="87" t="str">
        <f>metaASSETS[[#This Row],[Type]]</f>
        <v>Character</v>
      </c>
      <c r="D15" s="86" t="b">
        <v>0</v>
      </c>
      <c r="E15" s="186" t="s">
        <v>309</v>
      </c>
      <c r="F15" s="262" t="s">
        <v>16</v>
      </c>
      <c r="G15" s="87" t="s">
        <v>313</v>
      </c>
      <c r="H1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5" s="2">
        <v>3</v>
      </c>
      <c r="J15" s="185">
        <v>1</v>
      </c>
      <c r="K15" s="185">
        <v>1</v>
      </c>
      <c r="L15" s="185">
        <v>1</v>
      </c>
      <c r="M15" s="185">
        <v>1</v>
      </c>
      <c r="N15" s="16" cm="1">
        <f t="array" ref="N15">SUM(rigging[[#This Row],[setup]:[polish]]*rigging_ponderation)</f>
        <v>0.99999999999999989</v>
      </c>
      <c r="O15" s="84">
        <f>(1-rigging[[#This Row],[Progress]])*rigging[[#This Row],[Estimated]]</f>
        <v>3.3306690738754696E-16</v>
      </c>
      <c r="P15" s="219"/>
    </row>
    <row r="16" spans="1:16" ht="23.25" customHeight="1" x14ac:dyDescent="0.25">
      <c r="A16" s="174" t="str">
        <f>metaASSETS[[#This Row],[Asset Name]]</f>
        <v>soldier_02</v>
      </c>
      <c r="B16" s="87" t="str">
        <f>metaASSETS[[#This Row],[Type]]</f>
        <v>Character</v>
      </c>
      <c r="D16" s="86" t="b">
        <v>0</v>
      </c>
      <c r="E16" s="186" t="s">
        <v>309</v>
      </c>
      <c r="F16" s="262" t="s">
        <v>16</v>
      </c>
      <c r="G16" s="87" t="s">
        <v>313</v>
      </c>
      <c r="H1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6" s="2">
        <v>1</v>
      </c>
      <c r="J16" s="185">
        <v>1</v>
      </c>
      <c r="K16" s="185">
        <v>1</v>
      </c>
      <c r="L16" s="185">
        <v>1</v>
      </c>
      <c r="M16" s="185">
        <v>1</v>
      </c>
      <c r="N16" s="16" cm="1">
        <f t="array" ref="N16">SUM(rigging[[#This Row],[setup]:[polish]]*rigging_ponderation)</f>
        <v>0.99999999999999989</v>
      </c>
      <c r="O16" s="84">
        <f>(1-rigging[[#This Row],[Progress]])*rigging[[#This Row],[Estimated]]</f>
        <v>1.1102230246251565E-16</v>
      </c>
      <c r="P16" s="219"/>
    </row>
    <row r="17" spans="1:16" ht="23.25" customHeight="1" x14ac:dyDescent="0.25">
      <c r="A17" s="174" t="str">
        <f>metaASSETS[[#This Row],[Asset Name]]</f>
        <v>soldier_03</v>
      </c>
      <c r="B17" s="87" t="str">
        <f>metaASSETS[[#This Row],[Type]]</f>
        <v>Character</v>
      </c>
      <c r="D17" s="86" t="b">
        <v>0</v>
      </c>
      <c r="E17" s="186" t="s">
        <v>309</v>
      </c>
      <c r="F17" s="262" t="s">
        <v>16</v>
      </c>
      <c r="G17" s="87" t="s">
        <v>313</v>
      </c>
      <c r="H1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7" s="2">
        <v>1</v>
      </c>
      <c r="J17" s="185">
        <v>1</v>
      </c>
      <c r="K17" s="185">
        <v>1</v>
      </c>
      <c r="L17" s="185">
        <v>1</v>
      </c>
      <c r="M17" s="185">
        <v>1</v>
      </c>
      <c r="N17" s="16" cm="1">
        <f t="array" ref="N17">SUM(rigging[[#This Row],[setup]:[polish]]*rigging_ponderation)</f>
        <v>0.99999999999999989</v>
      </c>
      <c r="O17" s="84">
        <f>(1-rigging[[#This Row],[Progress]])*rigging[[#This Row],[Estimated]]</f>
        <v>1.1102230246251565E-16</v>
      </c>
      <c r="P17" s="219"/>
    </row>
    <row r="18" spans="1:16" ht="23.25" customHeight="1" x14ac:dyDescent="0.25">
      <c r="A18" s="174" t="str">
        <f>metaASSETS[[#This Row],[Asset Name]]</f>
        <v>villager_01</v>
      </c>
      <c r="B18" s="87" t="str">
        <f>metaASSETS[[#This Row],[Type]]</f>
        <v>Character</v>
      </c>
      <c r="D18" s="86" t="b">
        <v>0</v>
      </c>
      <c r="E18" s="186" t="s">
        <v>309</v>
      </c>
      <c r="F18" s="262" t="s">
        <v>16</v>
      </c>
      <c r="G18" s="87" t="s">
        <v>313</v>
      </c>
      <c r="H1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8" s="2">
        <v>3</v>
      </c>
      <c r="J18" s="185">
        <v>1</v>
      </c>
      <c r="K18" s="185">
        <v>1</v>
      </c>
      <c r="L18" s="185">
        <v>1</v>
      </c>
      <c r="M18" s="185">
        <v>1</v>
      </c>
      <c r="N18" s="16" cm="1">
        <f t="array" ref="N18">SUM(rigging[[#This Row],[setup]:[polish]]*rigging_ponderation)</f>
        <v>0.99999999999999989</v>
      </c>
      <c r="O18" s="84">
        <f>(1-rigging[[#This Row],[Progress]])*rigging[[#This Row],[Estimated]]</f>
        <v>3.3306690738754696E-16</v>
      </c>
      <c r="P18" s="219"/>
    </row>
    <row r="19" spans="1:16" ht="23.25" customHeight="1" x14ac:dyDescent="0.25">
      <c r="A19" s="174" t="str">
        <f>metaASSETS[[#This Row],[Asset Name]]</f>
        <v>villager_02</v>
      </c>
      <c r="B19" s="87" t="str">
        <f>metaASSETS[[#This Row],[Type]]</f>
        <v>Character</v>
      </c>
      <c r="D19" s="86" t="b">
        <v>0</v>
      </c>
      <c r="E19" s="186" t="s">
        <v>309</v>
      </c>
      <c r="F19" s="262" t="s">
        <v>16</v>
      </c>
      <c r="G19" s="87" t="s">
        <v>313</v>
      </c>
      <c r="H1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19" s="2">
        <v>1</v>
      </c>
      <c r="J19" s="185">
        <v>1</v>
      </c>
      <c r="K19" s="185">
        <v>1</v>
      </c>
      <c r="L19" s="185">
        <v>1</v>
      </c>
      <c r="M19" s="185">
        <v>1</v>
      </c>
      <c r="N19" s="16" cm="1">
        <f t="array" ref="N19">SUM(rigging[[#This Row],[setup]:[polish]]*rigging_ponderation)</f>
        <v>0.99999999999999989</v>
      </c>
      <c r="O19" s="84">
        <f>(1-rigging[[#This Row],[Progress]])*rigging[[#This Row],[Estimated]]</f>
        <v>1.1102230246251565E-16</v>
      </c>
      <c r="P19" s="219"/>
    </row>
    <row r="20" spans="1:16" ht="23.25" customHeight="1" x14ac:dyDescent="0.25">
      <c r="A20" s="174" t="str">
        <f>metaASSETS[[#This Row],[Asset Name]]</f>
        <v>villager_03</v>
      </c>
      <c r="B20" s="87" t="str">
        <f>metaASSETS[[#This Row],[Type]]</f>
        <v>Character</v>
      </c>
      <c r="D20" s="86" t="b">
        <v>0</v>
      </c>
      <c r="E20" s="186" t="s">
        <v>309</v>
      </c>
      <c r="F20" s="262" t="s">
        <v>16</v>
      </c>
      <c r="G20" s="87" t="s">
        <v>313</v>
      </c>
      <c r="H2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0" s="2">
        <v>1</v>
      </c>
      <c r="J20" s="185">
        <v>1</v>
      </c>
      <c r="K20" s="185">
        <v>1</v>
      </c>
      <c r="L20" s="185">
        <v>1</v>
      </c>
      <c r="M20" s="185">
        <v>1</v>
      </c>
      <c r="N20" s="16" cm="1">
        <f t="array" ref="N20">SUM(rigging[[#This Row],[setup]:[polish]]*rigging_ponderation)</f>
        <v>0.99999999999999989</v>
      </c>
      <c r="O20" s="84">
        <f>(1-rigging[[#This Row],[Progress]])*rigging[[#This Row],[Estimated]]</f>
        <v>1.1102230246251565E-16</v>
      </c>
      <c r="P20" s="219"/>
    </row>
    <row r="21" spans="1:16" ht="23.25" customHeight="1" x14ac:dyDescent="0.25">
      <c r="A21" s="174" t="str">
        <f>metaASSETS[[#This Row],[Asset Name]]</f>
        <v>villager_04</v>
      </c>
      <c r="B21" s="87" t="str">
        <f>metaASSETS[[#This Row],[Type]]</f>
        <v>Character</v>
      </c>
      <c r="D21" s="86" t="b">
        <v>0</v>
      </c>
      <c r="E21" s="186" t="s">
        <v>309</v>
      </c>
      <c r="F21" s="262" t="s">
        <v>16</v>
      </c>
      <c r="G21" s="87" t="s">
        <v>313</v>
      </c>
      <c r="H2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1" s="2">
        <v>1</v>
      </c>
      <c r="J21" s="185">
        <v>1</v>
      </c>
      <c r="K21" s="185">
        <v>1</v>
      </c>
      <c r="L21" s="185">
        <v>1</v>
      </c>
      <c r="M21" s="185">
        <v>1</v>
      </c>
      <c r="N21" s="16" cm="1">
        <f t="array" ref="N21">SUM(rigging[[#This Row],[setup]:[polish]]*rigging_ponderation)</f>
        <v>0.99999999999999989</v>
      </c>
      <c r="O21" s="84">
        <f>(1-rigging[[#This Row],[Progress]])*rigging[[#This Row],[Estimated]]</f>
        <v>1.1102230246251565E-16</v>
      </c>
      <c r="P21" s="219"/>
    </row>
    <row r="22" spans="1:16" ht="23.25" customHeight="1" x14ac:dyDescent="0.25">
      <c r="A22" s="174" t="str">
        <f>metaASSETS[[#This Row],[Asset Name]]</f>
        <v>villager_05</v>
      </c>
      <c r="B22" s="87" t="str">
        <f>metaASSETS[[#This Row],[Type]]</f>
        <v>Character</v>
      </c>
      <c r="D22" s="86" t="b">
        <v>0</v>
      </c>
      <c r="E22" s="186" t="s">
        <v>309</v>
      </c>
      <c r="F22" s="262" t="s">
        <v>16</v>
      </c>
      <c r="G22" s="87" t="s">
        <v>313</v>
      </c>
      <c r="H2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2" s="2">
        <v>1</v>
      </c>
      <c r="J22" s="185">
        <v>1</v>
      </c>
      <c r="K22" s="185">
        <v>1</v>
      </c>
      <c r="L22" s="185">
        <v>1</v>
      </c>
      <c r="M22" s="185">
        <v>1</v>
      </c>
      <c r="N22" s="16" cm="1">
        <f t="array" ref="N22">SUM(rigging[[#This Row],[setup]:[polish]]*rigging_ponderation)</f>
        <v>0.99999999999999989</v>
      </c>
      <c r="O22" s="84">
        <f>(1-rigging[[#This Row],[Progress]])*rigging[[#This Row],[Estimated]]</f>
        <v>1.1102230246251565E-16</v>
      </c>
      <c r="P22" s="219"/>
    </row>
    <row r="23" spans="1:16" ht="23.25" customHeight="1" x14ac:dyDescent="0.25">
      <c r="A23" s="174" t="str">
        <f>metaASSETS[[#This Row],[Asset Name]]</f>
        <v>villager_06</v>
      </c>
      <c r="B23" s="87" t="str">
        <f>metaASSETS[[#This Row],[Type]]</f>
        <v>Character</v>
      </c>
      <c r="D23" s="86" t="b">
        <v>0</v>
      </c>
      <c r="E23" s="186" t="s">
        <v>309</v>
      </c>
      <c r="F23" s="262" t="s">
        <v>16</v>
      </c>
      <c r="G23" s="87" t="s">
        <v>313</v>
      </c>
      <c r="H2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3" s="2">
        <v>1</v>
      </c>
      <c r="J23" s="185">
        <v>1</v>
      </c>
      <c r="K23" s="185">
        <v>1</v>
      </c>
      <c r="L23" s="185">
        <v>1</v>
      </c>
      <c r="M23" s="185">
        <v>1</v>
      </c>
      <c r="N23" s="16" cm="1">
        <f t="array" ref="N23">SUM(rigging[[#This Row],[setup]:[polish]]*rigging_ponderation)</f>
        <v>0.99999999999999989</v>
      </c>
      <c r="O23" s="84">
        <f>(1-rigging[[#This Row],[Progress]])*rigging[[#This Row],[Estimated]]</f>
        <v>1.1102230246251565E-16</v>
      </c>
      <c r="P23" s="219"/>
    </row>
    <row r="24" spans="1:16" ht="23.25" customHeight="1" x14ac:dyDescent="0.25">
      <c r="A24" s="174" t="str">
        <f>metaASSETS[[#This Row],[Asset Name]]</f>
        <v>villager_07</v>
      </c>
      <c r="B24" s="87" t="str">
        <f>metaASSETS[[#This Row],[Type]]</f>
        <v>Character</v>
      </c>
      <c r="D24" s="86" t="b">
        <v>0</v>
      </c>
      <c r="E24" s="186" t="s">
        <v>309</v>
      </c>
      <c r="F24" s="262" t="s">
        <v>16</v>
      </c>
      <c r="G24" s="87" t="s">
        <v>313</v>
      </c>
      <c r="H2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4" s="2">
        <v>1</v>
      </c>
      <c r="J24" s="185">
        <v>1</v>
      </c>
      <c r="K24" s="185">
        <v>1</v>
      </c>
      <c r="L24" s="185">
        <v>1</v>
      </c>
      <c r="M24" s="185">
        <v>1</v>
      </c>
      <c r="N24" s="16" cm="1">
        <f t="array" ref="N24">SUM(rigging[[#This Row],[setup]:[polish]]*rigging_ponderation)</f>
        <v>0.99999999999999989</v>
      </c>
      <c r="O24" s="84">
        <f>(1-rigging[[#This Row],[Progress]])*rigging[[#This Row],[Estimated]]</f>
        <v>1.1102230246251565E-16</v>
      </c>
      <c r="P24" s="219"/>
    </row>
    <row r="25" spans="1:16" ht="23.25" customHeight="1" x14ac:dyDescent="0.25">
      <c r="A25" s="174" t="str">
        <f>metaASSETS[[#This Row],[Asset Name]]</f>
        <v>army_eng</v>
      </c>
      <c r="B25" s="87" t="str">
        <f>metaASSETS[[#This Row],[Type]]</f>
        <v>Crowd</v>
      </c>
      <c r="D25" s="86" t="b">
        <v>0</v>
      </c>
      <c r="E25" s="186" t="s">
        <v>309</v>
      </c>
      <c r="F25" s="262" t="s">
        <v>16</v>
      </c>
      <c r="G25" s="87" t="s">
        <v>310</v>
      </c>
      <c r="H2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5" s="2">
        <v>0</v>
      </c>
      <c r="J25" s="185">
        <v>1</v>
      </c>
      <c r="K25" s="185">
        <v>1</v>
      </c>
      <c r="L25" s="185">
        <v>1</v>
      </c>
      <c r="M25" s="185">
        <v>1</v>
      </c>
      <c r="N25" s="16" cm="1">
        <f t="array" ref="N25">SUM(rigging[[#This Row],[setup]:[polish]]*rigging_ponderation)</f>
        <v>0.99999999999999989</v>
      </c>
      <c r="O25" s="84">
        <f>(1-rigging[[#This Row],[Progress]])*rigging[[#This Row],[Estimated]]</f>
        <v>0</v>
      </c>
      <c r="P25" s="219"/>
    </row>
    <row r="26" spans="1:16" ht="23.25" customHeight="1" x14ac:dyDescent="0.25">
      <c r="A26" s="174" t="str">
        <f>metaASSETS[[#This Row],[Asset Name]]</f>
        <v>army_fr</v>
      </c>
      <c r="B26" s="87" t="str">
        <f>metaASSETS[[#This Row],[Type]]</f>
        <v>Crowd</v>
      </c>
      <c r="D26" s="86" t="b">
        <v>0</v>
      </c>
      <c r="E26" s="186" t="s">
        <v>309</v>
      </c>
      <c r="F26" s="262" t="s">
        <v>326</v>
      </c>
      <c r="G26" s="87" t="s">
        <v>312</v>
      </c>
      <c r="H2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6" s="2">
        <v>0</v>
      </c>
      <c r="J26" s="185">
        <v>1</v>
      </c>
      <c r="K26" s="185">
        <v>1</v>
      </c>
      <c r="L26" s="185">
        <v>1</v>
      </c>
      <c r="M26" s="185">
        <v>1</v>
      </c>
      <c r="N26" s="16" cm="1">
        <f t="array" ref="N26">SUM(rigging[[#This Row],[setup]:[polish]]*rigging_ponderation)</f>
        <v>0.99999999999999989</v>
      </c>
      <c r="O26" s="84">
        <f>(1-rigging[[#This Row],[Progress]])*rigging[[#This Row],[Estimated]]</f>
        <v>0</v>
      </c>
      <c r="P26" s="219"/>
    </row>
    <row r="27" spans="1:16" ht="23.25" customHeight="1" x14ac:dyDescent="0.25">
      <c r="A27" s="174" t="str">
        <f>metaASSETS[[#This Row],[Asset Name]]</f>
        <v>crowd_01</v>
      </c>
      <c r="B27" s="87" t="str">
        <f>metaASSETS[[#This Row],[Type]]</f>
        <v>Crowd</v>
      </c>
      <c r="D27" s="86" t="b">
        <v>0</v>
      </c>
      <c r="E27" s="186" t="s">
        <v>309</v>
      </c>
      <c r="F27" s="262" t="s">
        <v>326</v>
      </c>
      <c r="G27" s="87" t="s">
        <v>312</v>
      </c>
      <c r="H2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7" s="2">
        <v>0</v>
      </c>
      <c r="J27" s="185">
        <v>1</v>
      </c>
      <c r="K27" s="185">
        <v>1</v>
      </c>
      <c r="L27" s="185">
        <v>1</v>
      </c>
      <c r="M27" s="185">
        <v>1</v>
      </c>
      <c r="N27" s="16" cm="1">
        <f t="array" ref="N27">SUM(rigging[[#This Row],[setup]:[polish]]*rigging_ponderation)</f>
        <v>0.99999999999999989</v>
      </c>
      <c r="O27" s="84">
        <f>(1-rigging[[#This Row],[Progress]])*rigging[[#This Row],[Estimated]]</f>
        <v>0</v>
      </c>
      <c r="P27" s="219"/>
    </row>
    <row r="28" spans="1:16" ht="23.25" customHeight="1" x14ac:dyDescent="0.25">
      <c r="A28" s="174" t="str">
        <f>metaASSETS[[#This Row],[Asset Name]]</f>
        <v>crowd_02</v>
      </c>
      <c r="B28" s="87" t="str">
        <f>metaASSETS[[#This Row],[Type]]</f>
        <v>Crowd</v>
      </c>
      <c r="D28" s="86" t="b">
        <v>0</v>
      </c>
      <c r="E28" s="186" t="s">
        <v>309</v>
      </c>
      <c r="F28" s="262" t="s">
        <v>326</v>
      </c>
      <c r="G28" s="87" t="s">
        <v>312</v>
      </c>
      <c r="H2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8" s="2">
        <v>0</v>
      </c>
      <c r="J28" s="185">
        <v>1</v>
      </c>
      <c r="K28" s="185">
        <v>1</v>
      </c>
      <c r="L28" s="185">
        <v>1</v>
      </c>
      <c r="M28" s="185">
        <v>1</v>
      </c>
      <c r="N28" s="16" cm="1">
        <f t="array" ref="N28">SUM(rigging[[#This Row],[setup]:[polish]]*rigging_ponderation)</f>
        <v>0.99999999999999989</v>
      </c>
      <c r="O28" s="84">
        <f>(1-rigging[[#This Row],[Progress]])*rigging[[#This Row],[Estimated]]</f>
        <v>0</v>
      </c>
      <c r="P28" s="219"/>
    </row>
    <row r="29" spans="1:16" ht="23.25" customHeight="1" x14ac:dyDescent="0.25">
      <c r="A29" s="174" t="str">
        <f>metaASSETS[[#This Row],[Asset Name]]</f>
        <v>crowd_03</v>
      </c>
      <c r="B29" s="87" t="str">
        <f>metaASSETS[[#This Row],[Type]]</f>
        <v>Crowd</v>
      </c>
      <c r="D29" s="86" t="b">
        <v>0</v>
      </c>
      <c r="E29" s="186" t="s">
        <v>309</v>
      </c>
      <c r="F29" s="262" t="s">
        <v>326</v>
      </c>
      <c r="G29" s="87" t="s">
        <v>312</v>
      </c>
      <c r="H2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29" s="2">
        <v>0</v>
      </c>
      <c r="J29" s="185">
        <v>1</v>
      </c>
      <c r="K29" s="185">
        <v>1</v>
      </c>
      <c r="L29" s="185">
        <v>1</v>
      </c>
      <c r="M29" s="185">
        <v>1</v>
      </c>
      <c r="N29" s="16" cm="1">
        <f t="array" ref="N29">SUM(rigging[[#This Row],[setup]:[polish]]*rigging_ponderation)</f>
        <v>0.99999999999999989</v>
      </c>
      <c r="O29" s="84">
        <f>(1-rigging[[#This Row],[Progress]])*rigging[[#This Row],[Estimated]]</f>
        <v>0</v>
      </c>
      <c r="P29" s="219"/>
    </row>
    <row r="30" spans="1:16" ht="23.25" customHeight="1" x14ac:dyDescent="0.25">
      <c r="A30" s="174" t="str">
        <f>metaASSETS[[#This Row],[Asset Name]]</f>
        <v>bucher</v>
      </c>
      <c r="B30" s="87" t="str">
        <f>metaASSETS[[#This Row],[Type]]</f>
        <v>Environment</v>
      </c>
      <c r="D30" s="86" t="b">
        <v>0</v>
      </c>
      <c r="E30" s="186" t="s">
        <v>309</v>
      </c>
      <c r="F30" s="262" t="s">
        <v>326</v>
      </c>
      <c r="G30" s="87" t="s">
        <v>312</v>
      </c>
      <c r="H3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0" s="2">
        <v>0</v>
      </c>
      <c r="J30" s="185">
        <v>1</v>
      </c>
      <c r="K30" s="185">
        <v>1</v>
      </c>
      <c r="L30" s="185">
        <v>1</v>
      </c>
      <c r="M30" s="185">
        <v>1</v>
      </c>
      <c r="N30" s="16" cm="1">
        <f t="array" ref="N30">SUM(rigging[[#This Row],[setup]:[polish]]*rigging_ponderation)</f>
        <v>0.99999999999999989</v>
      </c>
      <c r="O30" s="84">
        <f>(1-rigging[[#This Row],[Progress]])*rigging[[#This Row],[Estimated]]</f>
        <v>0</v>
      </c>
      <c r="P30" s="219"/>
    </row>
    <row r="31" spans="1:16" ht="23.25" customHeight="1" x14ac:dyDescent="0.25">
      <c r="A31" s="174" t="str">
        <f>metaASSETS[[#This Row],[Asset Name]]</f>
        <v>church_ext</v>
      </c>
      <c r="B31" s="87" t="str">
        <f>metaASSETS[[#This Row],[Type]]</f>
        <v>Environment</v>
      </c>
      <c r="D31" s="86" t="b">
        <v>0</v>
      </c>
      <c r="E31" s="186" t="s">
        <v>309</v>
      </c>
      <c r="F31" s="262" t="s">
        <v>326</v>
      </c>
      <c r="G31" s="87" t="s">
        <v>312</v>
      </c>
      <c r="H3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1" s="2">
        <v>0</v>
      </c>
      <c r="J31" s="185">
        <v>1</v>
      </c>
      <c r="K31" s="185">
        <v>1</v>
      </c>
      <c r="L31" s="185">
        <v>1</v>
      </c>
      <c r="M31" s="185">
        <v>1</v>
      </c>
      <c r="N31" s="16" cm="1">
        <f t="array" ref="N31">SUM(rigging[[#This Row],[setup]:[polish]]*rigging_ponderation)</f>
        <v>0.99999999999999989</v>
      </c>
      <c r="O31" s="84">
        <f>(1-rigging[[#This Row],[Progress]])*rigging[[#This Row],[Estimated]]</f>
        <v>0</v>
      </c>
      <c r="P31" s="219"/>
    </row>
    <row r="32" spans="1:16" ht="23.25" customHeight="1" x14ac:dyDescent="0.25">
      <c r="A32" s="175" t="str">
        <f>metaASSETS[[#This Row],[Asset Name]]</f>
        <v>church_int</v>
      </c>
      <c r="B32" s="8" t="str">
        <f>metaASSETS[[#This Row],[Type]]</f>
        <v>Environment</v>
      </c>
      <c r="D32" s="86" t="b">
        <v>0</v>
      </c>
      <c r="E32" s="186" t="s">
        <v>309</v>
      </c>
      <c r="F32" s="262" t="s">
        <v>326</v>
      </c>
      <c r="G32" s="87" t="s">
        <v>312</v>
      </c>
      <c r="H3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2" s="2">
        <v>0</v>
      </c>
      <c r="J32" s="185">
        <v>1</v>
      </c>
      <c r="K32" s="185">
        <v>1</v>
      </c>
      <c r="L32" s="185">
        <v>1</v>
      </c>
      <c r="M32" s="185">
        <v>1</v>
      </c>
      <c r="N32" s="16" cm="1">
        <f t="array" ref="N32">SUM(rigging[[#This Row],[setup]:[polish]]*rigging_ponderation)</f>
        <v>0.99999999999999989</v>
      </c>
      <c r="O32" s="84">
        <f>(1-rigging[[#This Row],[Progress]])*rigging[[#This Row],[Estimated]]</f>
        <v>0</v>
      </c>
      <c r="P32" s="220"/>
    </row>
    <row r="33" spans="1:16" ht="23.25" customHeight="1" x14ac:dyDescent="0.25">
      <c r="A33" s="175" t="str">
        <f>metaASSETS[[#This Row],[Asset Name]]</f>
        <v>door_01</v>
      </c>
      <c r="B33" s="8" t="str">
        <f>metaASSETS[[#This Row],[Type]]</f>
        <v>Environment</v>
      </c>
      <c r="D33" s="86" t="b">
        <v>0</v>
      </c>
      <c r="E33" s="186" t="s">
        <v>309</v>
      </c>
      <c r="F33" s="262" t="s">
        <v>326</v>
      </c>
      <c r="G33" s="87" t="s">
        <v>312</v>
      </c>
      <c r="H3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3" s="2">
        <v>0</v>
      </c>
      <c r="J33" s="185">
        <v>1</v>
      </c>
      <c r="K33" s="185">
        <v>1</v>
      </c>
      <c r="L33" s="185">
        <v>1</v>
      </c>
      <c r="M33" s="185">
        <v>1</v>
      </c>
      <c r="N33" s="16" cm="1">
        <f t="array" ref="N33">SUM(rigging[[#This Row],[setup]:[polish]]*rigging_ponderation)</f>
        <v>0.99999999999999989</v>
      </c>
      <c r="O33" s="84">
        <f>(1-rigging[[#This Row],[Progress]])*rigging[[#This Row],[Estimated]]</f>
        <v>0</v>
      </c>
      <c r="P33" s="220"/>
    </row>
    <row r="34" spans="1:16" ht="23.25" customHeight="1" x14ac:dyDescent="0.25">
      <c r="A34" s="175" t="str">
        <f>metaASSETS[[#This Row],[Asset Name]]</f>
        <v>door_02</v>
      </c>
      <c r="B34" s="8" t="str">
        <f>metaASSETS[[#This Row],[Type]]</f>
        <v>Environment</v>
      </c>
      <c r="D34" s="86" t="b">
        <v>0</v>
      </c>
      <c r="E34" s="186" t="s">
        <v>309</v>
      </c>
      <c r="F34" s="262" t="s">
        <v>326</v>
      </c>
      <c r="G34" s="87" t="s">
        <v>312</v>
      </c>
      <c r="H3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4" s="2">
        <v>0</v>
      </c>
      <c r="J34" s="185">
        <v>1</v>
      </c>
      <c r="K34" s="185">
        <v>1</v>
      </c>
      <c r="L34" s="185">
        <v>1</v>
      </c>
      <c r="M34" s="185">
        <v>1</v>
      </c>
      <c r="N34" s="16" cm="1">
        <f t="array" ref="N34">SUM(rigging[[#This Row],[setup]:[polish]]*rigging_ponderation)</f>
        <v>0.99999999999999989</v>
      </c>
      <c r="O34" s="84">
        <f>(1-rigging[[#This Row],[Progress]])*rigging[[#This Row],[Estimated]]</f>
        <v>0</v>
      </c>
      <c r="P34" s="220"/>
    </row>
    <row r="35" spans="1:16" ht="23.25" customHeight="1" x14ac:dyDescent="0.25">
      <c r="A35" s="175" t="str">
        <f>metaASSETS[[#This Row],[Asset Name]]</f>
        <v>door_03</v>
      </c>
      <c r="B35" s="8" t="str">
        <f>metaASSETS[[#This Row],[Type]]</f>
        <v>Environment</v>
      </c>
      <c r="D35" s="86" t="b">
        <v>0</v>
      </c>
      <c r="E35" s="186" t="s">
        <v>309</v>
      </c>
      <c r="F35" s="262" t="s">
        <v>326</v>
      </c>
      <c r="G35" s="87" t="s">
        <v>312</v>
      </c>
      <c r="H3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5" s="2">
        <v>0</v>
      </c>
      <c r="J35" s="185">
        <v>1</v>
      </c>
      <c r="K35" s="185">
        <v>1</v>
      </c>
      <c r="L35" s="185">
        <v>1</v>
      </c>
      <c r="M35" s="185">
        <v>1</v>
      </c>
      <c r="N35" s="16" cm="1">
        <f t="array" ref="N35">SUM(rigging[[#This Row],[setup]:[polish]]*rigging_ponderation)</f>
        <v>0.99999999999999989</v>
      </c>
      <c r="O35" s="84">
        <f>(1-rigging[[#This Row],[Progress]])*rigging[[#This Row],[Estimated]]</f>
        <v>0</v>
      </c>
      <c r="P35" s="220"/>
    </row>
    <row r="36" spans="1:16" ht="23.25" customHeight="1" x14ac:dyDescent="0.25">
      <c r="A36" s="175" t="str">
        <f>metaASSETS[[#This Row],[Asset Name]]</f>
        <v>door_04</v>
      </c>
      <c r="B36" s="8" t="str">
        <f>metaASSETS[[#This Row],[Type]]</f>
        <v>Environment</v>
      </c>
      <c r="D36" s="86" t="b">
        <v>0</v>
      </c>
      <c r="E36" s="186" t="s">
        <v>309</v>
      </c>
      <c r="F36" s="262" t="s">
        <v>326</v>
      </c>
      <c r="G36" s="87" t="s">
        <v>312</v>
      </c>
      <c r="H3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6" s="2">
        <v>0</v>
      </c>
      <c r="J36" s="185">
        <v>1</v>
      </c>
      <c r="K36" s="185">
        <v>1</v>
      </c>
      <c r="L36" s="185">
        <v>1</v>
      </c>
      <c r="M36" s="185">
        <v>1</v>
      </c>
      <c r="N36" s="16" cm="1">
        <f t="array" ref="N36">SUM(rigging[[#This Row],[setup]:[polish]]*rigging_ponderation)</f>
        <v>0.99999999999999989</v>
      </c>
      <c r="O36" s="84">
        <f>(1-rigging[[#This Row],[Progress]])*rigging[[#This Row],[Estimated]]</f>
        <v>0</v>
      </c>
      <c r="P36" s="220"/>
    </row>
    <row r="37" spans="1:16" ht="23.25" customHeight="1" x14ac:dyDescent="0.25">
      <c r="A37" s="175" t="str">
        <f>metaASSETS[[#This Row],[Asset Name]]</f>
        <v>door_05</v>
      </c>
      <c r="B37" s="8" t="str">
        <f>metaASSETS[[#This Row],[Type]]</f>
        <v>Environment</v>
      </c>
      <c r="D37" s="86" t="b">
        <v>0</v>
      </c>
      <c r="E37" s="186" t="s">
        <v>309</v>
      </c>
      <c r="F37" s="262" t="s">
        <v>326</v>
      </c>
      <c r="G37" s="87" t="s">
        <v>312</v>
      </c>
      <c r="H3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7" s="2">
        <v>0</v>
      </c>
      <c r="J37" s="185">
        <v>1</v>
      </c>
      <c r="K37" s="185">
        <v>1</v>
      </c>
      <c r="L37" s="185">
        <v>1</v>
      </c>
      <c r="M37" s="185">
        <v>1</v>
      </c>
      <c r="N37" s="16" cm="1">
        <f t="array" ref="N37">SUM(rigging[[#This Row],[setup]:[polish]]*rigging_ponderation)</f>
        <v>0.99999999999999989</v>
      </c>
      <c r="O37" s="84">
        <f>(1-rigging[[#This Row],[Progress]])*rigging[[#This Row],[Estimated]]</f>
        <v>0</v>
      </c>
      <c r="P37" s="220"/>
    </row>
    <row r="38" spans="1:16" ht="23.25" customHeight="1" x14ac:dyDescent="0.25">
      <c r="A38" s="175" t="str">
        <f>metaASSETS[[#This Row],[Asset Name]]</f>
        <v>fake_int</v>
      </c>
      <c r="B38" s="8" t="str">
        <f>metaASSETS[[#This Row],[Type]]</f>
        <v>Environment</v>
      </c>
      <c r="D38" s="86" t="b">
        <v>0</v>
      </c>
      <c r="E38" s="186" t="s">
        <v>309</v>
      </c>
      <c r="F38" s="262" t="s">
        <v>326</v>
      </c>
      <c r="G38" s="87" t="s">
        <v>312</v>
      </c>
      <c r="H3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8" s="2">
        <v>0</v>
      </c>
      <c r="J38" s="185">
        <v>1</v>
      </c>
      <c r="K38" s="185">
        <v>1</v>
      </c>
      <c r="L38" s="185">
        <v>1</v>
      </c>
      <c r="M38" s="185">
        <v>1</v>
      </c>
      <c r="N38" s="16" cm="1">
        <f t="array" ref="N38">SUM(rigging[[#This Row],[setup]:[polish]]*rigging_ponderation)</f>
        <v>0.99999999999999989</v>
      </c>
      <c r="O38" s="84">
        <f>(1-rigging[[#This Row],[Progress]])*rigging[[#This Row],[Estimated]]</f>
        <v>0</v>
      </c>
      <c r="P38" s="220"/>
    </row>
    <row r="39" spans="1:16" ht="23.25" customHeight="1" x14ac:dyDescent="0.25">
      <c r="A39" s="175" t="str">
        <f>metaASSETS[[#This Row],[Asset Name]]</f>
        <v>flr_01</v>
      </c>
      <c r="B39" s="8" t="str">
        <f>metaASSETS[[#This Row],[Type]]</f>
        <v>Environment</v>
      </c>
      <c r="D39" s="86" t="b">
        <v>0</v>
      </c>
      <c r="E39" s="186" t="s">
        <v>309</v>
      </c>
      <c r="F39" s="262" t="s">
        <v>326</v>
      </c>
      <c r="G39" s="87" t="s">
        <v>312</v>
      </c>
      <c r="H3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39" s="2">
        <v>0</v>
      </c>
      <c r="J39" s="185">
        <v>1</v>
      </c>
      <c r="K39" s="185">
        <v>1</v>
      </c>
      <c r="L39" s="185">
        <v>1</v>
      </c>
      <c r="M39" s="185">
        <v>1</v>
      </c>
      <c r="N39" s="16" cm="1">
        <f t="array" ref="N39">SUM(rigging[[#This Row],[setup]:[polish]]*rigging_ponderation)</f>
        <v>0.99999999999999989</v>
      </c>
      <c r="O39" s="84">
        <f>(1-rigging[[#This Row],[Progress]])*rigging[[#This Row],[Estimated]]</f>
        <v>0</v>
      </c>
      <c r="P39" s="220"/>
    </row>
    <row r="40" spans="1:16" ht="23.25" customHeight="1" x14ac:dyDescent="0.25">
      <c r="A40" s="175" t="str">
        <f>metaASSETS[[#This Row],[Asset Name]]</f>
        <v>flr_02</v>
      </c>
      <c r="B40" s="8" t="str">
        <f>metaASSETS[[#This Row],[Type]]</f>
        <v>Environment</v>
      </c>
      <c r="D40" s="86" t="b">
        <v>0</v>
      </c>
      <c r="E40" s="186" t="s">
        <v>309</v>
      </c>
      <c r="F40" s="262" t="s">
        <v>326</v>
      </c>
      <c r="G40" s="87" t="s">
        <v>312</v>
      </c>
      <c r="H4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0" s="2">
        <v>0</v>
      </c>
      <c r="J40" s="185">
        <v>1</v>
      </c>
      <c r="K40" s="185">
        <v>1</v>
      </c>
      <c r="L40" s="185">
        <v>1</v>
      </c>
      <c r="M40" s="185">
        <v>1</v>
      </c>
      <c r="N40" s="16" cm="1">
        <f t="array" ref="N40">SUM(rigging[[#This Row],[setup]:[polish]]*rigging_ponderation)</f>
        <v>0.99999999999999989</v>
      </c>
      <c r="O40" s="84">
        <f>(1-rigging[[#This Row],[Progress]])*rigging[[#This Row],[Estimated]]</f>
        <v>0</v>
      </c>
      <c r="P40" s="220"/>
    </row>
    <row r="41" spans="1:16" ht="23.25" customHeight="1" x14ac:dyDescent="0.25">
      <c r="A41" s="175" t="str">
        <f>metaASSETS[[#This Row],[Asset Name]]</f>
        <v>hill</v>
      </c>
      <c r="B41" s="8" t="str">
        <f>metaASSETS[[#This Row],[Type]]</f>
        <v>Environment</v>
      </c>
      <c r="D41" s="86" t="b">
        <v>0</v>
      </c>
      <c r="E41" s="186" t="s">
        <v>309</v>
      </c>
      <c r="F41" s="262" t="s">
        <v>326</v>
      </c>
      <c r="G41" s="87" t="s">
        <v>312</v>
      </c>
      <c r="H4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1" s="2">
        <v>0</v>
      </c>
      <c r="J41" s="185">
        <v>1</v>
      </c>
      <c r="K41" s="185">
        <v>1</v>
      </c>
      <c r="L41" s="185">
        <v>1</v>
      </c>
      <c r="M41" s="185">
        <v>1</v>
      </c>
      <c r="N41" s="16" cm="1">
        <f t="array" ref="N41">SUM(rigging[[#This Row],[setup]:[polish]]*rigging_ponderation)</f>
        <v>0.99999999999999989</v>
      </c>
      <c r="O41" s="84">
        <f>(1-rigging[[#This Row],[Progress]])*rigging[[#This Row],[Estimated]]</f>
        <v>0</v>
      </c>
      <c r="P41" s="220"/>
    </row>
    <row r="42" spans="1:16" ht="23.25" customHeight="1" x14ac:dyDescent="0.25">
      <c r="A42" s="175" t="str">
        <f>metaASSETS[[#This Row],[Asset Name]]</f>
        <v>house_01</v>
      </c>
      <c r="B42" s="8" t="str">
        <f>metaASSETS[[#This Row],[Type]]</f>
        <v>Environment</v>
      </c>
      <c r="D42" s="86" t="b">
        <v>0</v>
      </c>
      <c r="E42" s="186" t="s">
        <v>309</v>
      </c>
      <c r="F42" s="262" t="s">
        <v>326</v>
      </c>
      <c r="G42" s="87" t="s">
        <v>312</v>
      </c>
      <c r="H4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2" s="2">
        <v>0</v>
      </c>
      <c r="J42" s="185">
        <v>1</v>
      </c>
      <c r="K42" s="185">
        <v>1</v>
      </c>
      <c r="L42" s="185">
        <v>1</v>
      </c>
      <c r="M42" s="185">
        <v>1</v>
      </c>
      <c r="N42" s="16" cm="1">
        <f t="array" ref="N42">SUM(rigging[[#This Row],[setup]:[polish]]*rigging_ponderation)</f>
        <v>0.99999999999999989</v>
      </c>
      <c r="O42" s="84">
        <f>(1-rigging[[#This Row],[Progress]])*rigging[[#This Row],[Estimated]]</f>
        <v>0</v>
      </c>
      <c r="P42" s="220"/>
    </row>
    <row r="43" spans="1:16" ht="23.25" customHeight="1" x14ac:dyDescent="0.25">
      <c r="A43" s="175" t="str">
        <f>metaASSETS[[#This Row],[Asset Name]]</f>
        <v>house_02</v>
      </c>
      <c r="B43" s="8" t="str">
        <f>metaASSETS[[#This Row],[Type]]</f>
        <v>Environment</v>
      </c>
      <c r="D43" s="86" t="b">
        <v>0</v>
      </c>
      <c r="E43" s="186" t="s">
        <v>309</v>
      </c>
      <c r="F43" s="262" t="s">
        <v>326</v>
      </c>
      <c r="G43" s="87" t="s">
        <v>312</v>
      </c>
      <c r="H4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3" s="2">
        <v>0</v>
      </c>
      <c r="J43" s="185">
        <v>1</v>
      </c>
      <c r="K43" s="185">
        <v>1</v>
      </c>
      <c r="L43" s="185">
        <v>1</v>
      </c>
      <c r="M43" s="185">
        <v>1</v>
      </c>
      <c r="N43" s="16" cm="1">
        <f t="array" ref="N43">SUM(rigging[[#This Row],[setup]:[polish]]*rigging_ponderation)</f>
        <v>0.99999999999999989</v>
      </c>
      <c r="O43" s="84">
        <f>(1-rigging[[#This Row],[Progress]])*rigging[[#This Row],[Estimated]]</f>
        <v>0</v>
      </c>
      <c r="P43" s="220"/>
    </row>
    <row r="44" spans="1:16" ht="23.25" customHeight="1" x14ac:dyDescent="0.25">
      <c r="A44" s="175" t="str">
        <f>metaASSETS[[#This Row],[Asset Name]]</f>
        <v>house_03</v>
      </c>
      <c r="B44" s="8" t="str">
        <f>metaASSETS[[#This Row],[Type]]</f>
        <v>Environment</v>
      </c>
      <c r="D44" s="86" t="b">
        <v>0</v>
      </c>
      <c r="E44" s="186" t="s">
        <v>309</v>
      </c>
      <c r="F44" s="262" t="s">
        <v>326</v>
      </c>
      <c r="G44" s="87" t="s">
        <v>312</v>
      </c>
      <c r="H4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4" s="2">
        <v>0</v>
      </c>
      <c r="J44" s="185">
        <v>1</v>
      </c>
      <c r="K44" s="185">
        <v>1</v>
      </c>
      <c r="L44" s="185">
        <v>1</v>
      </c>
      <c r="M44" s="185">
        <v>1</v>
      </c>
      <c r="N44" s="16" cm="1">
        <f t="array" ref="N44">SUM(rigging[[#This Row],[setup]:[polish]]*rigging_ponderation)</f>
        <v>0.99999999999999989</v>
      </c>
      <c r="O44" s="84">
        <f>(1-rigging[[#This Row],[Progress]])*rigging[[#This Row],[Estimated]]</f>
        <v>0</v>
      </c>
      <c r="P44" s="220"/>
    </row>
    <row r="45" spans="1:16" ht="23.25" customHeight="1" x14ac:dyDescent="0.25">
      <c r="A45" s="175" t="str">
        <f>metaASSETS[[#This Row],[Asset Name]]</f>
        <v>house_04</v>
      </c>
      <c r="B45" s="8" t="str">
        <f>metaASSETS[[#This Row],[Type]]</f>
        <v>Environment</v>
      </c>
      <c r="D45" s="86" t="b">
        <v>0</v>
      </c>
      <c r="E45" s="186" t="s">
        <v>309</v>
      </c>
      <c r="F45" s="262" t="s">
        <v>326</v>
      </c>
      <c r="G45" s="87" t="s">
        <v>312</v>
      </c>
      <c r="H4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5" s="2">
        <v>0</v>
      </c>
      <c r="J45" s="185">
        <v>1</v>
      </c>
      <c r="K45" s="185">
        <v>1</v>
      </c>
      <c r="L45" s="185">
        <v>1</v>
      </c>
      <c r="M45" s="185">
        <v>1</v>
      </c>
      <c r="N45" s="16" cm="1">
        <f t="array" ref="N45">SUM(rigging[[#This Row],[setup]:[polish]]*rigging_ponderation)</f>
        <v>0.99999999999999989</v>
      </c>
      <c r="O45" s="84">
        <f>(1-rigging[[#This Row],[Progress]])*rigging[[#This Row],[Estimated]]</f>
        <v>0</v>
      </c>
      <c r="P45" s="220"/>
    </row>
    <row r="46" spans="1:16" ht="23.25" customHeight="1" x14ac:dyDescent="0.25">
      <c r="A46" s="175" t="str">
        <f>metaASSETS[[#This Row],[Asset Name]]</f>
        <v>house_05</v>
      </c>
      <c r="B46" s="8" t="str">
        <f>metaASSETS[[#This Row],[Type]]</f>
        <v>Environment</v>
      </c>
      <c r="D46" s="86" t="b">
        <v>0</v>
      </c>
      <c r="E46" s="186" t="s">
        <v>309</v>
      </c>
      <c r="F46" s="262" t="s">
        <v>326</v>
      </c>
      <c r="G46" s="87" t="s">
        <v>312</v>
      </c>
      <c r="H4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6" s="2">
        <v>0</v>
      </c>
      <c r="J46" s="185">
        <v>1</v>
      </c>
      <c r="K46" s="185">
        <v>1</v>
      </c>
      <c r="L46" s="185">
        <v>1</v>
      </c>
      <c r="M46" s="185">
        <v>1</v>
      </c>
      <c r="N46" s="16" cm="1">
        <f t="array" ref="N46">SUM(rigging[[#This Row],[setup]:[polish]]*rigging_ponderation)</f>
        <v>0.99999999999999989</v>
      </c>
      <c r="O46" s="84">
        <f>(1-rigging[[#This Row],[Progress]])*rigging[[#This Row],[Estimated]]</f>
        <v>0</v>
      </c>
      <c r="P46" s="220"/>
    </row>
    <row r="47" spans="1:16" ht="23.25" customHeight="1" x14ac:dyDescent="0.25">
      <c r="A47" s="175" t="str">
        <f>metaASSETS[[#This Row],[Asset Name]]</f>
        <v>house_06</v>
      </c>
      <c r="B47" s="8" t="str">
        <f>metaASSETS[[#This Row],[Type]]</f>
        <v>Environment</v>
      </c>
      <c r="D47" s="86" t="b">
        <v>0</v>
      </c>
      <c r="E47" s="186" t="s">
        <v>309</v>
      </c>
      <c r="F47" s="262" t="s">
        <v>326</v>
      </c>
      <c r="G47" s="87" t="s">
        <v>312</v>
      </c>
      <c r="H4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7" s="2">
        <v>0</v>
      </c>
      <c r="J47" s="185">
        <v>1</v>
      </c>
      <c r="K47" s="185">
        <v>1</v>
      </c>
      <c r="L47" s="185">
        <v>1</v>
      </c>
      <c r="M47" s="185">
        <v>1</v>
      </c>
      <c r="N47" s="16" cm="1">
        <f t="array" ref="N47">SUM(rigging[[#This Row],[setup]:[polish]]*rigging_ponderation)</f>
        <v>0.99999999999999989</v>
      </c>
      <c r="O47" s="84">
        <f>(1-rigging[[#This Row],[Progress]])*rigging[[#This Row],[Estimated]]</f>
        <v>0</v>
      </c>
      <c r="P47" s="220"/>
    </row>
    <row r="48" spans="1:16" ht="23.25" customHeight="1" x14ac:dyDescent="0.25">
      <c r="A48" s="175" t="str">
        <f>metaASSETS[[#This Row],[Asset Name]]</f>
        <v>house_07</v>
      </c>
      <c r="B48" s="8" t="str">
        <f>metaASSETS[[#This Row],[Type]]</f>
        <v>Environment</v>
      </c>
      <c r="D48" s="86" t="b">
        <v>0</v>
      </c>
      <c r="E48" s="186" t="s">
        <v>309</v>
      </c>
      <c r="F48" s="262" t="s">
        <v>326</v>
      </c>
      <c r="G48" s="87" t="s">
        <v>312</v>
      </c>
      <c r="H4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8" s="2">
        <v>0</v>
      </c>
      <c r="J48" s="185">
        <v>1</v>
      </c>
      <c r="K48" s="185">
        <v>1</v>
      </c>
      <c r="L48" s="185">
        <v>1</v>
      </c>
      <c r="M48" s="185">
        <v>1</v>
      </c>
      <c r="N48" s="16" cm="1">
        <f t="array" ref="N48">SUM(rigging[[#This Row],[setup]:[polish]]*rigging_ponderation)</f>
        <v>0.99999999999999989</v>
      </c>
      <c r="O48" s="84">
        <f>(1-rigging[[#This Row],[Progress]])*rigging[[#This Row],[Estimated]]</f>
        <v>0</v>
      </c>
      <c r="P48" s="220"/>
    </row>
    <row r="49" spans="1:16" ht="23.25" customHeight="1" x14ac:dyDescent="0.25">
      <c r="A49" s="175" t="str">
        <f>metaASSETS[[#This Row],[Asset Name]]</f>
        <v>house_08</v>
      </c>
      <c r="B49" s="8" t="str">
        <f>metaASSETS[[#This Row],[Type]]</f>
        <v>Environment</v>
      </c>
      <c r="D49" s="86" t="b">
        <v>0</v>
      </c>
      <c r="E49" s="186" t="s">
        <v>309</v>
      </c>
      <c r="F49" s="262" t="s">
        <v>326</v>
      </c>
      <c r="G49" s="87" t="s">
        <v>312</v>
      </c>
      <c r="H4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49" s="2">
        <v>0</v>
      </c>
      <c r="J49" s="185">
        <v>1</v>
      </c>
      <c r="K49" s="185">
        <v>1</v>
      </c>
      <c r="L49" s="185">
        <v>1</v>
      </c>
      <c r="M49" s="185">
        <v>1</v>
      </c>
      <c r="N49" s="16" cm="1">
        <f t="array" ref="N49">SUM(rigging[[#This Row],[setup]:[polish]]*rigging_ponderation)</f>
        <v>0.99999999999999989</v>
      </c>
      <c r="O49" s="84">
        <f>(1-rigging[[#This Row],[Progress]])*rigging[[#This Row],[Estimated]]</f>
        <v>0</v>
      </c>
      <c r="P49" s="220"/>
    </row>
    <row r="50" spans="1:16" ht="23.25" customHeight="1" x14ac:dyDescent="0.25">
      <c r="A50" s="175" t="str">
        <f>metaASSETS[[#This Row],[Asset Name]]</f>
        <v>arrows</v>
      </c>
      <c r="B50" s="8" t="str">
        <f>metaASSETS[[#This Row],[Type]]</f>
        <v>FX</v>
      </c>
      <c r="D50" s="86" t="b">
        <v>0</v>
      </c>
      <c r="E50" s="186" t="s">
        <v>309</v>
      </c>
      <c r="F50" s="262" t="s">
        <v>326</v>
      </c>
      <c r="G50" s="87" t="s">
        <v>312</v>
      </c>
      <c r="H5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0" s="2">
        <v>0</v>
      </c>
      <c r="J50" s="185">
        <v>1</v>
      </c>
      <c r="K50" s="185">
        <v>1</v>
      </c>
      <c r="L50" s="185">
        <v>1</v>
      </c>
      <c r="M50" s="185">
        <v>1</v>
      </c>
      <c r="N50" s="16" cm="1">
        <f t="array" ref="N50">SUM(rigging[[#This Row],[setup]:[polish]]*rigging_ponderation)</f>
        <v>0.99999999999999989</v>
      </c>
      <c r="O50" s="84">
        <f>(1-rigging[[#This Row],[Progress]])*rigging[[#This Row],[Estimated]]</f>
        <v>0</v>
      </c>
      <c r="P50" s="220"/>
    </row>
    <row r="51" spans="1:16" ht="23.25" customHeight="1" x14ac:dyDescent="0.25">
      <c r="A51" s="175" t="str">
        <f>metaASSETS[[#This Row],[Asset Name]]</f>
        <v>plaines_01</v>
      </c>
      <c r="B51" s="8" t="str">
        <f>metaASSETS[[#This Row],[Type]]</f>
        <v>Matte Painting</v>
      </c>
      <c r="D51" s="86" t="b">
        <v>0</v>
      </c>
      <c r="E51" s="186" t="s">
        <v>309</v>
      </c>
      <c r="F51" s="262" t="s">
        <v>326</v>
      </c>
      <c r="G51" s="87" t="s">
        <v>312</v>
      </c>
      <c r="H5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1" s="2">
        <v>0</v>
      </c>
      <c r="J51" s="185">
        <v>1</v>
      </c>
      <c r="K51" s="185">
        <v>1</v>
      </c>
      <c r="L51" s="185">
        <v>1</v>
      </c>
      <c r="M51" s="185">
        <v>1</v>
      </c>
      <c r="N51" s="16" cm="1">
        <f t="array" ref="N51">SUM(rigging[[#This Row],[setup]:[polish]]*rigging_ponderation)</f>
        <v>0.99999999999999989</v>
      </c>
      <c r="O51" s="84">
        <f>(1-rigging[[#This Row],[Progress]])*rigging[[#This Row],[Estimated]]</f>
        <v>0</v>
      </c>
      <c r="P51" s="220"/>
    </row>
    <row r="52" spans="1:16" ht="23.25" customHeight="1" x14ac:dyDescent="0.25">
      <c r="A52" s="175" t="str">
        <f>metaASSETS[[#This Row],[Asset Name]]</f>
        <v>plaines_02</v>
      </c>
      <c r="B52" s="8" t="str">
        <f>metaASSETS[[#This Row],[Type]]</f>
        <v>Matte Painting</v>
      </c>
      <c r="D52" s="86" t="b">
        <v>0</v>
      </c>
      <c r="E52" s="186" t="s">
        <v>309</v>
      </c>
      <c r="F52" s="262" t="s">
        <v>326</v>
      </c>
      <c r="G52" s="87" t="s">
        <v>312</v>
      </c>
      <c r="H5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2" s="2">
        <v>0</v>
      </c>
      <c r="J52" s="185">
        <v>1</v>
      </c>
      <c r="K52" s="185">
        <v>1</v>
      </c>
      <c r="L52" s="185">
        <v>1</v>
      </c>
      <c r="M52" s="185">
        <v>1</v>
      </c>
      <c r="N52" s="16" cm="1">
        <f t="array" ref="N52">SUM(rigging[[#This Row],[setup]:[polish]]*rigging_ponderation)</f>
        <v>0.99999999999999989</v>
      </c>
      <c r="O52" s="84">
        <f>(1-rigging[[#This Row],[Progress]])*rigging[[#This Row],[Estimated]]</f>
        <v>0</v>
      </c>
      <c r="P52" s="220"/>
    </row>
    <row r="53" spans="1:16" ht="23.25" customHeight="1" x14ac:dyDescent="0.25">
      <c r="A53" s="175" t="str">
        <f>metaASSETS[[#This Row],[Asset Name]]</f>
        <v>plaines_03</v>
      </c>
      <c r="B53" s="8" t="str">
        <f>metaASSETS[[#This Row],[Type]]</f>
        <v>Matte Painting</v>
      </c>
      <c r="D53" s="86" t="b">
        <v>0</v>
      </c>
      <c r="E53" s="186" t="s">
        <v>309</v>
      </c>
      <c r="F53" s="262" t="s">
        <v>326</v>
      </c>
      <c r="G53" s="87" t="s">
        <v>312</v>
      </c>
      <c r="H5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3" s="2">
        <v>0</v>
      </c>
      <c r="J53" s="185">
        <v>1</v>
      </c>
      <c r="K53" s="185">
        <v>1</v>
      </c>
      <c r="L53" s="185">
        <v>1</v>
      </c>
      <c r="M53" s="185">
        <v>1</v>
      </c>
      <c r="N53" s="16" cm="1">
        <f t="array" ref="N53">SUM(rigging[[#This Row],[setup]:[polish]]*rigging_ponderation)</f>
        <v>0.99999999999999989</v>
      </c>
      <c r="O53" s="84">
        <f>(1-rigging[[#This Row],[Progress]])*rigging[[#This Row],[Estimated]]</f>
        <v>0</v>
      </c>
      <c r="P53" s="220"/>
    </row>
    <row r="54" spans="1:16" ht="23.25" customHeight="1" x14ac:dyDescent="0.25">
      <c r="A54" s="175" t="str">
        <f>metaASSETS[[#This Row],[Asset Name]]</f>
        <v>accessory_01</v>
      </c>
      <c r="B54" s="8" t="str">
        <f>metaASSETS[[#This Row],[Type]]</f>
        <v>Prop</v>
      </c>
      <c r="D54" s="86" t="b">
        <v>0</v>
      </c>
      <c r="E54" s="186" t="s">
        <v>309</v>
      </c>
      <c r="F54" s="262" t="s">
        <v>326</v>
      </c>
      <c r="G54" s="87" t="s">
        <v>312</v>
      </c>
      <c r="H5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4" s="2">
        <v>0.5</v>
      </c>
      <c r="J54" s="185">
        <v>1</v>
      </c>
      <c r="K54" s="185">
        <v>1</v>
      </c>
      <c r="L54" s="185">
        <v>1</v>
      </c>
      <c r="M54" s="185">
        <v>1</v>
      </c>
      <c r="N54" s="16" cm="1">
        <f t="array" ref="N54">SUM(rigging[[#This Row],[setup]:[polish]]*rigging_ponderation)</f>
        <v>0.99999999999999989</v>
      </c>
      <c r="O54" s="84">
        <f>(1-rigging[[#This Row],[Progress]])*rigging[[#This Row],[Estimated]]</f>
        <v>5.5511151231257827E-17</v>
      </c>
      <c r="P54" s="220"/>
    </row>
    <row r="55" spans="1:16" ht="23.25" customHeight="1" x14ac:dyDescent="0.25">
      <c r="A55" s="175" t="str">
        <f>metaASSETS[[#This Row],[Asset Name]]</f>
        <v>accessory_02</v>
      </c>
      <c r="B55" s="8" t="str">
        <f>metaASSETS[[#This Row],[Type]]</f>
        <v>Prop</v>
      </c>
      <c r="D55" s="86" t="b">
        <v>0</v>
      </c>
      <c r="E55" s="186" t="s">
        <v>309</v>
      </c>
      <c r="F55" s="262" t="s">
        <v>326</v>
      </c>
      <c r="G55" s="87" t="s">
        <v>312</v>
      </c>
      <c r="H5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5" s="2">
        <v>0.5</v>
      </c>
      <c r="J55" s="185">
        <v>1</v>
      </c>
      <c r="K55" s="185">
        <v>1</v>
      </c>
      <c r="L55" s="185">
        <v>1</v>
      </c>
      <c r="M55" s="185">
        <v>1</v>
      </c>
      <c r="N55" s="16" cm="1">
        <f t="array" ref="N55">SUM(rigging[[#This Row],[setup]:[polish]]*rigging_ponderation)</f>
        <v>0.99999999999999989</v>
      </c>
      <c r="O55" s="84">
        <f>(1-rigging[[#This Row],[Progress]])*rigging[[#This Row],[Estimated]]</f>
        <v>5.5511151231257827E-17</v>
      </c>
      <c r="P55" s="220"/>
    </row>
    <row r="56" spans="1:16" ht="23.25" customHeight="1" x14ac:dyDescent="0.25">
      <c r="A56" s="175" t="str">
        <f>metaASSETS[[#This Row],[Asset Name]]</f>
        <v>accessory_03</v>
      </c>
      <c r="B56" s="8" t="str">
        <f>metaASSETS[[#This Row],[Type]]</f>
        <v>Prop</v>
      </c>
      <c r="D56" s="86" t="b">
        <v>0</v>
      </c>
      <c r="E56" s="186" t="s">
        <v>309</v>
      </c>
      <c r="F56" s="262" t="s">
        <v>326</v>
      </c>
      <c r="G56" s="87" t="s">
        <v>312</v>
      </c>
      <c r="H5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6" s="2">
        <v>0.5</v>
      </c>
      <c r="J56" s="185">
        <v>1</v>
      </c>
      <c r="K56" s="185">
        <v>1</v>
      </c>
      <c r="L56" s="185">
        <v>1</v>
      </c>
      <c r="M56" s="185">
        <v>1</v>
      </c>
      <c r="N56" s="16" cm="1">
        <f t="array" ref="N56">SUM(rigging[[#This Row],[setup]:[polish]]*rigging_ponderation)</f>
        <v>0.99999999999999989</v>
      </c>
      <c r="O56" s="84">
        <f>(1-rigging[[#This Row],[Progress]])*rigging[[#This Row],[Estimated]]</f>
        <v>5.5511151231257827E-17</v>
      </c>
      <c r="P56" s="220"/>
    </row>
    <row r="57" spans="1:16" ht="23.25" customHeight="1" x14ac:dyDescent="0.25">
      <c r="A57" s="175" t="str">
        <f>metaASSETS[[#This Row],[Asset Name]]</f>
        <v>accessory_04</v>
      </c>
      <c r="B57" s="8" t="str">
        <f>metaASSETS[[#This Row],[Type]]</f>
        <v>Prop</v>
      </c>
      <c r="D57" s="86" t="b">
        <v>0</v>
      </c>
      <c r="E57" s="186" t="s">
        <v>309</v>
      </c>
      <c r="F57" s="262" t="s">
        <v>326</v>
      </c>
      <c r="G57" s="87" t="s">
        <v>312</v>
      </c>
      <c r="H5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7" s="2">
        <v>0.5</v>
      </c>
      <c r="J57" s="185">
        <v>1</v>
      </c>
      <c r="K57" s="185">
        <v>1</v>
      </c>
      <c r="L57" s="185">
        <v>1</v>
      </c>
      <c r="M57" s="185">
        <v>1</v>
      </c>
      <c r="N57" s="16" cm="1">
        <f t="array" ref="N57">SUM(rigging[[#This Row],[setup]:[polish]]*rigging_ponderation)</f>
        <v>0.99999999999999989</v>
      </c>
      <c r="O57" s="84">
        <f>(1-rigging[[#This Row],[Progress]])*rigging[[#This Row],[Estimated]]</f>
        <v>5.5511151231257827E-17</v>
      </c>
      <c r="P57" s="220"/>
    </row>
    <row r="58" spans="1:16" ht="23.25" customHeight="1" x14ac:dyDescent="0.25">
      <c r="A58" s="175" t="str">
        <f>metaASSETS[[#This Row],[Asset Name]]</f>
        <v>arrow</v>
      </c>
      <c r="B58" s="8" t="str">
        <f>metaASSETS[[#This Row],[Type]]</f>
        <v>Prop</v>
      </c>
      <c r="D58" s="86" t="b">
        <v>0</v>
      </c>
      <c r="E58" s="186" t="s">
        <v>309</v>
      </c>
      <c r="F58" s="211" t="s">
        <v>326</v>
      </c>
      <c r="G58" s="87" t="s">
        <v>312</v>
      </c>
      <c r="H5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8" s="2">
        <v>1</v>
      </c>
      <c r="J58" s="185">
        <v>1</v>
      </c>
      <c r="K58" s="185">
        <v>1</v>
      </c>
      <c r="L58" s="185">
        <v>1</v>
      </c>
      <c r="M58" s="185">
        <v>1</v>
      </c>
      <c r="N58" s="16" cm="1">
        <f t="array" ref="N58">SUM(rigging[[#This Row],[setup]:[polish]]*rigging_ponderation)</f>
        <v>0.99999999999999989</v>
      </c>
      <c r="O58" s="84">
        <f>(1-rigging[[#This Row],[Progress]])*rigging[[#This Row],[Estimated]]</f>
        <v>1.1102230246251565E-16</v>
      </c>
      <c r="P58" s="220"/>
    </row>
    <row r="59" spans="1:16" ht="23.25" customHeight="1" x14ac:dyDescent="0.25">
      <c r="A59" s="175" t="str">
        <f>metaASSETS[[#This Row],[Asset Name]]</f>
        <v>banner</v>
      </c>
      <c r="B59" s="8" t="str">
        <f>metaASSETS[[#This Row],[Type]]</f>
        <v>Prop</v>
      </c>
      <c r="D59" s="86" t="b">
        <v>0</v>
      </c>
      <c r="E59" s="186" t="s">
        <v>309</v>
      </c>
      <c r="F59" s="211" t="s">
        <v>326</v>
      </c>
      <c r="G59" s="87" t="s">
        <v>312</v>
      </c>
      <c r="H5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59" s="2">
        <v>1</v>
      </c>
      <c r="J59" s="185">
        <v>1</v>
      </c>
      <c r="K59" s="185">
        <v>1</v>
      </c>
      <c r="L59" s="185">
        <v>1</v>
      </c>
      <c r="M59" s="185">
        <v>1</v>
      </c>
      <c r="N59" s="16" cm="1">
        <f t="array" ref="N59">SUM(rigging[[#This Row],[setup]:[polish]]*rigging_ponderation)</f>
        <v>0.99999999999999989</v>
      </c>
      <c r="O59" s="84">
        <f>(1-rigging[[#This Row],[Progress]])*rigging[[#This Row],[Estimated]]</f>
        <v>1.1102230246251565E-16</v>
      </c>
      <c r="P59" s="220"/>
    </row>
    <row r="60" spans="1:16" ht="23.25" customHeight="1" x14ac:dyDescent="0.25">
      <c r="A60" s="175" t="str">
        <f>metaASSETS[[#This Row],[Asset Name]]</f>
        <v>bow</v>
      </c>
      <c r="B60" s="8" t="str">
        <f>metaASSETS[[#This Row],[Type]]</f>
        <v>Prop</v>
      </c>
      <c r="D60" s="86" t="b">
        <v>0</v>
      </c>
      <c r="E60" s="186" t="s">
        <v>309</v>
      </c>
      <c r="F60" s="211" t="s">
        <v>326</v>
      </c>
      <c r="G60" s="87" t="s">
        <v>312</v>
      </c>
      <c r="H6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0" s="2">
        <v>1.5</v>
      </c>
      <c r="J60" s="185">
        <v>1</v>
      </c>
      <c r="K60" s="185">
        <v>1</v>
      </c>
      <c r="L60" s="185">
        <v>1</v>
      </c>
      <c r="M60" s="185">
        <v>1</v>
      </c>
      <c r="N60" s="16" cm="1">
        <f t="array" ref="N60">SUM(rigging[[#This Row],[setup]:[polish]]*rigging_ponderation)</f>
        <v>0.99999999999999989</v>
      </c>
      <c r="O60" s="84">
        <f>(1-rigging[[#This Row],[Progress]])*rigging[[#This Row],[Estimated]]</f>
        <v>1.6653345369377348E-16</v>
      </c>
      <c r="P60" s="220"/>
    </row>
    <row r="61" spans="1:16" ht="23.25" customHeight="1" x14ac:dyDescent="0.25">
      <c r="A61" s="175" t="str">
        <f>metaASSETS[[#This Row],[Asset Name]]</f>
        <v>chains_01</v>
      </c>
      <c r="B61" s="8" t="str">
        <f>metaASSETS[[#This Row],[Type]]</f>
        <v>Prop</v>
      </c>
      <c r="D61" s="86" t="b">
        <v>0</v>
      </c>
      <c r="E61" s="186" t="s">
        <v>309</v>
      </c>
      <c r="F61" s="211" t="s">
        <v>16</v>
      </c>
      <c r="G61" s="87" t="s">
        <v>312</v>
      </c>
      <c r="H6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1" s="2">
        <v>3</v>
      </c>
      <c r="J61" s="185">
        <v>1</v>
      </c>
      <c r="K61" s="185">
        <v>1</v>
      </c>
      <c r="L61" s="185">
        <v>1</v>
      </c>
      <c r="M61" s="185">
        <v>1</v>
      </c>
      <c r="N61" s="16" cm="1">
        <f t="array" ref="N61">SUM(rigging[[#This Row],[setup]:[polish]]*rigging_ponderation)</f>
        <v>0.99999999999999989</v>
      </c>
      <c r="O61" s="84">
        <f>(1-rigging[[#This Row],[Progress]])*rigging[[#This Row],[Estimated]]</f>
        <v>3.3306690738754696E-16</v>
      </c>
      <c r="P61" s="220"/>
    </row>
    <row r="62" spans="1:16" ht="23.25" customHeight="1" x14ac:dyDescent="0.25">
      <c r="A62" s="175" t="str">
        <f>metaASSETS[[#This Row],[Asset Name]]</f>
        <v>chains_02</v>
      </c>
      <c r="B62" s="8" t="str">
        <f>metaASSETS[[#This Row],[Type]]</f>
        <v>Prop</v>
      </c>
      <c r="D62" s="86" t="b">
        <v>0</v>
      </c>
      <c r="E62" s="186" t="s">
        <v>309</v>
      </c>
      <c r="F62" s="211" t="s">
        <v>326</v>
      </c>
      <c r="G62" s="87" t="s">
        <v>312</v>
      </c>
      <c r="H6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2" s="2">
        <v>3</v>
      </c>
      <c r="J62" s="185">
        <v>1</v>
      </c>
      <c r="K62" s="185">
        <v>1</v>
      </c>
      <c r="L62" s="185">
        <v>1</v>
      </c>
      <c r="M62" s="185">
        <v>1</v>
      </c>
      <c r="N62" s="16" cm="1">
        <f t="array" ref="N62">SUM(rigging[[#This Row],[setup]:[polish]]*rigging_ponderation)</f>
        <v>0.99999999999999989</v>
      </c>
      <c r="O62" s="84">
        <f>(1-rigging[[#This Row],[Progress]])*rigging[[#This Row],[Estimated]]</f>
        <v>3.3306690738754696E-16</v>
      </c>
      <c r="P62" s="220"/>
    </row>
    <row r="63" spans="1:16" ht="23.25" customHeight="1" x14ac:dyDescent="0.25">
      <c r="A63" s="175" t="str">
        <f>metaASSETS[[#This Row],[Asset Name]]</f>
        <v>chains_break</v>
      </c>
      <c r="B63" s="8" t="str">
        <f>metaASSETS[[#This Row],[Type]]</f>
        <v>Prop</v>
      </c>
      <c r="D63" s="86" t="b">
        <v>0</v>
      </c>
      <c r="E63" s="186" t="s">
        <v>309</v>
      </c>
      <c r="F63" s="211" t="s">
        <v>326</v>
      </c>
      <c r="G63" s="87" t="s">
        <v>312</v>
      </c>
      <c r="H6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3" s="2">
        <v>0.5</v>
      </c>
      <c r="J63" s="185">
        <v>1</v>
      </c>
      <c r="K63" s="185">
        <v>1</v>
      </c>
      <c r="L63" s="185">
        <v>1</v>
      </c>
      <c r="M63" s="185">
        <v>1</v>
      </c>
      <c r="N63" s="16" cm="1">
        <f t="array" ref="N63">SUM(rigging[[#This Row],[setup]:[polish]]*rigging_ponderation)</f>
        <v>0.99999999999999989</v>
      </c>
      <c r="O63" s="84">
        <f>(1-rigging[[#This Row],[Progress]])*rigging[[#This Row],[Estimated]]</f>
        <v>5.5511151231257827E-17</v>
      </c>
      <c r="P63" s="220"/>
    </row>
    <row r="64" spans="1:16" ht="23.25" customHeight="1" x14ac:dyDescent="0.25">
      <c r="A64" s="175" t="str">
        <f>metaASSETS[[#This Row],[Asset Name]]</f>
        <v>helmet_eng_01</v>
      </c>
      <c r="B64" s="8" t="str">
        <f>metaASSETS[[#This Row],[Type]]</f>
        <v>Prop</v>
      </c>
      <c r="D64" s="86" t="b">
        <v>0</v>
      </c>
      <c r="E64" s="186" t="s">
        <v>309</v>
      </c>
      <c r="F64" s="211" t="s">
        <v>326</v>
      </c>
      <c r="G64" s="87" t="s">
        <v>312</v>
      </c>
      <c r="H6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4" s="2">
        <v>2</v>
      </c>
      <c r="J64" s="185">
        <v>1</v>
      </c>
      <c r="K64" s="185">
        <v>1</v>
      </c>
      <c r="L64" s="185">
        <v>1</v>
      </c>
      <c r="M64" s="185">
        <v>1</v>
      </c>
      <c r="N64" s="16" cm="1">
        <f t="array" ref="N64">SUM(rigging[[#This Row],[setup]:[polish]]*rigging_ponderation)</f>
        <v>0.99999999999999989</v>
      </c>
      <c r="O64" s="84">
        <f>(1-rigging[[#This Row],[Progress]])*rigging[[#This Row],[Estimated]]</f>
        <v>2.2204460492503131E-16</v>
      </c>
      <c r="P64" s="220"/>
    </row>
    <row r="65" spans="1:16" ht="23.25" customHeight="1" x14ac:dyDescent="0.25">
      <c r="A65" s="175" t="str">
        <f>metaASSETS[[#This Row],[Asset Name]]</f>
        <v>helmet_eng_02</v>
      </c>
      <c r="B65" s="8" t="str">
        <f>metaASSETS[[#This Row],[Type]]</f>
        <v>Prop</v>
      </c>
      <c r="D65" s="86" t="b">
        <v>0</v>
      </c>
      <c r="E65" s="186" t="s">
        <v>309</v>
      </c>
      <c r="F65" s="211" t="s">
        <v>326</v>
      </c>
      <c r="G65" s="87" t="s">
        <v>312</v>
      </c>
      <c r="H6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5" s="2">
        <v>1</v>
      </c>
      <c r="J65" s="185">
        <v>1</v>
      </c>
      <c r="K65" s="185">
        <v>1</v>
      </c>
      <c r="L65" s="185">
        <v>1</v>
      </c>
      <c r="M65" s="185">
        <v>1</v>
      </c>
      <c r="N65" s="16" cm="1">
        <f t="array" ref="N65">SUM(rigging[[#This Row],[setup]:[polish]]*rigging_ponderation)</f>
        <v>0.99999999999999989</v>
      </c>
      <c r="O65" s="84">
        <f>(1-rigging[[#This Row],[Progress]])*rigging[[#This Row],[Estimated]]</f>
        <v>1.1102230246251565E-16</v>
      </c>
      <c r="P65" s="220"/>
    </row>
    <row r="66" spans="1:16" ht="23.25" customHeight="1" x14ac:dyDescent="0.25">
      <c r="A66" s="175" t="str">
        <f>metaASSETS[[#This Row],[Asset Name]]</f>
        <v>helmet_fr_01</v>
      </c>
      <c r="B66" s="8" t="str">
        <f>metaASSETS[[#This Row],[Type]]</f>
        <v>Prop</v>
      </c>
      <c r="D66" s="86" t="b">
        <v>0</v>
      </c>
      <c r="E66" s="186" t="s">
        <v>309</v>
      </c>
      <c r="F66" s="211" t="s">
        <v>326</v>
      </c>
      <c r="G66" s="87" t="s">
        <v>312</v>
      </c>
      <c r="H6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6" s="2">
        <v>0.5</v>
      </c>
      <c r="J66" s="185">
        <v>1</v>
      </c>
      <c r="K66" s="185">
        <v>1</v>
      </c>
      <c r="L66" s="185">
        <v>1</v>
      </c>
      <c r="M66" s="185">
        <v>1</v>
      </c>
      <c r="N66" s="16" cm="1">
        <f t="array" ref="N66">SUM(rigging[[#This Row],[setup]:[polish]]*rigging_ponderation)</f>
        <v>0.99999999999999989</v>
      </c>
      <c r="O66" s="84">
        <f>(1-rigging[[#This Row],[Progress]])*rigging[[#This Row],[Estimated]]</f>
        <v>5.5511151231257827E-17</v>
      </c>
      <c r="P66" s="220"/>
    </row>
    <row r="67" spans="1:16" ht="23.25" customHeight="1" x14ac:dyDescent="0.25">
      <c r="A67" s="175" t="str">
        <f>metaASSETS[[#This Row],[Asset Name]]</f>
        <v>helmet_fr_02</v>
      </c>
      <c r="B67" s="8" t="str">
        <f>metaASSETS[[#This Row],[Type]]</f>
        <v>Prop</v>
      </c>
      <c r="D67" s="86" t="b">
        <v>0</v>
      </c>
      <c r="E67" s="186" t="s">
        <v>309</v>
      </c>
      <c r="F67" s="211" t="s">
        <v>326</v>
      </c>
      <c r="G67" s="87" t="s">
        <v>312</v>
      </c>
      <c r="H6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7" s="2">
        <v>1</v>
      </c>
      <c r="J67" s="185">
        <v>1</v>
      </c>
      <c r="K67" s="185">
        <v>1</v>
      </c>
      <c r="L67" s="185">
        <v>1</v>
      </c>
      <c r="M67" s="185">
        <v>1</v>
      </c>
      <c r="N67" s="16" cm="1">
        <f t="array" ref="N67">SUM(rigging[[#This Row],[setup]:[polish]]*rigging_ponderation)</f>
        <v>0.99999999999999989</v>
      </c>
      <c r="O67" s="84">
        <f>(1-rigging[[#This Row],[Progress]])*rigging[[#This Row],[Estimated]]</f>
        <v>1.1102230246251565E-16</v>
      </c>
      <c r="P67" s="220"/>
    </row>
    <row r="68" spans="1:16" ht="23.25" customHeight="1" x14ac:dyDescent="0.25">
      <c r="A68" s="175" t="str">
        <f>metaASSETS[[#This Row],[Asset Name]]</f>
        <v>helmet_fr_03</v>
      </c>
      <c r="B68" s="8" t="str">
        <f>metaASSETS[[#This Row],[Type]]</f>
        <v>Prop</v>
      </c>
      <c r="D68" s="86" t="b">
        <v>0</v>
      </c>
      <c r="E68" s="186" t="s">
        <v>309</v>
      </c>
      <c r="F68" s="211" t="s">
        <v>326</v>
      </c>
      <c r="G68" s="87" t="s">
        <v>312</v>
      </c>
      <c r="H6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8" s="2">
        <v>0.5</v>
      </c>
      <c r="J68" s="185">
        <v>1</v>
      </c>
      <c r="K68" s="185">
        <v>1</v>
      </c>
      <c r="L68" s="185">
        <v>1</v>
      </c>
      <c r="M68" s="185">
        <v>1</v>
      </c>
      <c r="N68" s="16" cm="1">
        <f t="array" ref="N68">SUM(rigging[[#This Row],[setup]:[polish]]*rigging_ponderation)</f>
        <v>0.99999999999999989</v>
      </c>
      <c r="O68" s="84">
        <f>(1-rigging[[#This Row],[Progress]])*rigging[[#This Row],[Estimated]]</f>
        <v>5.5511151231257827E-17</v>
      </c>
      <c r="P68" s="220"/>
    </row>
    <row r="69" spans="1:16" ht="23.25" customHeight="1" x14ac:dyDescent="0.25">
      <c r="A69" s="175" t="str">
        <f>metaASSETS[[#This Row],[Asset Name]]</f>
        <v>mace</v>
      </c>
      <c r="B69" s="8" t="str">
        <f>metaASSETS[[#This Row],[Type]]</f>
        <v>Prop</v>
      </c>
      <c r="D69" s="86" t="b">
        <v>0</v>
      </c>
      <c r="E69" s="186" t="s">
        <v>309</v>
      </c>
      <c r="F69" s="211" t="s">
        <v>326</v>
      </c>
      <c r="G69" s="87" t="s">
        <v>312</v>
      </c>
      <c r="H69"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69" s="2">
        <v>0.5</v>
      </c>
      <c r="J69" s="185">
        <v>1</v>
      </c>
      <c r="K69" s="185">
        <v>1</v>
      </c>
      <c r="L69" s="185">
        <v>1</v>
      </c>
      <c r="M69" s="185">
        <v>1</v>
      </c>
      <c r="N69" s="16" cm="1">
        <f t="array" ref="N69">SUM(rigging[[#This Row],[setup]:[polish]]*rigging_ponderation)</f>
        <v>0.99999999999999989</v>
      </c>
      <c r="O69" s="84">
        <f>(1-rigging[[#This Row],[Progress]])*rigging[[#This Row],[Estimated]]</f>
        <v>5.5511151231257827E-17</v>
      </c>
      <c r="P69" s="220"/>
    </row>
    <row r="70" spans="1:16" ht="23.25" customHeight="1" x14ac:dyDescent="0.25">
      <c r="A70" s="175" t="str">
        <f>metaASSETS[[#This Row],[Asset Name]]</f>
        <v>shield</v>
      </c>
      <c r="B70" s="8" t="str">
        <f>metaASSETS[[#This Row],[Type]]</f>
        <v>Prop</v>
      </c>
      <c r="D70" s="86" t="b">
        <v>0</v>
      </c>
      <c r="E70" s="186" t="s">
        <v>309</v>
      </c>
      <c r="F70" s="211" t="s">
        <v>326</v>
      </c>
      <c r="G70" s="87" t="s">
        <v>312</v>
      </c>
      <c r="H70"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0" s="2">
        <v>2</v>
      </c>
      <c r="J70" s="185">
        <v>1</v>
      </c>
      <c r="K70" s="185">
        <v>1</v>
      </c>
      <c r="L70" s="185">
        <v>1</v>
      </c>
      <c r="M70" s="185">
        <v>1</v>
      </c>
      <c r="N70" s="16" cm="1">
        <f t="array" ref="N70">SUM(rigging[[#This Row],[setup]:[polish]]*rigging_ponderation)</f>
        <v>0.99999999999999989</v>
      </c>
      <c r="O70" s="84">
        <f>(1-rigging[[#This Row],[Progress]])*rigging[[#This Row],[Estimated]]</f>
        <v>2.2204460492503131E-16</v>
      </c>
      <c r="P70" s="220"/>
    </row>
    <row r="71" spans="1:16" ht="23.25" customHeight="1" x14ac:dyDescent="0.25">
      <c r="A71" s="175" t="str">
        <f>metaASSETS[[#This Row],[Asset Name]]</f>
        <v>swrd</v>
      </c>
      <c r="B71" s="8" t="str">
        <f>metaASSETS[[#This Row],[Type]]</f>
        <v>Prop</v>
      </c>
      <c r="D71" s="86" t="b">
        <v>0</v>
      </c>
      <c r="E71" s="186" t="s">
        <v>309</v>
      </c>
      <c r="F71" s="211" t="s">
        <v>326</v>
      </c>
      <c r="G71" s="87" t="s">
        <v>312</v>
      </c>
      <c r="H71"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1" s="2">
        <v>1</v>
      </c>
      <c r="J71" s="185">
        <v>1</v>
      </c>
      <c r="K71" s="185">
        <v>1</v>
      </c>
      <c r="L71" s="185">
        <v>1</v>
      </c>
      <c r="M71" s="185">
        <v>1</v>
      </c>
      <c r="N71" s="16" cm="1">
        <f t="array" ref="N71">SUM(rigging[[#This Row],[setup]:[polish]]*rigging_ponderation)</f>
        <v>0.99999999999999989</v>
      </c>
      <c r="O71" s="84">
        <f>(1-rigging[[#This Row],[Progress]])*rigging[[#This Row],[Estimated]]</f>
        <v>1.1102230246251565E-16</v>
      </c>
      <c r="P71" s="220"/>
    </row>
    <row r="72" spans="1:16" ht="23.25" customHeight="1" x14ac:dyDescent="0.25">
      <c r="A72" s="175" t="str">
        <f>metaASSETS[[#This Row],[Asset Name]]</f>
        <v>swrd_01</v>
      </c>
      <c r="B72" s="8" t="str">
        <f>metaASSETS[[#This Row],[Type]]</f>
        <v>Prop</v>
      </c>
      <c r="D72" s="86" t="b">
        <v>0</v>
      </c>
      <c r="E72" s="186" t="s">
        <v>309</v>
      </c>
      <c r="F72" s="211" t="s">
        <v>326</v>
      </c>
      <c r="G72" s="87" t="s">
        <v>312</v>
      </c>
      <c r="H72"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2" s="2">
        <v>1</v>
      </c>
      <c r="J72" s="185">
        <v>1</v>
      </c>
      <c r="K72" s="185">
        <v>1</v>
      </c>
      <c r="L72" s="185">
        <v>1</v>
      </c>
      <c r="M72" s="185">
        <v>1</v>
      </c>
      <c r="N72" s="16" cm="1">
        <f t="array" ref="N72">SUM(rigging[[#This Row],[setup]:[polish]]*rigging_ponderation)</f>
        <v>0.99999999999999989</v>
      </c>
      <c r="O72" s="84">
        <f>(1-rigging[[#This Row],[Progress]])*rigging[[#This Row],[Estimated]]</f>
        <v>1.1102230246251565E-16</v>
      </c>
      <c r="P72" s="220"/>
    </row>
    <row r="73" spans="1:16" ht="23.25" customHeight="1" x14ac:dyDescent="0.25">
      <c r="A73" s="175" t="str">
        <f>metaASSETS[[#This Row],[Asset Name]]</f>
        <v>weapon_01</v>
      </c>
      <c r="B73" s="8" t="str">
        <f>metaASSETS[[#This Row],[Type]]</f>
        <v>Prop</v>
      </c>
      <c r="D73" s="86" t="b">
        <v>0</v>
      </c>
      <c r="E73" s="186" t="s">
        <v>309</v>
      </c>
      <c r="F73" s="211" t="s">
        <v>326</v>
      </c>
      <c r="G73" s="87" t="s">
        <v>312</v>
      </c>
      <c r="H73"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3" s="2">
        <v>1</v>
      </c>
      <c r="J73" s="185">
        <v>1</v>
      </c>
      <c r="K73" s="185">
        <v>1</v>
      </c>
      <c r="L73" s="185">
        <v>1</v>
      </c>
      <c r="M73" s="185">
        <v>1</v>
      </c>
      <c r="N73" s="16" cm="1">
        <f t="array" ref="N73">SUM(rigging[[#This Row],[setup]:[polish]]*rigging_ponderation)</f>
        <v>0.99999999999999989</v>
      </c>
      <c r="O73" s="84">
        <f>(1-rigging[[#This Row],[Progress]])*rigging[[#This Row],[Estimated]]</f>
        <v>1.1102230246251565E-16</v>
      </c>
      <c r="P73" s="220"/>
    </row>
    <row r="74" spans="1:16" ht="23.25" customHeight="1" x14ac:dyDescent="0.25">
      <c r="A74" s="175" t="str">
        <f>metaASSETS[[#This Row],[Asset Name]]</f>
        <v>weapon_02</v>
      </c>
      <c r="B74" s="8" t="str">
        <f>metaASSETS[[#This Row],[Type]]</f>
        <v>Prop</v>
      </c>
      <c r="D74" s="86" t="b">
        <v>0</v>
      </c>
      <c r="E74" s="186" t="s">
        <v>309</v>
      </c>
      <c r="F74" s="211" t="s">
        <v>326</v>
      </c>
      <c r="G74" s="87" t="s">
        <v>312</v>
      </c>
      <c r="H74"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4" s="2">
        <v>0.5</v>
      </c>
      <c r="J74" s="185">
        <v>1</v>
      </c>
      <c r="K74" s="185">
        <v>1</v>
      </c>
      <c r="L74" s="185">
        <v>1</v>
      </c>
      <c r="M74" s="185">
        <v>1</v>
      </c>
      <c r="N74" s="16" cm="1">
        <f t="array" ref="N74">SUM(rigging[[#This Row],[setup]:[polish]]*rigging_ponderation)</f>
        <v>0.99999999999999989</v>
      </c>
      <c r="O74" s="84">
        <f>(1-rigging[[#This Row],[Progress]])*rigging[[#This Row],[Estimated]]</f>
        <v>5.5511151231257827E-17</v>
      </c>
      <c r="P74" s="220"/>
    </row>
    <row r="75" spans="1:16" ht="23.25" customHeight="1" x14ac:dyDescent="0.25">
      <c r="A75" s="175" t="str">
        <f>metaASSETS[[#This Row],[Asset Name]]</f>
        <v>weapon_03</v>
      </c>
      <c r="B75" s="8" t="str">
        <f>metaASSETS[[#This Row],[Type]]</f>
        <v>Prop</v>
      </c>
      <c r="D75" s="86" t="b">
        <v>0</v>
      </c>
      <c r="E75" s="186" t="s">
        <v>309</v>
      </c>
      <c r="F75" s="211" t="s">
        <v>326</v>
      </c>
      <c r="G75" s="87" t="s">
        <v>312</v>
      </c>
      <c r="H75"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5" s="2">
        <v>0.5</v>
      </c>
      <c r="J75" s="185">
        <v>1</v>
      </c>
      <c r="K75" s="185">
        <v>1</v>
      </c>
      <c r="L75" s="185">
        <v>1</v>
      </c>
      <c r="M75" s="185">
        <v>1</v>
      </c>
      <c r="N75" s="16" cm="1">
        <f t="array" ref="N75">SUM(rigging[[#This Row],[setup]:[polish]]*rigging_ponderation)</f>
        <v>0.99999999999999989</v>
      </c>
      <c r="O75" s="84">
        <f>(1-rigging[[#This Row],[Progress]])*rigging[[#This Row],[Estimated]]</f>
        <v>5.5511151231257827E-17</v>
      </c>
      <c r="P75" s="220"/>
    </row>
    <row r="76" spans="1:16" ht="23.25" customHeight="1" x14ac:dyDescent="0.25">
      <c r="A76" s="175" t="str">
        <f>metaASSETS[[#This Row],[Asset Name]]</f>
        <v>weapon_04</v>
      </c>
      <c r="B76" s="8" t="str">
        <f>metaASSETS[[#This Row],[Type]]</f>
        <v>Prop</v>
      </c>
      <c r="D76" s="86" t="b">
        <v>0</v>
      </c>
      <c r="E76" s="186" t="s">
        <v>309</v>
      </c>
      <c r="F76" s="211" t="s">
        <v>326</v>
      </c>
      <c r="G76" s="87" t="s">
        <v>312</v>
      </c>
      <c r="H76"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6" s="2">
        <v>0.5</v>
      </c>
      <c r="J76" s="185">
        <v>1</v>
      </c>
      <c r="K76" s="185">
        <v>1</v>
      </c>
      <c r="L76" s="185">
        <v>1</v>
      </c>
      <c r="M76" s="185">
        <v>1</v>
      </c>
      <c r="N76" s="16" cm="1">
        <f t="array" ref="N76">SUM(rigging[[#This Row],[setup]:[polish]]*rigging_ponderation)</f>
        <v>0.99999999999999989</v>
      </c>
      <c r="O76" s="84">
        <f>(1-rigging[[#This Row],[Progress]])*rigging[[#This Row],[Estimated]]</f>
        <v>5.5511151231257827E-17</v>
      </c>
      <c r="P76" s="220"/>
    </row>
    <row r="77" spans="1:16" ht="23.25" customHeight="1" x14ac:dyDescent="0.25">
      <c r="A77" s="175" t="str">
        <f>metaASSETS[[#This Row],[Asset Name]]</f>
        <v>weapon_05</v>
      </c>
      <c r="B77" s="8" t="str">
        <f>metaASSETS[[#This Row],[Type]]</f>
        <v>Prop</v>
      </c>
      <c r="D77" s="86" t="b">
        <v>0</v>
      </c>
      <c r="E77" s="186" t="s">
        <v>309</v>
      </c>
      <c r="F77" s="211" t="s">
        <v>326</v>
      </c>
      <c r="G77" s="87" t="s">
        <v>312</v>
      </c>
      <c r="H77"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7" s="2">
        <v>0.5</v>
      </c>
      <c r="J77" s="185">
        <v>1</v>
      </c>
      <c r="K77" s="185">
        <v>1</v>
      </c>
      <c r="L77" s="185">
        <v>1</v>
      </c>
      <c r="M77" s="185">
        <v>1</v>
      </c>
      <c r="N77" s="16" cm="1">
        <f t="array" ref="N77">SUM(rigging[[#This Row],[setup]:[polish]]*rigging_ponderation)</f>
        <v>0.99999999999999989</v>
      </c>
      <c r="O77" s="84">
        <f>(1-rigging[[#This Row],[Progress]])*rigging[[#This Row],[Estimated]]</f>
        <v>5.5511151231257827E-17</v>
      </c>
      <c r="P77" s="220"/>
    </row>
    <row r="78" spans="1:16" ht="23.25" customHeight="1" x14ac:dyDescent="0.25">
      <c r="A78" s="175" t="str">
        <f>metaASSETS[[#This Row],[Asset Name]]</f>
        <v>broken_vitrail</v>
      </c>
      <c r="B78" s="8" t="str">
        <f>metaASSETS[[#This Row],[Type]]</f>
        <v>Prop</v>
      </c>
      <c r="D78" s="86" t="b">
        <v>0</v>
      </c>
      <c r="E78" s="186" t="s">
        <v>309</v>
      </c>
      <c r="F78" s="211" t="s">
        <v>326</v>
      </c>
      <c r="G78" s="87" t="s">
        <v>312</v>
      </c>
      <c r="H78" s="2" t="str">
        <f>IF(
    NOT(ISBLANK(rigging[[#This Row],[Commentaires]])), "Needs Fix",
    IF(rigging[[#This Row],[Review]]&lt;&gt;"inactive", rigging[[#This Row],[Review]],
        IF(rigging[[#This Row],[Progress]]=100%, "Pending Review",
            IF(
                AND(0%&lt;rigging[[#This Row],[Progress]], rigging[[#This Row],[Progress]]&lt;100%), "In Progress",
                IF(
                    modeling[[#This Row],[Status]]="Approved", "Ready",
                    IF(
                        AND(modeling[[#This Row],[Progress]]&gt;=upcomingThreshold, modeling[[#This Row],[Progress]]&lt;=100%), "Upcoming",
                        IF(modeling[[#This Row],[Progress]]&lt;upcomingThreshold, "Waiting")
                    )
                )
            )
        )
    )
)</f>
        <v>Approved</v>
      </c>
      <c r="I78" s="2">
        <v>1.5</v>
      </c>
      <c r="J78" s="185">
        <v>1</v>
      </c>
      <c r="K78" s="185">
        <v>1</v>
      </c>
      <c r="L78" s="185">
        <v>1</v>
      </c>
      <c r="M78" s="185">
        <v>1</v>
      </c>
      <c r="N78" s="16" cm="1">
        <f t="array" ref="N78">SUM(rigging[[#This Row],[setup]:[polish]]*rigging_ponderation)</f>
        <v>0.99999999999999989</v>
      </c>
      <c r="O78" s="84">
        <f>(1-rigging[[#This Row],[Progress]])*rigging[[#This Row],[Estimated]]</f>
        <v>1.6653345369377348E-16</v>
      </c>
      <c r="P78" s="220"/>
    </row>
    <row r="79" spans="1:16" ht="23.25" customHeight="1" x14ac:dyDescent="0.25">
      <c r="A79" s="2" t="s">
        <v>22</v>
      </c>
      <c r="I79" s="2">
        <f>SUBTOTAL(109,rigging[Estimated])</f>
        <v>344</v>
      </c>
      <c r="J79" s="16">
        <f>SUBTOTAL(101,rigging[setup])</f>
        <v>1</v>
      </c>
      <c r="K79" s="16">
        <f>SUBTOTAL(101,rigging[deform])</f>
        <v>1</v>
      </c>
      <c r="L79" s="16">
        <f>SUBTOTAL(101,rigging[skinning])</f>
        <v>0.99933333333333341</v>
      </c>
      <c r="M79" s="16">
        <f>SUBTOTAL(101,rigging[polish])</f>
        <v>0.9986666666666667</v>
      </c>
      <c r="N79" s="16">
        <f>(rigging[[#Totals],[Estimated]]-rigging[[#Totals],[Hours to do]])/rigging[[#Totals],[Estimated]]</f>
        <v>0.98691860465116277</v>
      </c>
      <c r="O79" s="84">
        <f>SUBTOTAL(109,rigging[Hours to do])</f>
        <v>4.5000000000000169</v>
      </c>
      <c r="P79" s="7"/>
    </row>
  </sheetData>
  <sheetProtection algorithmName="SHA-512" hashValue="2THdegFXM8I0k3RlurfNjwwyC6pfqS+XVXuYOZyfpXNs2IGOO2HLfNcOECet1QluueNK7kqMoO+4zmyA7vuHdw==" saltValue="Pg47Od1tNo8U49Qvz2CybQ==" spinCount="100000" sheet="1" selectLockedCells="1" autoFilter="0"/>
  <mergeCells count="1">
    <mergeCell ref="A1:H2"/>
  </mergeCells>
  <conditionalFormatting sqref="H4:H78">
    <cfRule type="containsText" dxfId="80" priority="1" operator="containsText" text="Needs Fix">
      <formula>NOT(ISERROR(SEARCH("Needs Fix",H4)))</formula>
    </cfRule>
    <cfRule type="containsText" dxfId="79" priority="2" operator="containsText" text="Approved">
      <formula>NOT(ISERROR(SEARCH("Approved",H4)))</formula>
    </cfRule>
    <cfRule type="containsText" dxfId="78" priority="3" operator="containsText" text="Pending Review">
      <formula>NOT(ISERROR(SEARCH("Pending Review",H4)))</formula>
    </cfRule>
    <cfRule type="containsText" dxfId="77" priority="4" operator="containsText" text="In Progress">
      <formula>NOT(ISERROR(SEARCH("In Progress",H4)))</formula>
    </cfRule>
    <cfRule type="containsText" dxfId="76" priority="5" operator="containsText" text="Ready">
      <formula>NOT(ISERROR(SEARCH("Ready",H4)))</formula>
    </cfRule>
    <cfRule type="containsText" dxfId="75" priority="6" operator="containsText" text="Upcoming">
      <formula>NOT(ISERROR(SEARCH("Upcoming",H4)))</formula>
    </cfRule>
    <cfRule type="containsText" dxfId="74" priority="7" operator="containsText" text="Waiting">
      <formula>NOT(ISERROR(SEARCH("Waiting",H4)))</formula>
    </cfRule>
  </conditionalFormatting>
  <conditionalFormatting sqref="J4:N78">
    <cfRule type="colorScale" priority="19">
      <colorScale>
        <cfvo type="num" val="0"/>
        <cfvo type="num" val="0.5"/>
        <cfvo type="num" val="1"/>
        <color rgb="FFFF0000"/>
        <color rgb="FFFFFF00"/>
        <color theme="9" tint="-0.249977111117893"/>
      </colorScale>
    </cfRule>
  </conditionalFormatting>
  <conditionalFormatting sqref="O4:O78">
    <cfRule type="dataBar" priority="220">
      <dataBar>
        <cfvo type="min"/>
        <cfvo type="max"/>
        <color rgb="FF008AEF"/>
      </dataBar>
      <extLst>
        <ext xmlns:x14="http://schemas.microsoft.com/office/spreadsheetml/2009/9/main" uri="{B025F937-C7B1-47D3-B67F-A62EFF666E3E}">
          <x14:id>{753575BD-B54D-469E-880B-837BD1D9DE4F}</x14:id>
        </ext>
      </extLst>
    </cfRule>
  </conditionalFormatting>
  <conditionalFormatting sqref="P4:P78">
    <cfRule type="dataBar" priority="221">
      <dataBar>
        <cfvo type="min"/>
        <cfvo type="max"/>
        <color rgb="FF008AEF"/>
      </dataBar>
      <extLst>
        <ext xmlns:x14="http://schemas.microsoft.com/office/spreadsheetml/2009/9/main" uri="{B025F937-C7B1-47D3-B67F-A62EFF666E3E}">
          <x14:id>{60AB98D7-78D0-44D4-8393-824818846A91}</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53575BD-B54D-469E-880B-837BD1D9DE4F}">
            <x14:dataBar minLength="0" maxLength="100" border="1" negativeBarBorderColorSameAsPositive="0">
              <x14:cfvo type="autoMin"/>
              <x14:cfvo type="autoMax"/>
              <x14:borderColor rgb="FF008AEF"/>
              <x14:negativeFillColor rgb="FFFF0000"/>
              <x14:negativeBorderColor rgb="FFFF0000"/>
              <x14:axisColor rgb="FF000000"/>
            </x14:dataBar>
          </x14:cfRule>
          <xm:sqref>O4:O78</xm:sqref>
        </x14:conditionalFormatting>
        <x14:conditionalFormatting xmlns:xm="http://schemas.microsoft.com/office/excel/2006/main">
          <x14:cfRule type="dataBar" id="{60AB98D7-78D0-44D4-8393-824818846A91}">
            <x14:dataBar minLength="0" maxLength="100" border="1" negativeBarBorderColorSameAsPositive="0">
              <x14:cfvo type="autoMin"/>
              <x14:cfvo type="autoMax"/>
              <x14:borderColor rgb="FF008AEF"/>
              <x14:negativeFillColor rgb="FFFF0000"/>
              <x14:negativeBorderColor rgb="FFFF0000"/>
              <x14:axisColor rgb="FF000000"/>
            </x14:dataBar>
          </x14:cfRule>
          <xm:sqref>P4:P78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03C5DF-2D5D-4459-B22F-AA02C286DC54}">
          <x14:formula1>
            <xm:f>_data_!$T$8:$T$10</xm:f>
          </x14:formula1>
          <xm:sqref>E4:E78</xm:sqref>
        </x14:dataValidation>
        <x14:dataValidation type="list" allowBlank="1" showInputMessage="1" showErrorMessage="1" xr:uid="{6150FA9A-3DFD-4F80-9E9E-C3FD47881722}">
          <x14:formula1>
            <xm:f>_data_!$R$15:$R$16</xm:f>
          </x14:formula1>
          <xm:sqref>D4:D78</xm:sqref>
        </x14:dataValidation>
        <x14:dataValidation type="list" allowBlank="1" showInputMessage="1" showErrorMessage="1" xr:uid="{B5B3C8BC-ADF7-45B9-9B57-EDE60E13AD68}">
          <x14:formula1>
            <xm:f>_data_!$M$18:$M$22</xm:f>
          </x14:formula1>
          <xm:sqref>G4:G78</xm:sqref>
        </x14:dataValidation>
        <x14:dataValidation type="list" allowBlank="1" showInputMessage="1" showErrorMessage="1" xr:uid="{3A660B9D-77D4-4829-ACEA-710296EB7ACC}">
          <x14:formula1>
            <xm:f>_data_!$X$28:$X$32</xm:f>
          </x14:formula1>
          <xm:sqref>F4:F78</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2D97E-B776-41AB-BE2D-E0AC87509EEA}">
  <sheetPr codeName="Feuil7">
    <tabColor rgb="FFD5EDF2"/>
  </sheetPr>
  <dimension ref="A1:AB79"/>
  <sheetViews>
    <sheetView showGridLines="0" showRowColHeaders="0" workbookViewId="0">
      <pane ySplit="3" topLeftCell="A4" activePane="bottomLeft" state="frozen"/>
      <selection activeCell="C28" sqref="C28"/>
      <selection pane="bottomLeft" activeCell="L26" sqref="L26"/>
    </sheetView>
  </sheetViews>
  <sheetFormatPr baseColWidth="10" defaultColWidth="16" defaultRowHeight="23.25" customHeight="1" x14ac:dyDescent="0.25"/>
  <cols>
    <col min="1" max="1" width="17.85546875" style="2" customWidth="1"/>
    <col min="2" max="14" width="14.28515625" style="2" customWidth="1"/>
    <col min="15" max="15" width="65.7109375" style="2" customWidth="1"/>
    <col min="16" max="16" width="106.85546875" style="2" customWidth="1"/>
    <col min="17" max="16384" width="16" style="2"/>
  </cols>
  <sheetData>
    <row r="1" spans="1:28" s="126" customFormat="1" ht="41.25" customHeight="1" x14ac:dyDescent="0.25">
      <c r="A1" s="288" t="s">
        <v>327</v>
      </c>
      <c r="B1" s="288"/>
      <c r="C1" s="288"/>
      <c r="D1" s="288"/>
      <c r="E1" s="288"/>
      <c r="F1" s="288"/>
      <c r="G1" s="288"/>
      <c r="H1" s="288"/>
      <c r="I1" s="124" t="s">
        <v>297</v>
      </c>
      <c r="J1" s="125">
        <v>0.3</v>
      </c>
      <c r="K1" s="125">
        <v>0.2</v>
      </c>
      <c r="L1" s="125">
        <v>0.5</v>
      </c>
    </row>
    <row r="2" spans="1:28" s="126" customFormat="1" ht="41.25" customHeight="1" x14ac:dyDescent="0.25">
      <c r="A2" s="288"/>
      <c r="B2" s="288"/>
      <c r="C2" s="288"/>
      <c r="D2" s="288"/>
      <c r="E2" s="288"/>
      <c r="F2" s="288"/>
      <c r="G2" s="288"/>
      <c r="H2" s="288"/>
      <c r="I2" s="126" t="s">
        <v>298</v>
      </c>
      <c r="J2" s="127" cm="1">
        <f t="array" ref="J2">IF(J79="Done", "Done",J1*SUM(surfacing[[Estimated]:[Estimated]]*(1-surfacing[blocking])))</f>
        <v>0.15</v>
      </c>
      <c r="K2" s="127" cm="1">
        <f t="array" ref="K2">IF(K79="Done", "Done",K1*SUM(surfacing[[Estimated]:[Estimated]]*(1-surfacing[applying])))</f>
        <v>0.1</v>
      </c>
      <c r="L2" s="127" cm="1">
        <f t="array" ref="L2">IF(L79="Done", "Done",L1*SUM(surfacing[[Estimated]:[Estimated]]*(1-surfacing[polish])))</f>
        <v>1.4</v>
      </c>
    </row>
    <row r="3" spans="1:28" ht="23.25" customHeight="1" x14ac:dyDescent="0.25">
      <c r="A3" s="2" t="s">
        <v>299</v>
      </c>
      <c r="B3" s="2" t="s">
        <v>23</v>
      </c>
      <c r="C3" s="2" t="s">
        <v>300</v>
      </c>
      <c r="D3" s="2" t="s">
        <v>301</v>
      </c>
      <c r="E3" s="2" t="s">
        <v>302</v>
      </c>
      <c r="F3" s="2" t="s">
        <v>6</v>
      </c>
      <c r="G3" s="2" t="s">
        <v>303</v>
      </c>
      <c r="H3" s="2" t="s">
        <v>269</v>
      </c>
      <c r="I3" s="2" t="s">
        <v>304</v>
      </c>
      <c r="J3" s="171" t="s">
        <v>316</v>
      </c>
      <c r="K3" s="171" t="s">
        <v>328</v>
      </c>
      <c r="L3" s="171" t="s">
        <v>317</v>
      </c>
      <c r="M3" s="2" t="s">
        <v>295</v>
      </c>
      <c r="N3" s="2" t="s">
        <v>308</v>
      </c>
      <c r="O3" s="2" t="s">
        <v>270</v>
      </c>
    </row>
    <row r="4" spans="1:28" ht="23.25" customHeight="1" x14ac:dyDescent="0.25">
      <c r="A4" s="174" t="str">
        <f>metaASSETS[[#This Row],[Asset Name]]</f>
        <v>vitrail_00</v>
      </c>
      <c r="B4" s="87" t="str">
        <f>metaASSETS[[#This Row],[Type]]</f>
        <v>Asset</v>
      </c>
      <c r="D4" s="86" t="b">
        <v>0</v>
      </c>
      <c r="E4" s="186" t="s">
        <v>309</v>
      </c>
      <c r="F4" s="8" t="s">
        <v>12</v>
      </c>
      <c r="G4" s="87" t="s">
        <v>310</v>
      </c>
      <c r="H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 s="2">
        <v>20</v>
      </c>
      <c r="J4" s="185">
        <v>1</v>
      </c>
      <c r="K4" s="185">
        <v>1</v>
      </c>
      <c r="L4" s="185">
        <v>1</v>
      </c>
      <c r="M4" s="16" cm="1">
        <f t="array" ref="M4">SUM(surfacing[[#This Row],[blocking]:[polish]]*surfacing_ponderation)</f>
        <v>1</v>
      </c>
      <c r="N4" s="222">
        <f>(1-surfacing[[#This Row],[Progress]])*surfacing[[#This Row],[Estimated]]</f>
        <v>0</v>
      </c>
      <c r="O4" s="218"/>
    </row>
    <row r="5" spans="1:28" ht="23.25" customHeight="1" x14ac:dyDescent="0.25">
      <c r="A5" s="174" t="str">
        <f>metaASSETS[[#This Row],[Asset Name]]</f>
        <v>vitrail_01</v>
      </c>
      <c r="B5" s="87" t="str">
        <f>metaASSETS[[#This Row],[Type]]</f>
        <v>Asset</v>
      </c>
      <c r="D5" s="86" t="b">
        <v>0</v>
      </c>
      <c r="E5" s="186" t="s">
        <v>309</v>
      </c>
      <c r="F5" s="8" t="s">
        <v>12</v>
      </c>
      <c r="G5" s="87" t="s">
        <v>310</v>
      </c>
      <c r="H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 s="2">
        <v>20</v>
      </c>
      <c r="J5" s="185">
        <v>1</v>
      </c>
      <c r="K5" s="185">
        <v>1</v>
      </c>
      <c r="L5" s="185">
        <v>1</v>
      </c>
      <c r="M5" s="16" cm="1">
        <f t="array" ref="M5">SUM(surfacing[[#This Row],[blocking]:[polish]]*surfacing_ponderation)</f>
        <v>1</v>
      </c>
      <c r="N5" s="222">
        <f>(1-surfacing[[#This Row],[Progress]])*surfacing[[#This Row],[Estimated]]</f>
        <v>0</v>
      </c>
      <c r="O5" s="218"/>
    </row>
    <row r="6" spans="1:28" ht="23.25" customHeight="1" x14ac:dyDescent="0.25">
      <c r="A6" s="174" t="str">
        <f>metaASSETS[[#This Row],[Asset Name]]</f>
        <v>vitrail_02</v>
      </c>
      <c r="B6" s="87" t="str">
        <f>metaASSETS[[#This Row],[Type]]</f>
        <v>Asset</v>
      </c>
      <c r="D6" s="86" t="b">
        <v>0</v>
      </c>
      <c r="E6" s="186" t="s">
        <v>309</v>
      </c>
      <c r="F6" s="8" t="s">
        <v>12</v>
      </c>
      <c r="G6" s="87" t="s">
        <v>310</v>
      </c>
      <c r="H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 s="2">
        <v>10</v>
      </c>
      <c r="J6" s="185">
        <v>1</v>
      </c>
      <c r="K6" s="185">
        <v>1</v>
      </c>
      <c r="L6" s="185">
        <v>1</v>
      </c>
      <c r="M6" s="16" cm="1">
        <f t="array" ref="M6">SUM(surfacing[[#This Row],[blocking]:[polish]]*surfacing_ponderation)</f>
        <v>1</v>
      </c>
      <c r="N6" s="222">
        <f>(1-surfacing[[#This Row],[Progress]])*surfacing[[#This Row],[Estimated]]</f>
        <v>0</v>
      </c>
      <c r="O6" s="218"/>
    </row>
    <row r="7" spans="1:28" ht="23.25" customHeight="1" x14ac:dyDescent="0.25">
      <c r="A7" s="174" t="str">
        <f>metaASSETS[[#This Row],[Asset Name]]</f>
        <v>joan</v>
      </c>
      <c r="B7" s="87" t="str">
        <f>metaASSETS[[#This Row],[Type]]</f>
        <v>Character</v>
      </c>
      <c r="D7" s="86" t="b">
        <v>0</v>
      </c>
      <c r="E7" s="186" t="s">
        <v>309</v>
      </c>
      <c r="F7" s="8" t="s">
        <v>16</v>
      </c>
      <c r="G7" s="87" t="s">
        <v>311</v>
      </c>
      <c r="H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 s="2">
        <v>3</v>
      </c>
      <c r="J7" s="185">
        <v>1</v>
      </c>
      <c r="K7" s="185">
        <v>1</v>
      </c>
      <c r="L7" s="185">
        <v>1</v>
      </c>
      <c r="M7" s="16" cm="1">
        <f t="array" ref="M7">SUM(surfacing[[#This Row],[blocking]:[polish]]*surfacing_ponderation)</f>
        <v>1</v>
      </c>
      <c r="N7" s="222">
        <f>(1-surfacing[[#This Row],[Progress]])*surfacing[[#This Row],[Estimated]]</f>
        <v>0</v>
      </c>
      <c r="O7" s="218"/>
    </row>
    <row r="8" spans="1:28" ht="23.25" customHeight="1" x14ac:dyDescent="0.25">
      <c r="A8" s="174" t="str">
        <f>metaASSETS[[#This Row],[Asset Name]]</f>
        <v>joan_01</v>
      </c>
      <c r="B8" s="87" t="str">
        <f>metaASSETS[[#This Row],[Type]]</f>
        <v>Character</v>
      </c>
      <c r="D8" s="86" t="b">
        <v>0</v>
      </c>
      <c r="E8" s="186" t="s">
        <v>309</v>
      </c>
      <c r="F8" s="8" t="s">
        <v>12</v>
      </c>
      <c r="G8" s="87" t="s">
        <v>314</v>
      </c>
      <c r="H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8" s="2">
        <v>20</v>
      </c>
      <c r="J8" s="185">
        <v>1</v>
      </c>
      <c r="K8" s="185">
        <v>1</v>
      </c>
      <c r="L8" s="185">
        <v>1</v>
      </c>
      <c r="M8" s="16" cm="1">
        <f t="array" ref="M8">SUM(surfacing[[#This Row],[blocking]:[polish]]*surfacing_ponderation)</f>
        <v>1</v>
      </c>
      <c r="N8" s="222">
        <f>(1-surfacing[[#This Row],[Progress]])*surfacing[[#This Row],[Estimated]]</f>
        <v>0</v>
      </c>
      <c r="O8" s="218"/>
    </row>
    <row r="9" spans="1:28" ht="23.25" customHeight="1" x14ac:dyDescent="0.25">
      <c r="A9" s="174" t="str">
        <f>metaASSETS[[#This Row],[Asset Name]]</f>
        <v>joan_dlbr</v>
      </c>
      <c r="B9" s="87" t="str">
        <f>metaASSETS[[#This Row],[Type]]</f>
        <v>Character</v>
      </c>
      <c r="D9" s="86" t="b">
        <v>0</v>
      </c>
      <c r="E9" s="186" t="s">
        <v>309</v>
      </c>
      <c r="F9" s="8" t="s">
        <v>16</v>
      </c>
      <c r="G9" s="87" t="s">
        <v>311</v>
      </c>
      <c r="H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9" s="2">
        <v>1</v>
      </c>
      <c r="J9" s="185">
        <v>1</v>
      </c>
      <c r="K9" s="185">
        <v>1</v>
      </c>
      <c r="L9" s="185">
        <v>1</v>
      </c>
      <c r="M9" s="16" cm="1">
        <f t="array" ref="M9">SUM(surfacing[[#This Row],[blocking]:[polish]]*surfacing_ponderation)</f>
        <v>1</v>
      </c>
      <c r="N9" s="222">
        <f>(1-surfacing[[#This Row],[Progress]])*surfacing[[#This Row],[Estimated]]</f>
        <v>0</v>
      </c>
      <c r="O9" s="218"/>
    </row>
    <row r="10" spans="1:28" ht="23.25" customHeight="1" x14ac:dyDescent="0.25">
      <c r="A10" s="174" t="str">
        <f>metaASSETS[[#This Row],[Asset Name]]</f>
        <v>knight</v>
      </c>
      <c r="B10" s="87" t="str">
        <f>metaASSETS[[#This Row],[Type]]</f>
        <v>Character</v>
      </c>
      <c r="D10" s="86" t="b">
        <v>0</v>
      </c>
      <c r="E10" s="186" t="s">
        <v>309</v>
      </c>
      <c r="F10" s="8" t="s">
        <v>16</v>
      </c>
      <c r="G10" s="87" t="s">
        <v>314</v>
      </c>
      <c r="H1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0" s="2">
        <v>10</v>
      </c>
      <c r="J10" s="185">
        <v>1</v>
      </c>
      <c r="K10" s="185">
        <v>1</v>
      </c>
      <c r="L10" s="185">
        <v>1</v>
      </c>
      <c r="M10" s="16" cm="1">
        <f t="array" ref="M10">SUM(surfacing[[#This Row],[blocking]:[polish]]*surfacing_ponderation)</f>
        <v>1</v>
      </c>
      <c r="N10" s="222">
        <f>(1-surfacing[[#This Row],[Progress]])*surfacing[[#This Row],[Estimated]]</f>
        <v>0</v>
      </c>
      <c r="O10" s="218"/>
    </row>
    <row r="11" spans="1:28" ht="23.25" customHeight="1" x14ac:dyDescent="0.25">
      <c r="A11" s="174" t="str">
        <f>metaASSETS[[#This Row],[Asset Name]]</f>
        <v>L_arm</v>
      </c>
      <c r="B11" s="87" t="str">
        <f>metaASSETS[[#This Row],[Type]]</f>
        <v>Character</v>
      </c>
      <c r="D11" s="86" t="b">
        <v>0</v>
      </c>
      <c r="E11" s="186" t="s">
        <v>309</v>
      </c>
      <c r="F11" s="8" t="s">
        <v>16</v>
      </c>
      <c r="G11" s="87" t="s">
        <v>312</v>
      </c>
      <c r="H1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1" s="2">
        <v>0.25</v>
      </c>
      <c r="J11" s="185">
        <v>1</v>
      </c>
      <c r="K11" s="185">
        <v>1</v>
      </c>
      <c r="L11" s="185">
        <v>1</v>
      </c>
      <c r="M11" s="16" cm="1">
        <f t="array" ref="M11">SUM(surfacing[[#This Row],[blocking]:[polish]]*surfacing_ponderation)</f>
        <v>1</v>
      </c>
      <c r="N11" s="222">
        <f>(1-surfacing[[#This Row],[Progress]])*surfacing[[#This Row],[Estimated]]</f>
        <v>0</v>
      </c>
      <c r="O11" s="218"/>
      <c r="Z11" s="3"/>
      <c r="AA11" s="3"/>
      <c r="AB11" s="3"/>
    </row>
    <row r="12" spans="1:28" ht="23.25" customHeight="1" x14ac:dyDescent="0.25">
      <c r="A12" s="174" t="str">
        <f>metaASSETS[[#This Row],[Asset Name]]</f>
        <v>L_leg</v>
      </c>
      <c r="B12" s="87" t="str">
        <f>metaASSETS[[#This Row],[Type]]</f>
        <v>Character</v>
      </c>
      <c r="D12" s="86" t="b">
        <v>0</v>
      </c>
      <c r="E12" s="186" t="s">
        <v>309</v>
      </c>
      <c r="F12" s="8" t="s">
        <v>16</v>
      </c>
      <c r="G12" s="87" t="s">
        <v>312</v>
      </c>
      <c r="H1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2" s="2">
        <v>0.25</v>
      </c>
      <c r="J12" s="185">
        <v>1</v>
      </c>
      <c r="K12" s="185">
        <v>1</v>
      </c>
      <c r="L12" s="185">
        <v>1</v>
      </c>
      <c r="M12" s="16" cm="1">
        <f t="array" ref="M12">SUM(surfacing[[#This Row],[blocking]:[polish]]*surfacing_ponderation)</f>
        <v>1</v>
      </c>
      <c r="N12" s="222">
        <f>(1-surfacing[[#This Row],[Progress]])*surfacing[[#This Row],[Estimated]]</f>
        <v>0</v>
      </c>
      <c r="O12" s="218"/>
      <c r="Z12" s="5"/>
      <c r="AA12" s="5"/>
      <c r="AB12" s="5"/>
    </row>
    <row r="13" spans="1:28" ht="23.25" customHeight="1" x14ac:dyDescent="0.25">
      <c r="A13" s="174" t="str">
        <f>metaASSETS[[#This Row],[Asset Name]]</f>
        <v>R_arm</v>
      </c>
      <c r="B13" s="87" t="str">
        <f>metaASSETS[[#This Row],[Type]]</f>
        <v>Character</v>
      </c>
      <c r="D13" s="86" t="b">
        <v>0</v>
      </c>
      <c r="E13" s="186" t="s">
        <v>309</v>
      </c>
      <c r="F13" s="8" t="s">
        <v>16</v>
      </c>
      <c r="G13" s="87" t="s">
        <v>312</v>
      </c>
      <c r="H1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3" s="2">
        <v>0.25</v>
      </c>
      <c r="J13" s="185">
        <v>1</v>
      </c>
      <c r="K13" s="185">
        <v>1</v>
      </c>
      <c r="L13" s="185">
        <v>1</v>
      </c>
      <c r="M13" s="16" cm="1">
        <f t="array" ref="M13">SUM(surfacing[[#This Row],[blocking]:[polish]]*surfacing_ponderation)</f>
        <v>1</v>
      </c>
      <c r="N13" s="222">
        <f>(1-surfacing[[#This Row],[Progress]])*surfacing[[#This Row],[Estimated]]</f>
        <v>0</v>
      </c>
      <c r="O13" s="218"/>
    </row>
    <row r="14" spans="1:28" ht="23.25" customHeight="1" x14ac:dyDescent="0.25">
      <c r="A14" s="174" t="str">
        <f>metaASSETS[[#This Row],[Asset Name]]</f>
        <v>R_leg</v>
      </c>
      <c r="B14" s="87" t="str">
        <f>metaASSETS[[#This Row],[Type]]</f>
        <v>Character</v>
      </c>
      <c r="D14" s="86" t="b">
        <v>0</v>
      </c>
      <c r="E14" s="186" t="s">
        <v>309</v>
      </c>
      <c r="F14" s="8" t="s">
        <v>16</v>
      </c>
      <c r="G14" s="87" t="s">
        <v>312</v>
      </c>
      <c r="H1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4" s="2">
        <v>0.25</v>
      </c>
      <c r="J14" s="185">
        <v>1</v>
      </c>
      <c r="K14" s="185">
        <v>1</v>
      </c>
      <c r="L14" s="185">
        <v>1</v>
      </c>
      <c r="M14" s="16" cm="1">
        <f t="array" ref="M14">SUM(surfacing[[#This Row],[blocking]:[polish]]*surfacing_ponderation)</f>
        <v>1</v>
      </c>
      <c r="N14" s="222">
        <f>(1-surfacing[[#This Row],[Progress]])*surfacing[[#This Row],[Estimated]]</f>
        <v>0</v>
      </c>
      <c r="O14" s="218"/>
    </row>
    <row r="15" spans="1:28" ht="23.25" customHeight="1" x14ac:dyDescent="0.25">
      <c r="A15" s="174" t="str">
        <f>metaASSETS[[#This Row],[Asset Name]]</f>
        <v>soldier_01</v>
      </c>
      <c r="B15" s="87" t="str">
        <f>metaASSETS[[#This Row],[Type]]</f>
        <v>Character</v>
      </c>
      <c r="D15" s="86" t="b">
        <v>0</v>
      </c>
      <c r="E15" s="186" t="s">
        <v>309</v>
      </c>
      <c r="F15" s="8" t="s">
        <v>16</v>
      </c>
      <c r="G15" s="87" t="s">
        <v>312</v>
      </c>
      <c r="H1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5" s="2">
        <v>3</v>
      </c>
      <c r="J15" s="185">
        <v>1</v>
      </c>
      <c r="K15" s="185">
        <v>1</v>
      </c>
      <c r="L15" s="185">
        <v>1</v>
      </c>
      <c r="M15" s="16" cm="1">
        <f t="array" ref="M15">SUM(surfacing[[#This Row],[blocking]:[polish]]*surfacing_ponderation)</f>
        <v>1</v>
      </c>
      <c r="N15" s="222">
        <f>(1-surfacing[[#This Row],[Progress]])*surfacing[[#This Row],[Estimated]]</f>
        <v>0</v>
      </c>
      <c r="O15" s="218"/>
    </row>
    <row r="16" spans="1:28" ht="23.25" customHeight="1" x14ac:dyDescent="0.25">
      <c r="A16" s="174" t="str">
        <f>metaASSETS[[#This Row],[Asset Name]]</f>
        <v>soldier_02</v>
      </c>
      <c r="B16" s="87" t="str">
        <f>metaASSETS[[#This Row],[Type]]</f>
        <v>Character</v>
      </c>
      <c r="D16" s="86" t="b">
        <v>0</v>
      </c>
      <c r="E16" s="186" t="s">
        <v>309</v>
      </c>
      <c r="F16" s="8" t="s">
        <v>16</v>
      </c>
      <c r="G16" s="87" t="s">
        <v>312</v>
      </c>
      <c r="H1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6" s="2">
        <v>1</v>
      </c>
      <c r="J16" s="185">
        <v>1</v>
      </c>
      <c r="K16" s="185">
        <v>1</v>
      </c>
      <c r="L16" s="185">
        <v>1</v>
      </c>
      <c r="M16" s="16" cm="1">
        <f t="array" ref="M16">SUM(surfacing[[#This Row],[blocking]:[polish]]*surfacing_ponderation)</f>
        <v>1</v>
      </c>
      <c r="N16" s="222">
        <f>(1-surfacing[[#This Row],[Progress]])*surfacing[[#This Row],[Estimated]]</f>
        <v>0</v>
      </c>
      <c r="O16" s="218"/>
    </row>
    <row r="17" spans="1:15" ht="23.25" customHeight="1" x14ac:dyDescent="0.25">
      <c r="A17" s="174" t="str">
        <f>metaASSETS[[#This Row],[Asset Name]]</f>
        <v>soldier_03</v>
      </c>
      <c r="B17" s="87" t="str">
        <f>metaASSETS[[#This Row],[Type]]</f>
        <v>Character</v>
      </c>
      <c r="D17" s="86" t="b">
        <v>0</v>
      </c>
      <c r="E17" s="186" t="s">
        <v>309</v>
      </c>
      <c r="F17" s="8" t="s">
        <v>16</v>
      </c>
      <c r="G17" s="87" t="s">
        <v>312</v>
      </c>
      <c r="H1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7" s="2">
        <v>1</v>
      </c>
      <c r="J17" s="185">
        <v>1</v>
      </c>
      <c r="K17" s="185">
        <v>1</v>
      </c>
      <c r="L17" s="185">
        <v>1</v>
      </c>
      <c r="M17" s="16" cm="1">
        <f t="array" ref="M17">SUM(surfacing[[#This Row],[blocking]:[polish]]*surfacing_ponderation)</f>
        <v>1</v>
      </c>
      <c r="N17" s="222">
        <f>(1-surfacing[[#This Row],[Progress]])*surfacing[[#This Row],[Estimated]]</f>
        <v>0</v>
      </c>
      <c r="O17" s="218"/>
    </row>
    <row r="18" spans="1:15" ht="23.25" customHeight="1" x14ac:dyDescent="0.25">
      <c r="A18" s="174" t="str">
        <f>metaASSETS[[#This Row],[Asset Name]]</f>
        <v>villager_01</v>
      </c>
      <c r="B18" s="87" t="str">
        <f>metaASSETS[[#This Row],[Type]]</f>
        <v>Character</v>
      </c>
      <c r="D18" s="86" t="b">
        <v>0</v>
      </c>
      <c r="E18" s="186" t="s">
        <v>309</v>
      </c>
      <c r="F18" s="8" t="s">
        <v>16</v>
      </c>
      <c r="G18" s="87" t="s">
        <v>312</v>
      </c>
      <c r="H1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8" s="2">
        <v>1</v>
      </c>
      <c r="J18" s="185">
        <v>1</v>
      </c>
      <c r="K18" s="185">
        <v>1</v>
      </c>
      <c r="L18" s="185">
        <v>1</v>
      </c>
      <c r="M18" s="16" cm="1">
        <f t="array" ref="M18">SUM(surfacing[[#This Row],[blocking]:[polish]]*surfacing_ponderation)</f>
        <v>1</v>
      </c>
      <c r="N18" s="222">
        <f>(1-surfacing[[#This Row],[Progress]])*surfacing[[#This Row],[Estimated]]</f>
        <v>0</v>
      </c>
      <c r="O18" s="218"/>
    </row>
    <row r="19" spans="1:15" ht="23.25" customHeight="1" x14ac:dyDescent="0.25">
      <c r="A19" s="174" t="str">
        <f>metaASSETS[[#This Row],[Asset Name]]</f>
        <v>villager_02</v>
      </c>
      <c r="B19" s="87" t="str">
        <f>metaASSETS[[#This Row],[Type]]</f>
        <v>Character</v>
      </c>
      <c r="D19" s="86" t="b">
        <v>0</v>
      </c>
      <c r="E19" s="186" t="s">
        <v>309</v>
      </c>
      <c r="F19" s="8" t="s">
        <v>16</v>
      </c>
      <c r="G19" s="87" t="s">
        <v>312</v>
      </c>
      <c r="H1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19" s="2">
        <v>1</v>
      </c>
      <c r="J19" s="185">
        <v>1</v>
      </c>
      <c r="K19" s="185">
        <v>1</v>
      </c>
      <c r="L19" s="185">
        <v>1</v>
      </c>
      <c r="M19" s="16" cm="1">
        <f t="array" ref="M19">SUM(surfacing[[#This Row],[blocking]:[polish]]*surfacing_ponderation)</f>
        <v>1</v>
      </c>
      <c r="N19" s="222">
        <f>(1-surfacing[[#This Row],[Progress]])*surfacing[[#This Row],[Estimated]]</f>
        <v>0</v>
      </c>
      <c r="O19" s="218"/>
    </row>
    <row r="20" spans="1:15" ht="23.25" customHeight="1" x14ac:dyDescent="0.25">
      <c r="A20" s="174" t="str">
        <f>metaASSETS[[#This Row],[Asset Name]]</f>
        <v>villager_03</v>
      </c>
      <c r="B20" s="87" t="str">
        <f>metaASSETS[[#This Row],[Type]]</f>
        <v>Character</v>
      </c>
      <c r="D20" s="86" t="b">
        <v>0</v>
      </c>
      <c r="E20" s="186" t="s">
        <v>309</v>
      </c>
      <c r="F20" s="8" t="s">
        <v>16</v>
      </c>
      <c r="G20" s="87" t="s">
        <v>312</v>
      </c>
      <c r="H2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0" s="2">
        <v>1</v>
      </c>
      <c r="J20" s="185">
        <v>1</v>
      </c>
      <c r="K20" s="185">
        <v>1</v>
      </c>
      <c r="L20" s="185">
        <v>1</v>
      </c>
      <c r="M20" s="16" cm="1">
        <f t="array" ref="M20">SUM(surfacing[[#This Row],[blocking]:[polish]]*surfacing_ponderation)</f>
        <v>1</v>
      </c>
      <c r="N20" s="222">
        <f>(1-surfacing[[#This Row],[Progress]])*surfacing[[#This Row],[Estimated]]</f>
        <v>0</v>
      </c>
      <c r="O20" s="218"/>
    </row>
    <row r="21" spans="1:15" ht="23.25" customHeight="1" x14ac:dyDescent="0.25">
      <c r="A21" s="174" t="str">
        <f>metaASSETS[[#This Row],[Asset Name]]</f>
        <v>villager_04</v>
      </c>
      <c r="B21" s="87" t="str">
        <f>metaASSETS[[#This Row],[Type]]</f>
        <v>Character</v>
      </c>
      <c r="D21" s="86" t="b">
        <v>0</v>
      </c>
      <c r="E21" s="186" t="s">
        <v>309</v>
      </c>
      <c r="F21" s="8" t="s">
        <v>16</v>
      </c>
      <c r="G21" s="87" t="s">
        <v>312</v>
      </c>
      <c r="H2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1" s="2">
        <v>1</v>
      </c>
      <c r="J21" s="185">
        <v>1</v>
      </c>
      <c r="K21" s="185">
        <v>1</v>
      </c>
      <c r="L21" s="185">
        <v>1</v>
      </c>
      <c r="M21" s="16" cm="1">
        <f t="array" ref="M21">SUM(surfacing[[#This Row],[blocking]:[polish]]*surfacing_ponderation)</f>
        <v>1</v>
      </c>
      <c r="N21" s="222">
        <f>(1-surfacing[[#This Row],[Progress]])*surfacing[[#This Row],[Estimated]]</f>
        <v>0</v>
      </c>
      <c r="O21" s="218"/>
    </row>
    <row r="22" spans="1:15" ht="23.25" customHeight="1" x14ac:dyDescent="0.25">
      <c r="A22" s="174" t="str">
        <f>metaASSETS[[#This Row],[Asset Name]]</f>
        <v>villager_05</v>
      </c>
      <c r="B22" s="87" t="str">
        <f>metaASSETS[[#This Row],[Type]]</f>
        <v>Character</v>
      </c>
      <c r="D22" s="86" t="b">
        <v>0</v>
      </c>
      <c r="E22" s="186" t="s">
        <v>309</v>
      </c>
      <c r="F22" s="8" t="s">
        <v>16</v>
      </c>
      <c r="G22" s="87" t="s">
        <v>312</v>
      </c>
      <c r="H2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2" s="2">
        <v>1</v>
      </c>
      <c r="J22" s="185">
        <v>1</v>
      </c>
      <c r="K22" s="185">
        <v>1</v>
      </c>
      <c r="L22" s="185">
        <v>1</v>
      </c>
      <c r="M22" s="16" cm="1">
        <f t="array" ref="M22">SUM(surfacing[[#This Row],[blocking]:[polish]]*surfacing_ponderation)</f>
        <v>1</v>
      </c>
      <c r="N22" s="222">
        <f>(1-surfacing[[#This Row],[Progress]])*surfacing[[#This Row],[Estimated]]</f>
        <v>0</v>
      </c>
      <c r="O22" s="218"/>
    </row>
    <row r="23" spans="1:15" ht="23.25" customHeight="1" x14ac:dyDescent="0.25">
      <c r="A23" s="174" t="str">
        <f>metaASSETS[[#This Row],[Asset Name]]</f>
        <v>villager_06</v>
      </c>
      <c r="B23" s="87" t="str">
        <f>metaASSETS[[#This Row],[Type]]</f>
        <v>Character</v>
      </c>
      <c r="D23" s="86" t="b">
        <v>0</v>
      </c>
      <c r="E23" s="186" t="s">
        <v>309</v>
      </c>
      <c r="F23" s="8" t="s">
        <v>16</v>
      </c>
      <c r="G23" s="87" t="s">
        <v>312</v>
      </c>
      <c r="H2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3" s="2">
        <v>1</v>
      </c>
      <c r="J23" s="185">
        <v>1</v>
      </c>
      <c r="K23" s="185">
        <v>1</v>
      </c>
      <c r="L23" s="185">
        <v>1</v>
      </c>
      <c r="M23" s="16" cm="1">
        <f t="array" ref="M23">SUM(surfacing[[#This Row],[blocking]:[polish]]*surfacing_ponderation)</f>
        <v>1</v>
      </c>
      <c r="N23" s="222">
        <f>(1-surfacing[[#This Row],[Progress]])*surfacing[[#This Row],[Estimated]]</f>
        <v>0</v>
      </c>
      <c r="O23" s="218"/>
    </row>
    <row r="24" spans="1:15" ht="23.25" customHeight="1" x14ac:dyDescent="0.25">
      <c r="A24" s="174" t="str">
        <f>metaASSETS[[#This Row],[Asset Name]]</f>
        <v>villager_07</v>
      </c>
      <c r="B24" s="87" t="str">
        <f>metaASSETS[[#This Row],[Type]]</f>
        <v>Character</v>
      </c>
      <c r="D24" s="86" t="b">
        <v>0</v>
      </c>
      <c r="E24" s="186" t="s">
        <v>309</v>
      </c>
      <c r="F24" s="8" t="s">
        <v>16</v>
      </c>
      <c r="G24" s="87" t="s">
        <v>312</v>
      </c>
      <c r="H2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4" s="2">
        <v>1</v>
      </c>
      <c r="J24" s="185">
        <v>1</v>
      </c>
      <c r="K24" s="185">
        <v>1</v>
      </c>
      <c r="L24" s="185">
        <v>1</v>
      </c>
      <c r="M24" s="16" cm="1">
        <f t="array" ref="M24">SUM(surfacing[[#This Row],[blocking]:[polish]]*surfacing_ponderation)</f>
        <v>1</v>
      </c>
      <c r="N24" s="222">
        <f>(1-surfacing[[#This Row],[Progress]])*surfacing[[#This Row],[Estimated]]</f>
        <v>0</v>
      </c>
      <c r="O24" s="218"/>
    </row>
    <row r="25" spans="1:15" ht="23.25" customHeight="1" x14ac:dyDescent="0.25">
      <c r="A25" s="174" t="str">
        <f>metaASSETS[[#This Row],[Asset Name]]</f>
        <v>army_eng</v>
      </c>
      <c r="B25" s="87" t="str">
        <f>metaASSETS[[#This Row],[Type]]</f>
        <v>Crowd</v>
      </c>
      <c r="D25" s="86" t="b">
        <v>0</v>
      </c>
      <c r="E25" s="186" t="s">
        <v>309</v>
      </c>
      <c r="F25" s="8" t="s">
        <v>12</v>
      </c>
      <c r="G25" s="87" t="s">
        <v>312</v>
      </c>
      <c r="H2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5" s="2">
        <v>5</v>
      </c>
      <c r="J25" s="185">
        <v>1</v>
      </c>
      <c r="K25" s="185">
        <v>1</v>
      </c>
      <c r="L25" s="185">
        <v>1</v>
      </c>
      <c r="M25" s="16" cm="1">
        <f t="array" ref="M25">SUM(surfacing[[#This Row],[blocking]:[polish]]*surfacing_ponderation)</f>
        <v>1</v>
      </c>
      <c r="N25" s="222">
        <f>(1-surfacing[[#This Row],[Progress]])*surfacing[[#This Row],[Estimated]]</f>
        <v>0</v>
      </c>
      <c r="O25" s="218"/>
    </row>
    <row r="26" spans="1:15" ht="23.25" customHeight="1" x14ac:dyDescent="0.25">
      <c r="A26" s="174" t="str">
        <f>metaASSETS[[#This Row],[Asset Name]]</f>
        <v>army_fr</v>
      </c>
      <c r="B26" s="87" t="str">
        <f>metaASSETS[[#This Row],[Type]]</f>
        <v>Crowd</v>
      </c>
      <c r="D26" s="86" t="b">
        <v>0</v>
      </c>
      <c r="E26" s="186" t="s">
        <v>309</v>
      </c>
      <c r="F26" s="8" t="s">
        <v>16</v>
      </c>
      <c r="G26" s="87" t="s">
        <v>312</v>
      </c>
      <c r="H2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6" s="2">
        <v>5</v>
      </c>
      <c r="J26" s="185">
        <v>1</v>
      </c>
      <c r="K26" s="185">
        <v>1</v>
      </c>
      <c r="L26" s="185">
        <v>1</v>
      </c>
      <c r="M26" s="16" cm="1">
        <f t="array" ref="M26">SUM(surfacing[[#This Row],[blocking]:[polish]]*surfacing_ponderation)</f>
        <v>1</v>
      </c>
      <c r="N26" s="222">
        <f>(1-surfacing[[#This Row],[Progress]])*surfacing[[#This Row],[Estimated]]</f>
        <v>0</v>
      </c>
      <c r="O26" s="218"/>
    </row>
    <row r="27" spans="1:15" ht="23.25" customHeight="1" x14ac:dyDescent="0.25">
      <c r="A27" s="174" t="str">
        <f>metaASSETS[[#This Row],[Asset Name]]</f>
        <v>crowd_01</v>
      </c>
      <c r="B27" s="87" t="str">
        <f>metaASSETS[[#This Row],[Type]]</f>
        <v>Crowd</v>
      </c>
      <c r="D27" s="86" t="b">
        <v>0</v>
      </c>
      <c r="E27" s="186" t="s">
        <v>309</v>
      </c>
      <c r="F27" s="8" t="s">
        <v>16</v>
      </c>
      <c r="G27" s="87" t="s">
        <v>312</v>
      </c>
      <c r="H2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7" s="2">
        <v>5</v>
      </c>
      <c r="J27" s="185">
        <v>1</v>
      </c>
      <c r="K27" s="185">
        <v>1</v>
      </c>
      <c r="L27" s="185">
        <v>1</v>
      </c>
      <c r="M27" s="16" cm="1">
        <f t="array" ref="M27">SUM(surfacing[[#This Row],[blocking]:[polish]]*surfacing_ponderation)</f>
        <v>1</v>
      </c>
      <c r="N27" s="222">
        <f>(1-surfacing[[#This Row],[Progress]])*surfacing[[#This Row],[Estimated]]</f>
        <v>0</v>
      </c>
      <c r="O27" s="218"/>
    </row>
    <row r="28" spans="1:15" ht="23.25" customHeight="1" x14ac:dyDescent="0.25">
      <c r="A28" s="174" t="str">
        <f>metaASSETS[[#This Row],[Asset Name]]</f>
        <v>crowd_02</v>
      </c>
      <c r="B28" s="87" t="str">
        <f>metaASSETS[[#This Row],[Type]]</f>
        <v>Crowd</v>
      </c>
      <c r="D28" s="86" t="b">
        <v>0</v>
      </c>
      <c r="E28" s="186" t="s">
        <v>309</v>
      </c>
      <c r="F28" s="8" t="s">
        <v>16</v>
      </c>
      <c r="G28" s="87" t="s">
        <v>312</v>
      </c>
      <c r="H2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8" s="2">
        <v>5</v>
      </c>
      <c r="J28" s="185">
        <v>1</v>
      </c>
      <c r="K28" s="185">
        <v>1</v>
      </c>
      <c r="L28" s="185">
        <v>1</v>
      </c>
      <c r="M28" s="16" cm="1">
        <f t="array" ref="M28">SUM(surfacing[[#This Row],[blocking]:[polish]]*surfacing_ponderation)</f>
        <v>1</v>
      </c>
      <c r="N28" s="222">
        <f>(1-surfacing[[#This Row],[Progress]])*surfacing[[#This Row],[Estimated]]</f>
        <v>0</v>
      </c>
      <c r="O28" s="218"/>
    </row>
    <row r="29" spans="1:15" ht="23.25" customHeight="1" x14ac:dyDescent="0.25">
      <c r="A29" s="174" t="str">
        <f>metaASSETS[[#This Row],[Asset Name]]</f>
        <v>crowd_03</v>
      </c>
      <c r="B29" s="87" t="str">
        <f>metaASSETS[[#This Row],[Type]]</f>
        <v>Crowd</v>
      </c>
      <c r="D29" s="86" t="b">
        <v>0</v>
      </c>
      <c r="E29" s="186" t="s">
        <v>309</v>
      </c>
      <c r="F29" s="8" t="s">
        <v>16</v>
      </c>
      <c r="G29" s="87" t="s">
        <v>312</v>
      </c>
      <c r="H2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29" s="2">
        <v>5</v>
      </c>
      <c r="J29" s="185">
        <v>1</v>
      </c>
      <c r="K29" s="185">
        <v>1</v>
      </c>
      <c r="L29" s="185">
        <v>1</v>
      </c>
      <c r="M29" s="16" cm="1">
        <f t="array" ref="M29">SUM(surfacing[[#This Row],[blocking]:[polish]]*surfacing_ponderation)</f>
        <v>1</v>
      </c>
      <c r="N29" s="222">
        <f>(1-surfacing[[#This Row],[Progress]])*surfacing[[#This Row],[Estimated]]</f>
        <v>0</v>
      </c>
      <c r="O29" s="218"/>
    </row>
    <row r="30" spans="1:15" ht="23.25" customHeight="1" x14ac:dyDescent="0.25">
      <c r="A30" s="174" t="str">
        <f>metaASSETS[[#This Row],[Asset Name]]</f>
        <v>bucher</v>
      </c>
      <c r="B30" s="87" t="str">
        <f>metaASSETS[[#This Row],[Type]]</f>
        <v>Environment</v>
      </c>
      <c r="D30" s="86" t="b">
        <v>0</v>
      </c>
      <c r="E30" s="186" t="s">
        <v>324</v>
      </c>
      <c r="F30" s="8" t="s">
        <v>16</v>
      </c>
      <c r="G30" s="87" t="s">
        <v>312</v>
      </c>
      <c r="H3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Ready</v>
      </c>
      <c r="I30" s="2">
        <v>0.5</v>
      </c>
      <c r="J30" s="185">
        <v>0</v>
      </c>
      <c r="K30" s="185">
        <v>0</v>
      </c>
      <c r="L30" s="185">
        <v>0</v>
      </c>
      <c r="M30" s="16" cm="1">
        <f t="array" ref="M30">SUM(surfacing[[#This Row],[blocking]:[polish]]*surfacing_ponderation)</f>
        <v>0</v>
      </c>
      <c r="N30" s="222">
        <f>(1-surfacing[[#This Row],[Progress]])*surfacing[[#This Row],[Estimated]]</f>
        <v>0.5</v>
      </c>
      <c r="O30" s="218"/>
    </row>
    <row r="31" spans="1:15" ht="23.25" customHeight="1" x14ac:dyDescent="0.25">
      <c r="A31" s="174" t="str">
        <f>metaASSETS[[#This Row],[Asset Name]]</f>
        <v>church_ext</v>
      </c>
      <c r="B31" s="87" t="str">
        <f>metaASSETS[[#This Row],[Type]]</f>
        <v>Environment</v>
      </c>
      <c r="D31" s="86" t="b">
        <v>0</v>
      </c>
      <c r="E31" s="186" t="s">
        <v>324</v>
      </c>
      <c r="F31" s="8" t="s">
        <v>16</v>
      </c>
      <c r="G31" s="87" t="s">
        <v>310</v>
      </c>
      <c r="H3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In Progress</v>
      </c>
      <c r="I31" s="2">
        <v>2</v>
      </c>
      <c r="J31" s="185">
        <v>1</v>
      </c>
      <c r="K31" s="185">
        <v>1</v>
      </c>
      <c r="L31" s="185">
        <v>0.65</v>
      </c>
      <c r="M31" s="16" cm="1">
        <f t="array" ref="M31">SUM(surfacing[[#This Row],[blocking]:[polish]]*surfacing_ponderation)</f>
        <v>0.82499999999999996</v>
      </c>
      <c r="N31" s="222">
        <f>(1-surfacing[[#This Row],[Progress]])*surfacing[[#This Row],[Estimated]]</f>
        <v>0.35000000000000009</v>
      </c>
      <c r="O31" s="218"/>
    </row>
    <row r="32" spans="1:15" ht="23.25" customHeight="1" x14ac:dyDescent="0.25">
      <c r="A32" s="175" t="str">
        <f>metaASSETS[[#This Row],[Asset Name]]</f>
        <v>church_int</v>
      </c>
      <c r="B32" s="8" t="str">
        <f>metaASSETS[[#This Row],[Type]]</f>
        <v>Environment</v>
      </c>
      <c r="D32" s="86" t="b">
        <v>0</v>
      </c>
      <c r="E32" s="186" t="s">
        <v>324</v>
      </c>
      <c r="F32" s="8" t="s">
        <v>16</v>
      </c>
      <c r="G32" s="8" t="s">
        <v>310</v>
      </c>
      <c r="H3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In Progress</v>
      </c>
      <c r="I32" s="2">
        <v>4</v>
      </c>
      <c r="J32" s="185">
        <v>1</v>
      </c>
      <c r="K32" s="185">
        <v>1</v>
      </c>
      <c r="L32" s="185">
        <v>0.65</v>
      </c>
      <c r="M32" s="16" cm="1">
        <f t="array" ref="M32">SUM(surfacing[[#This Row],[blocking]:[polish]]*surfacing_ponderation)</f>
        <v>0.82499999999999996</v>
      </c>
      <c r="N32" s="222">
        <f>(1-surfacing[[#This Row],[Progress]])*surfacing[[#This Row],[Estimated]]</f>
        <v>0.70000000000000018</v>
      </c>
      <c r="O32" s="189"/>
    </row>
    <row r="33" spans="1:15" ht="23.25" customHeight="1" x14ac:dyDescent="0.25">
      <c r="A33" s="175" t="str">
        <f>metaASSETS[[#This Row],[Asset Name]]</f>
        <v>door_01</v>
      </c>
      <c r="B33" s="8" t="str">
        <f>metaASSETS[[#This Row],[Type]]</f>
        <v>Environment</v>
      </c>
      <c r="D33" s="86" t="b">
        <v>0</v>
      </c>
      <c r="E33" s="186" t="s">
        <v>309</v>
      </c>
      <c r="F33" s="8" t="s">
        <v>16</v>
      </c>
      <c r="G33" s="8" t="s">
        <v>310</v>
      </c>
      <c r="H3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3" s="2">
        <v>0.25</v>
      </c>
      <c r="J33" s="185">
        <v>1</v>
      </c>
      <c r="K33" s="185">
        <v>1</v>
      </c>
      <c r="L33" s="185">
        <v>1</v>
      </c>
      <c r="M33" s="16" cm="1">
        <f t="array" ref="M33">SUM(surfacing[[#This Row],[blocking]:[polish]]*surfacing_ponderation)</f>
        <v>1</v>
      </c>
      <c r="N33" s="222">
        <f>(1-surfacing[[#This Row],[Progress]])*surfacing[[#This Row],[Estimated]]</f>
        <v>0</v>
      </c>
      <c r="O33" s="189"/>
    </row>
    <row r="34" spans="1:15" ht="23.25" customHeight="1" x14ac:dyDescent="0.25">
      <c r="A34" s="175" t="str">
        <f>metaASSETS[[#This Row],[Asset Name]]</f>
        <v>door_02</v>
      </c>
      <c r="B34" s="8" t="str">
        <f>metaASSETS[[#This Row],[Type]]</f>
        <v>Environment</v>
      </c>
      <c r="D34" s="86" t="b">
        <v>0</v>
      </c>
      <c r="E34" s="186" t="s">
        <v>309</v>
      </c>
      <c r="F34" s="8" t="s">
        <v>16</v>
      </c>
      <c r="G34" s="166" t="s">
        <v>312</v>
      </c>
      <c r="H3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4" s="2">
        <v>0.25</v>
      </c>
      <c r="J34" s="185">
        <v>1</v>
      </c>
      <c r="K34" s="185">
        <v>1</v>
      </c>
      <c r="L34" s="185">
        <v>1</v>
      </c>
      <c r="M34" s="16" cm="1">
        <f t="array" ref="M34">SUM(surfacing[[#This Row],[blocking]:[polish]]*surfacing_ponderation)</f>
        <v>1</v>
      </c>
      <c r="N34" s="222">
        <f>(1-surfacing[[#This Row],[Progress]])*surfacing[[#This Row],[Estimated]]</f>
        <v>0</v>
      </c>
      <c r="O34" s="189"/>
    </row>
    <row r="35" spans="1:15" ht="23.25" customHeight="1" x14ac:dyDescent="0.25">
      <c r="A35" s="175" t="str">
        <f>metaASSETS[[#This Row],[Asset Name]]</f>
        <v>door_03</v>
      </c>
      <c r="B35" s="8" t="str">
        <f>metaASSETS[[#This Row],[Type]]</f>
        <v>Environment</v>
      </c>
      <c r="D35" s="86" t="b">
        <v>0</v>
      </c>
      <c r="E35" s="186" t="s">
        <v>309</v>
      </c>
      <c r="F35" s="8" t="s">
        <v>16</v>
      </c>
      <c r="G35" s="166" t="s">
        <v>312</v>
      </c>
      <c r="H3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5" s="2">
        <v>0.25</v>
      </c>
      <c r="J35" s="185">
        <v>1</v>
      </c>
      <c r="K35" s="185">
        <v>1</v>
      </c>
      <c r="L35" s="185">
        <v>1</v>
      </c>
      <c r="M35" s="16" cm="1">
        <f t="array" ref="M35">SUM(surfacing[[#This Row],[blocking]:[polish]]*surfacing_ponderation)</f>
        <v>1</v>
      </c>
      <c r="N35" s="222">
        <f>(1-surfacing[[#This Row],[Progress]])*surfacing[[#This Row],[Estimated]]</f>
        <v>0</v>
      </c>
      <c r="O35" s="189"/>
    </row>
    <row r="36" spans="1:15" ht="23.25" customHeight="1" x14ac:dyDescent="0.25">
      <c r="A36" s="175" t="str">
        <f>metaASSETS[[#This Row],[Asset Name]]</f>
        <v>door_04</v>
      </c>
      <c r="B36" s="8" t="str">
        <f>metaASSETS[[#This Row],[Type]]</f>
        <v>Environment</v>
      </c>
      <c r="D36" s="86" t="b">
        <v>0</v>
      </c>
      <c r="E36" s="186" t="s">
        <v>309</v>
      </c>
      <c r="F36" s="8" t="s">
        <v>16</v>
      </c>
      <c r="G36" s="166" t="s">
        <v>312</v>
      </c>
      <c r="H3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6" s="2">
        <v>0.25</v>
      </c>
      <c r="J36" s="185">
        <v>1</v>
      </c>
      <c r="K36" s="185">
        <v>1</v>
      </c>
      <c r="L36" s="185">
        <v>1</v>
      </c>
      <c r="M36" s="16" cm="1">
        <f t="array" ref="M36">SUM(surfacing[[#This Row],[blocking]:[polish]]*surfacing_ponderation)</f>
        <v>1</v>
      </c>
      <c r="N36" s="222">
        <f>(1-surfacing[[#This Row],[Progress]])*surfacing[[#This Row],[Estimated]]</f>
        <v>0</v>
      </c>
      <c r="O36" s="189"/>
    </row>
    <row r="37" spans="1:15" ht="23.25" customHeight="1" x14ac:dyDescent="0.25">
      <c r="A37" s="175" t="str">
        <f>metaASSETS[[#This Row],[Asset Name]]</f>
        <v>door_05</v>
      </c>
      <c r="B37" s="8" t="str">
        <f>metaASSETS[[#This Row],[Type]]</f>
        <v>Environment</v>
      </c>
      <c r="D37" s="86" t="b">
        <v>0</v>
      </c>
      <c r="E37" s="186" t="s">
        <v>309</v>
      </c>
      <c r="F37" s="8" t="s">
        <v>16</v>
      </c>
      <c r="G37" s="166" t="s">
        <v>312</v>
      </c>
      <c r="H3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7" s="2">
        <v>0.25</v>
      </c>
      <c r="J37" s="185">
        <v>1</v>
      </c>
      <c r="K37" s="185">
        <v>1</v>
      </c>
      <c r="L37" s="185">
        <v>1</v>
      </c>
      <c r="M37" s="16" cm="1">
        <f t="array" ref="M37">SUM(surfacing[[#This Row],[blocking]:[polish]]*surfacing_ponderation)</f>
        <v>1</v>
      </c>
      <c r="N37" s="222">
        <f>(1-surfacing[[#This Row],[Progress]])*surfacing[[#This Row],[Estimated]]</f>
        <v>0</v>
      </c>
      <c r="O37" s="189"/>
    </row>
    <row r="38" spans="1:15" ht="23.25" customHeight="1" x14ac:dyDescent="0.25">
      <c r="A38" s="175" t="str">
        <f>metaASSETS[[#This Row],[Asset Name]]</f>
        <v>fake_int</v>
      </c>
      <c r="B38" s="8" t="str">
        <f>metaASSETS[[#This Row],[Type]]</f>
        <v>Environment</v>
      </c>
      <c r="D38" s="86" t="b">
        <v>0</v>
      </c>
      <c r="E38" s="186" t="s">
        <v>309</v>
      </c>
      <c r="F38" s="8" t="s">
        <v>16</v>
      </c>
      <c r="G38" s="166" t="s">
        <v>312</v>
      </c>
      <c r="H3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8" s="2">
        <v>1</v>
      </c>
      <c r="J38" s="185">
        <v>1</v>
      </c>
      <c r="K38" s="185">
        <v>1</v>
      </c>
      <c r="L38" s="185">
        <v>1</v>
      </c>
      <c r="M38" s="16" cm="1">
        <f t="array" ref="M38">SUM(surfacing[[#This Row],[blocking]:[polish]]*surfacing_ponderation)</f>
        <v>1</v>
      </c>
      <c r="N38" s="222">
        <f>(1-surfacing[[#This Row],[Progress]])*surfacing[[#This Row],[Estimated]]</f>
        <v>0</v>
      </c>
      <c r="O38" s="189"/>
    </row>
    <row r="39" spans="1:15" ht="23.25" customHeight="1" x14ac:dyDescent="0.25">
      <c r="A39" s="175" t="str">
        <f>metaASSETS[[#This Row],[Asset Name]]</f>
        <v>flr_01</v>
      </c>
      <c r="B39" s="8" t="str">
        <f>metaASSETS[[#This Row],[Type]]</f>
        <v>Environment</v>
      </c>
      <c r="D39" s="86" t="b">
        <v>0</v>
      </c>
      <c r="E39" s="186" t="s">
        <v>309</v>
      </c>
      <c r="F39" s="8" t="s">
        <v>16</v>
      </c>
      <c r="G39" s="166" t="s">
        <v>312</v>
      </c>
      <c r="H3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39" s="2">
        <v>0.25</v>
      </c>
      <c r="J39" s="185">
        <v>1</v>
      </c>
      <c r="K39" s="185">
        <v>1</v>
      </c>
      <c r="L39" s="185">
        <v>1</v>
      </c>
      <c r="M39" s="16" cm="1">
        <f t="array" ref="M39">SUM(surfacing[[#This Row],[blocking]:[polish]]*surfacing_ponderation)</f>
        <v>1</v>
      </c>
      <c r="N39" s="222">
        <f>(1-surfacing[[#This Row],[Progress]])*surfacing[[#This Row],[Estimated]]</f>
        <v>0</v>
      </c>
      <c r="O39" s="189"/>
    </row>
    <row r="40" spans="1:15" ht="23.25" customHeight="1" x14ac:dyDescent="0.25">
      <c r="A40" s="175" t="str">
        <f>metaASSETS[[#This Row],[Asset Name]]</f>
        <v>flr_02</v>
      </c>
      <c r="B40" s="8" t="str">
        <f>metaASSETS[[#This Row],[Type]]</f>
        <v>Environment</v>
      </c>
      <c r="D40" s="86" t="b">
        <v>0</v>
      </c>
      <c r="E40" s="186" t="s">
        <v>309</v>
      </c>
      <c r="F40" s="8" t="s">
        <v>16</v>
      </c>
      <c r="G40" s="166" t="s">
        <v>312</v>
      </c>
      <c r="H4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0" s="2">
        <v>0.25</v>
      </c>
      <c r="J40" s="185">
        <v>1</v>
      </c>
      <c r="K40" s="185">
        <v>1</v>
      </c>
      <c r="L40" s="185">
        <v>1</v>
      </c>
      <c r="M40" s="16" cm="1">
        <f t="array" ref="M40">SUM(surfacing[[#This Row],[blocking]:[polish]]*surfacing_ponderation)</f>
        <v>1</v>
      </c>
      <c r="N40" s="222">
        <f>(1-surfacing[[#This Row],[Progress]])*surfacing[[#This Row],[Estimated]]</f>
        <v>0</v>
      </c>
      <c r="O40" s="189"/>
    </row>
    <row r="41" spans="1:15" ht="23.25" customHeight="1" x14ac:dyDescent="0.25">
      <c r="A41" s="175" t="str">
        <f>metaASSETS[[#This Row],[Asset Name]]</f>
        <v>hill</v>
      </c>
      <c r="B41" s="8" t="str">
        <f>metaASSETS[[#This Row],[Type]]</f>
        <v>Environment</v>
      </c>
      <c r="D41" s="86" t="b">
        <v>0</v>
      </c>
      <c r="E41" s="186" t="s">
        <v>309</v>
      </c>
      <c r="F41" s="8" t="s">
        <v>16</v>
      </c>
      <c r="G41" s="166" t="s">
        <v>312</v>
      </c>
      <c r="H4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1" s="2">
        <v>1</v>
      </c>
      <c r="J41" s="185">
        <v>1</v>
      </c>
      <c r="K41" s="185">
        <v>1</v>
      </c>
      <c r="L41" s="185">
        <v>1</v>
      </c>
      <c r="M41" s="16" cm="1">
        <f t="array" ref="M41">SUM(surfacing[[#This Row],[blocking]:[polish]]*surfacing_ponderation)</f>
        <v>1</v>
      </c>
      <c r="N41" s="222">
        <f>(1-surfacing[[#This Row],[Progress]])*surfacing[[#This Row],[Estimated]]</f>
        <v>0</v>
      </c>
      <c r="O41" s="189"/>
    </row>
    <row r="42" spans="1:15" ht="23.25" customHeight="1" x14ac:dyDescent="0.25">
      <c r="A42" s="175" t="str">
        <f>metaASSETS[[#This Row],[Asset Name]]</f>
        <v>house_01</v>
      </c>
      <c r="B42" s="8" t="str">
        <f>metaASSETS[[#This Row],[Type]]</f>
        <v>Environment</v>
      </c>
      <c r="D42" s="86" t="b">
        <v>0</v>
      </c>
      <c r="E42" s="186" t="s">
        <v>309</v>
      </c>
      <c r="F42" s="8" t="s">
        <v>16</v>
      </c>
      <c r="G42" s="8" t="s">
        <v>314</v>
      </c>
      <c r="H4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2" s="2">
        <v>2</v>
      </c>
      <c r="J42" s="185">
        <v>1</v>
      </c>
      <c r="K42" s="185">
        <v>1</v>
      </c>
      <c r="L42" s="185">
        <v>1</v>
      </c>
      <c r="M42" s="16" cm="1">
        <f t="array" ref="M42">SUM(surfacing[[#This Row],[blocking]:[polish]]*surfacing_ponderation)</f>
        <v>1</v>
      </c>
      <c r="N42" s="222">
        <f>(1-surfacing[[#This Row],[Progress]])*surfacing[[#This Row],[Estimated]]</f>
        <v>0</v>
      </c>
      <c r="O42" s="189"/>
    </row>
    <row r="43" spans="1:15" ht="23.25" customHeight="1" x14ac:dyDescent="0.25">
      <c r="A43" s="175" t="str">
        <f>metaASSETS[[#This Row],[Asset Name]]</f>
        <v>house_02</v>
      </c>
      <c r="B43" s="8" t="str">
        <f>metaASSETS[[#This Row],[Type]]</f>
        <v>Environment</v>
      </c>
      <c r="D43" s="86" t="b">
        <v>0</v>
      </c>
      <c r="E43" s="186" t="s">
        <v>309</v>
      </c>
      <c r="F43" s="8" t="s">
        <v>16</v>
      </c>
      <c r="G43" s="8" t="s">
        <v>313</v>
      </c>
      <c r="H4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3" s="2">
        <v>2</v>
      </c>
      <c r="J43" s="185">
        <v>1</v>
      </c>
      <c r="K43" s="185">
        <v>1</v>
      </c>
      <c r="L43" s="185">
        <v>1</v>
      </c>
      <c r="M43" s="16" cm="1">
        <f t="array" ref="M43">SUM(surfacing[[#This Row],[blocking]:[polish]]*surfacing_ponderation)</f>
        <v>1</v>
      </c>
      <c r="N43" s="222">
        <f>(1-surfacing[[#This Row],[Progress]])*surfacing[[#This Row],[Estimated]]</f>
        <v>0</v>
      </c>
      <c r="O43" s="189"/>
    </row>
    <row r="44" spans="1:15" ht="23.25" customHeight="1" x14ac:dyDescent="0.25">
      <c r="A44" s="175" t="str">
        <f>metaASSETS[[#This Row],[Asset Name]]</f>
        <v>house_03</v>
      </c>
      <c r="B44" s="8" t="str">
        <f>metaASSETS[[#This Row],[Type]]</f>
        <v>Environment</v>
      </c>
      <c r="D44" s="86" t="b">
        <v>0</v>
      </c>
      <c r="E44" s="186" t="s">
        <v>309</v>
      </c>
      <c r="F44" s="8" t="s">
        <v>16</v>
      </c>
      <c r="G44" s="8" t="s">
        <v>313</v>
      </c>
      <c r="H4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4" s="2">
        <v>2</v>
      </c>
      <c r="J44" s="185">
        <v>1</v>
      </c>
      <c r="K44" s="185">
        <v>1</v>
      </c>
      <c r="L44" s="185">
        <v>1</v>
      </c>
      <c r="M44" s="16" cm="1">
        <f t="array" ref="M44">SUM(surfacing[[#This Row],[blocking]:[polish]]*surfacing_ponderation)</f>
        <v>1</v>
      </c>
      <c r="N44" s="222">
        <f>(1-surfacing[[#This Row],[Progress]])*surfacing[[#This Row],[Estimated]]</f>
        <v>0</v>
      </c>
      <c r="O44" s="189"/>
    </row>
    <row r="45" spans="1:15" ht="23.25" customHeight="1" x14ac:dyDescent="0.25">
      <c r="A45" s="175" t="str">
        <f>metaASSETS[[#This Row],[Asset Name]]</f>
        <v>house_04</v>
      </c>
      <c r="B45" s="8" t="str">
        <f>metaASSETS[[#This Row],[Type]]</f>
        <v>Environment</v>
      </c>
      <c r="D45" s="86" t="b">
        <v>0</v>
      </c>
      <c r="E45" s="186" t="s">
        <v>309</v>
      </c>
      <c r="F45" s="8" t="s">
        <v>16</v>
      </c>
      <c r="G45" s="8" t="s">
        <v>313</v>
      </c>
      <c r="H4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5" s="2">
        <v>2</v>
      </c>
      <c r="J45" s="185">
        <v>1</v>
      </c>
      <c r="K45" s="185">
        <v>1</v>
      </c>
      <c r="L45" s="185">
        <v>1</v>
      </c>
      <c r="M45" s="16" cm="1">
        <f t="array" ref="M45">SUM(surfacing[[#This Row],[blocking]:[polish]]*surfacing_ponderation)</f>
        <v>1</v>
      </c>
      <c r="N45" s="222">
        <f>(1-surfacing[[#This Row],[Progress]])*surfacing[[#This Row],[Estimated]]</f>
        <v>0</v>
      </c>
      <c r="O45" s="189"/>
    </row>
    <row r="46" spans="1:15" ht="23.25" customHeight="1" x14ac:dyDescent="0.25">
      <c r="A46" s="175" t="str">
        <f>metaASSETS[[#This Row],[Asset Name]]</f>
        <v>house_05</v>
      </c>
      <c r="B46" s="8" t="str">
        <f>metaASSETS[[#This Row],[Type]]</f>
        <v>Environment</v>
      </c>
      <c r="D46" s="86" t="b">
        <v>0</v>
      </c>
      <c r="E46" s="186" t="s">
        <v>309</v>
      </c>
      <c r="F46" s="8" t="s">
        <v>16</v>
      </c>
      <c r="G46" s="8" t="s">
        <v>313</v>
      </c>
      <c r="H4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6" s="2">
        <v>2</v>
      </c>
      <c r="J46" s="185">
        <v>1</v>
      </c>
      <c r="K46" s="185">
        <v>1</v>
      </c>
      <c r="L46" s="185">
        <v>1</v>
      </c>
      <c r="M46" s="16" cm="1">
        <f t="array" ref="M46">SUM(surfacing[[#This Row],[blocking]:[polish]]*surfacing_ponderation)</f>
        <v>1</v>
      </c>
      <c r="N46" s="222">
        <f>(1-surfacing[[#This Row],[Progress]])*surfacing[[#This Row],[Estimated]]</f>
        <v>0</v>
      </c>
      <c r="O46" s="189"/>
    </row>
    <row r="47" spans="1:15" ht="23.25" customHeight="1" x14ac:dyDescent="0.25">
      <c r="A47" s="175" t="str">
        <f>metaASSETS[[#This Row],[Asset Name]]</f>
        <v>house_06</v>
      </c>
      <c r="B47" s="8" t="str">
        <f>metaASSETS[[#This Row],[Type]]</f>
        <v>Environment</v>
      </c>
      <c r="D47" s="86" t="b">
        <v>0</v>
      </c>
      <c r="E47" s="186" t="s">
        <v>309</v>
      </c>
      <c r="F47" s="8" t="s">
        <v>16</v>
      </c>
      <c r="G47" s="8" t="s">
        <v>313</v>
      </c>
      <c r="H4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7" s="2">
        <v>2</v>
      </c>
      <c r="J47" s="185">
        <v>1</v>
      </c>
      <c r="K47" s="185">
        <v>1</v>
      </c>
      <c r="L47" s="185">
        <v>1</v>
      </c>
      <c r="M47" s="16" cm="1">
        <f t="array" ref="M47">SUM(surfacing[[#This Row],[blocking]:[polish]]*surfacing_ponderation)</f>
        <v>1</v>
      </c>
      <c r="N47" s="222">
        <f>(1-surfacing[[#This Row],[Progress]])*surfacing[[#This Row],[Estimated]]</f>
        <v>0</v>
      </c>
      <c r="O47" s="189"/>
    </row>
    <row r="48" spans="1:15" ht="23.25" customHeight="1" x14ac:dyDescent="0.25">
      <c r="A48" s="175" t="str">
        <f>metaASSETS[[#This Row],[Asset Name]]</f>
        <v>house_07</v>
      </c>
      <c r="B48" s="8" t="str">
        <f>metaASSETS[[#This Row],[Type]]</f>
        <v>Environment</v>
      </c>
      <c r="D48" s="86" t="b">
        <v>0</v>
      </c>
      <c r="E48" s="186" t="s">
        <v>309</v>
      </c>
      <c r="F48" s="8" t="s">
        <v>16</v>
      </c>
      <c r="G48" s="8" t="s">
        <v>313</v>
      </c>
      <c r="H4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8" s="2">
        <v>2</v>
      </c>
      <c r="J48" s="185">
        <v>1</v>
      </c>
      <c r="K48" s="185">
        <v>1</v>
      </c>
      <c r="L48" s="185">
        <v>1</v>
      </c>
      <c r="M48" s="16" cm="1">
        <f t="array" ref="M48">SUM(surfacing[[#This Row],[blocking]:[polish]]*surfacing_ponderation)</f>
        <v>1</v>
      </c>
      <c r="N48" s="222">
        <f>(1-surfacing[[#This Row],[Progress]])*surfacing[[#This Row],[Estimated]]</f>
        <v>0</v>
      </c>
      <c r="O48" s="189"/>
    </row>
    <row r="49" spans="1:15" ht="23.25" customHeight="1" x14ac:dyDescent="0.25">
      <c r="A49" s="175" t="str">
        <f>metaASSETS[[#This Row],[Asset Name]]</f>
        <v>house_08</v>
      </c>
      <c r="B49" s="8" t="str">
        <f>metaASSETS[[#This Row],[Type]]</f>
        <v>Environment</v>
      </c>
      <c r="D49" s="86" t="b">
        <v>0</v>
      </c>
      <c r="E49" s="186" t="s">
        <v>309</v>
      </c>
      <c r="F49" s="8" t="s">
        <v>16</v>
      </c>
      <c r="G49" s="8" t="s">
        <v>313</v>
      </c>
      <c r="H4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49" s="2">
        <v>2</v>
      </c>
      <c r="J49" s="185">
        <v>1</v>
      </c>
      <c r="K49" s="185">
        <v>1</v>
      </c>
      <c r="L49" s="185">
        <v>1</v>
      </c>
      <c r="M49" s="16" cm="1">
        <f t="array" ref="M49">SUM(surfacing[[#This Row],[blocking]:[polish]]*surfacing_ponderation)</f>
        <v>1</v>
      </c>
      <c r="N49" s="222">
        <f>(1-surfacing[[#This Row],[Progress]])*surfacing[[#This Row],[Estimated]]</f>
        <v>0</v>
      </c>
      <c r="O49" s="189"/>
    </row>
    <row r="50" spans="1:15" ht="23.25" customHeight="1" x14ac:dyDescent="0.25">
      <c r="A50" s="175" t="str">
        <f>metaASSETS[[#This Row],[Asset Name]]</f>
        <v>arrows</v>
      </c>
      <c r="B50" s="8" t="str">
        <f>metaASSETS[[#This Row],[Type]]</f>
        <v>FX</v>
      </c>
      <c r="D50" s="86" t="b">
        <v>0</v>
      </c>
      <c r="E50" s="186" t="s">
        <v>309</v>
      </c>
      <c r="F50" s="8" t="s">
        <v>16</v>
      </c>
      <c r="G50" s="8" t="s">
        <v>313</v>
      </c>
      <c r="H5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0" s="2">
        <v>0.25</v>
      </c>
      <c r="J50" s="185">
        <v>1</v>
      </c>
      <c r="K50" s="185">
        <v>1</v>
      </c>
      <c r="L50" s="185">
        <v>1</v>
      </c>
      <c r="M50" s="16" cm="1">
        <f t="array" ref="M50">SUM(surfacing[[#This Row],[blocking]:[polish]]*surfacing_ponderation)</f>
        <v>1</v>
      </c>
      <c r="N50" s="222">
        <f>(1-surfacing[[#This Row],[Progress]])*surfacing[[#This Row],[Estimated]]</f>
        <v>0</v>
      </c>
      <c r="O50" s="189"/>
    </row>
    <row r="51" spans="1:15" ht="23.25" customHeight="1" x14ac:dyDescent="0.25">
      <c r="A51" s="175" t="str">
        <f>metaASSETS[[#This Row],[Asset Name]]</f>
        <v>plaines_01</v>
      </c>
      <c r="B51" s="8" t="str">
        <f>metaASSETS[[#This Row],[Type]]</f>
        <v>Matte Painting</v>
      </c>
      <c r="D51" s="86" t="b">
        <v>0</v>
      </c>
      <c r="E51" s="186" t="s">
        <v>309</v>
      </c>
      <c r="F51" s="8" t="s">
        <v>16</v>
      </c>
      <c r="G51" s="8" t="s">
        <v>313</v>
      </c>
      <c r="H5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1" s="2">
        <v>0</v>
      </c>
      <c r="J51" s="185">
        <v>1</v>
      </c>
      <c r="K51" s="185">
        <v>1</v>
      </c>
      <c r="L51" s="185">
        <v>1</v>
      </c>
      <c r="M51" s="16" cm="1">
        <f t="array" ref="M51">SUM(surfacing[[#This Row],[blocking]:[polish]]*surfacing_ponderation)</f>
        <v>1</v>
      </c>
      <c r="N51" s="222">
        <v>0</v>
      </c>
      <c r="O51" s="189"/>
    </row>
    <row r="52" spans="1:15" ht="23.25" customHeight="1" x14ac:dyDescent="0.25">
      <c r="A52" s="175" t="str">
        <f>metaASSETS[[#This Row],[Asset Name]]</f>
        <v>plaines_02</v>
      </c>
      <c r="B52" s="8" t="str">
        <f>metaASSETS[[#This Row],[Type]]</f>
        <v>Matte Painting</v>
      </c>
      <c r="D52" s="86" t="b">
        <v>0</v>
      </c>
      <c r="E52" s="186" t="s">
        <v>309</v>
      </c>
      <c r="F52" s="8" t="s">
        <v>16</v>
      </c>
      <c r="G52" s="8" t="s">
        <v>313</v>
      </c>
      <c r="H5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2" s="2">
        <v>0</v>
      </c>
      <c r="J52" s="185">
        <v>1</v>
      </c>
      <c r="K52" s="185">
        <v>1</v>
      </c>
      <c r="L52" s="185">
        <v>1</v>
      </c>
      <c r="M52" s="16" cm="1">
        <f t="array" ref="M52">SUM(surfacing[[#This Row],[blocking]:[polish]]*surfacing_ponderation)</f>
        <v>1</v>
      </c>
      <c r="N52" s="222">
        <f>(1-surfacing[[#This Row],[Progress]])*surfacing[[#This Row],[Estimated]]</f>
        <v>0</v>
      </c>
      <c r="O52" s="189"/>
    </row>
    <row r="53" spans="1:15" ht="23.25" customHeight="1" x14ac:dyDescent="0.25">
      <c r="A53" s="175" t="str">
        <f>metaASSETS[[#This Row],[Asset Name]]</f>
        <v>plaines_03</v>
      </c>
      <c r="B53" s="8" t="str">
        <f>metaASSETS[[#This Row],[Type]]</f>
        <v>Matte Painting</v>
      </c>
      <c r="D53" s="86" t="b">
        <v>0</v>
      </c>
      <c r="E53" s="186" t="s">
        <v>309</v>
      </c>
      <c r="F53" s="8" t="s">
        <v>16</v>
      </c>
      <c r="G53" s="8" t="s">
        <v>313</v>
      </c>
      <c r="H5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3" s="2">
        <v>0</v>
      </c>
      <c r="J53" s="185">
        <v>1</v>
      </c>
      <c r="K53" s="185">
        <v>1</v>
      </c>
      <c r="L53" s="185">
        <v>1</v>
      </c>
      <c r="M53" s="16" cm="1">
        <f t="array" ref="M53">SUM(surfacing[[#This Row],[blocking]:[polish]]*surfacing_ponderation)</f>
        <v>1</v>
      </c>
      <c r="N53" s="222">
        <f>(1-surfacing[[#This Row],[Progress]])*surfacing[[#This Row],[Estimated]]</f>
        <v>0</v>
      </c>
      <c r="O53" s="189"/>
    </row>
    <row r="54" spans="1:15" ht="23.25" customHeight="1" x14ac:dyDescent="0.25">
      <c r="A54" s="175" t="str">
        <f>metaASSETS[[#This Row],[Asset Name]]</f>
        <v>accessory_01</v>
      </c>
      <c r="B54" s="8" t="str">
        <f>metaASSETS[[#This Row],[Type]]</f>
        <v>Prop</v>
      </c>
      <c r="D54" s="86" t="b">
        <v>0</v>
      </c>
      <c r="E54" s="186" t="s">
        <v>309</v>
      </c>
      <c r="F54" s="8" t="s">
        <v>16</v>
      </c>
      <c r="G54" s="8" t="s">
        <v>313</v>
      </c>
      <c r="H5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4" s="2">
        <v>0.75</v>
      </c>
      <c r="J54" s="185">
        <v>1</v>
      </c>
      <c r="K54" s="185">
        <v>1</v>
      </c>
      <c r="L54" s="185">
        <v>1</v>
      </c>
      <c r="M54" s="16" cm="1">
        <f t="array" ref="M54">SUM(surfacing[[#This Row],[blocking]:[polish]]*surfacing_ponderation)</f>
        <v>1</v>
      </c>
      <c r="N54" s="222">
        <f>(1-surfacing[[#This Row],[Progress]])*surfacing[[#This Row],[Estimated]]</f>
        <v>0</v>
      </c>
      <c r="O54" s="189"/>
    </row>
    <row r="55" spans="1:15" ht="23.25" customHeight="1" x14ac:dyDescent="0.25">
      <c r="A55" s="175" t="str">
        <f>metaASSETS[[#This Row],[Asset Name]]</f>
        <v>accessory_02</v>
      </c>
      <c r="B55" s="8" t="str">
        <f>metaASSETS[[#This Row],[Type]]</f>
        <v>Prop</v>
      </c>
      <c r="D55" s="86" t="b">
        <v>0</v>
      </c>
      <c r="E55" s="186" t="s">
        <v>309</v>
      </c>
      <c r="F55" s="8" t="s">
        <v>16</v>
      </c>
      <c r="G55" s="8" t="s">
        <v>313</v>
      </c>
      <c r="H5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5" s="2">
        <v>0.75</v>
      </c>
      <c r="J55" s="185">
        <v>1</v>
      </c>
      <c r="K55" s="185">
        <v>1</v>
      </c>
      <c r="L55" s="185">
        <v>1</v>
      </c>
      <c r="M55" s="16" cm="1">
        <f t="array" ref="M55">SUM(surfacing[[#This Row],[blocking]:[polish]]*surfacing_ponderation)</f>
        <v>1</v>
      </c>
      <c r="N55" s="222">
        <f>(1-surfacing[[#This Row],[Progress]])*surfacing[[#This Row],[Estimated]]</f>
        <v>0</v>
      </c>
      <c r="O55" s="189"/>
    </row>
    <row r="56" spans="1:15" ht="23.25" customHeight="1" x14ac:dyDescent="0.25">
      <c r="A56" s="175" t="str">
        <f>metaASSETS[[#This Row],[Asset Name]]</f>
        <v>accessory_03</v>
      </c>
      <c r="B56" s="8" t="str">
        <f>metaASSETS[[#This Row],[Type]]</f>
        <v>Prop</v>
      </c>
      <c r="D56" s="86" t="b">
        <v>0</v>
      </c>
      <c r="E56" s="186" t="s">
        <v>309</v>
      </c>
      <c r="F56" s="8" t="s">
        <v>16</v>
      </c>
      <c r="G56" s="8" t="s">
        <v>313</v>
      </c>
      <c r="H5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6" s="2">
        <v>0.75</v>
      </c>
      <c r="J56" s="185">
        <v>1</v>
      </c>
      <c r="K56" s="185">
        <v>1</v>
      </c>
      <c r="L56" s="185">
        <v>1</v>
      </c>
      <c r="M56" s="16" cm="1">
        <f t="array" ref="M56">SUM(surfacing[[#This Row],[blocking]:[polish]]*surfacing_ponderation)</f>
        <v>1</v>
      </c>
      <c r="N56" s="222">
        <f>(1-surfacing[[#This Row],[Progress]])*surfacing[[#This Row],[Estimated]]</f>
        <v>0</v>
      </c>
      <c r="O56" s="189"/>
    </row>
    <row r="57" spans="1:15" ht="23.25" customHeight="1" x14ac:dyDescent="0.25">
      <c r="A57" s="175" t="str">
        <f>metaASSETS[[#This Row],[Asset Name]]</f>
        <v>accessory_04</v>
      </c>
      <c r="B57" s="8" t="str">
        <f>metaASSETS[[#This Row],[Type]]</f>
        <v>Prop</v>
      </c>
      <c r="D57" s="86" t="b">
        <v>0</v>
      </c>
      <c r="E57" s="186" t="s">
        <v>309</v>
      </c>
      <c r="F57" s="8" t="s">
        <v>16</v>
      </c>
      <c r="G57" s="8" t="s">
        <v>313</v>
      </c>
      <c r="H5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7" s="2">
        <v>0.75</v>
      </c>
      <c r="J57" s="185">
        <v>1</v>
      </c>
      <c r="K57" s="185">
        <v>1</v>
      </c>
      <c r="L57" s="185">
        <v>1</v>
      </c>
      <c r="M57" s="16" cm="1">
        <f t="array" ref="M57">SUM(surfacing[[#This Row],[blocking]:[polish]]*surfacing_ponderation)</f>
        <v>1</v>
      </c>
      <c r="N57" s="222">
        <f>(1-surfacing[[#This Row],[Progress]])*surfacing[[#This Row],[Estimated]]</f>
        <v>0</v>
      </c>
      <c r="O57" s="189"/>
    </row>
    <row r="58" spans="1:15" ht="23.25" customHeight="1" x14ac:dyDescent="0.25">
      <c r="A58" s="175" t="str">
        <f>metaASSETS[[#This Row],[Asset Name]]</f>
        <v>arrow</v>
      </c>
      <c r="B58" s="8" t="str">
        <f>metaASSETS[[#This Row],[Type]]</f>
        <v>Prop</v>
      </c>
      <c r="D58" s="86" t="b">
        <v>0</v>
      </c>
      <c r="E58" s="186" t="s">
        <v>309</v>
      </c>
      <c r="F58" s="8" t="s">
        <v>16</v>
      </c>
      <c r="G58" s="8" t="s">
        <v>313</v>
      </c>
      <c r="H5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8" s="2">
        <v>0.5</v>
      </c>
      <c r="J58" s="185">
        <v>1</v>
      </c>
      <c r="K58" s="185">
        <v>1</v>
      </c>
      <c r="L58" s="185">
        <v>1</v>
      </c>
      <c r="M58" s="16" cm="1">
        <f t="array" ref="M58">SUM(surfacing[[#This Row],[blocking]:[polish]]*surfacing_ponderation)</f>
        <v>1</v>
      </c>
      <c r="N58" s="222">
        <f>(1-surfacing[[#This Row],[Progress]])*surfacing[[#This Row],[Estimated]]</f>
        <v>0</v>
      </c>
      <c r="O58" s="189"/>
    </row>
    <row r="59" spans="1:15" ht="23.25" customHeight="1" x14ac:dyDescent="0.25">
      <c r="A59" s="175" t="str">
        <f>metaASSETS[[#This Row],[Asset Name]]</f>
        <v>banner</v>
      </c>
      <c r="B59" s="8" t="str">
        <f>metaASSETS[[#This Row],[Type]]</f>
        <v>Prop</v>
      </c>
      <c r="D59" s="86" t="b">
        <v>0</v>
      </c>
      <c r="E59" s="186" t="s">
        <v>309</v>
      </c>
      <c r="F59" s="8" t="s">
        <v>16</v>
      </c>
      <c r="G59" s="8" t="s">
        <v>313</v>
      </c>
      <c r="H5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59" s="2">
        <v>1</v>
      </c>
      <c r="J59" s="185">
        <v>1</v>
      </c>
      <c r="K59" s="185">
        <v>1</v>
      </c>
      <c r="L59" s="185">
        <v>1</v>
      </c>
      <c r="M59" s="16" cm="1">
        <f t="array" ref="M59">SUM(surfacing[[#This Row],[blocking]:[polish]]*surfacing_ponderation)</f>
        <v>1</v>
      </c>
      <c r="N59" s="222">
        <f>(1-surfacing[[#This Row],[Progress]])*surfacing[[#This Row],[Estimated]]</f>
        <v>0</v>
      </c>
      <c r="O59" s="189"/>
    </row>
    <row r="60" spans="1:15" ht="23.25" customHeight="1" x14ac:dyDescent="0.25">
      <c r="A60" s="175" t="str">
        <f>metaASSETS[[#This Row],[Asset Name]]</f>
        <v>bow</v>
      </c>
      <c r="B60" s="8" t="str">
        <f>metaASSETS[[#This Row],[Type]]</f>
        <v>Prop</v>
      </c>
      <c r="D60" s="86" t="b">
        <v>0</v>
      </c>
      <c r="E60" s="186" t="s">
        <v>309</v>
      </c>
      <c r="F60" s="8" t="s">
        <v>16</v>
      </c>
      <c r="G60" s="8" t="s">
        <v>313</v>
      </c>
      <c r="H6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0" s="2">
        <v>1</v>
      </c>
      <c r="J60" s="185">
        <v>1</v>
      </c>
      <c r="K60" s="185">
        <v>1</v>
      </c>
      <c r="L60" s="185">
        <v>1</v>
      </c>
      <c r="M60" s="16" cm="1">
        <f t="array" ref="M60">SUM(surfacing[[#This Row],[blocking]:[polish]]*surfacing_ponderation)</f>
        <v>1</v>
      </c>
      <c r="N60" s="222">
        <f>(1-surfacing[[#This Row],[Progress]])*surfacing[[#This Row],[Estimated]]</f>
        <v>0</v>
      </c>
      <c r="O60" s="189"/>
    </row>
    <row r="61" spans="1:15" ht="23.25" customHeight="1" x14ac:dyDescent="0.25">
      <c r="A61" s="175" t="str">
        <f>metaASSETS[[#This Row],[Asset Name]]</f>
        <v>chains_01</v>
      </c>
      <c r="B61" s="8" t="str">
        <f>metaASSETS[[#This Row],[Type]]</f>
        <v>Prop</v>
      </c>
      <c r="D61" s="86" t="b">
        <v>0</v>
      </c>
      <c r="E61" s="186" t="s">
        <v>309</v>
      </c>
      <c r="F61" s="8" t="s">
        <v>16</v>
      </c>
      <c r="G61" s="8" t="s">
        <v>313</v>
      </c>
      <c r="H6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1" s="2">
        <v>3</v>
      </c>
      <c r="J61" s="185">
        <v>1</v>
      </c>
      <c r="K61" s="185">
        <v>1</v>
      </c>
      <c r="L61" s="185">
        <v>1</v>
      </c>
      <c r="M61" s="16" cm="1">
        <f t="array" ref="M61">SUM(surfacing[[#This Row],[blocking]:[polish]]*surfacing_ponderation)</f>
        <v>1</v>
      </c>
      <c r="N61" s="222">
        <f>(1-surfacing[[#This Row],[Progress]])*surfacing[[#This Row],[Estimated]]</f>
        <v>0</v>
      </c>
      <c r="O61" s="189"/>
    </row>
    <row r="62" spans="1:15" ht="23.25" customHeight="1" x14ac:dyDescent="0.25">
      <c r="A62" s="175" t="str">
        <f>metaASSETS[[#This Row],[Asset Name]]</f>
        <v>chains_02</v>
      </c>
      <c r="B62" s="8" t="str">
        <f>metaASSETS[[#This Row],[Type]]</f>
        <v>Prop</v>
      </c>
      <c r="D62" s="86" t="b">
        <v>0</v>
      </c>
      <c r="E62" s="186" t="s">
        <v>309</v>
      </c>
      <c r="F62" s="8" t="s">
        <v>16</v>
      </c>
      <c r="G62" s="8" t="s">
        <v>313</v>
      </c>
      <c r="H6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2" s="2">
        <v>0</v>
      </c>
      <c r="J62" s="185">
        <v>1</v>
      </c>
      <c r="K62" s="185">
        <v>1</v>
      </c>
      <c r="L62" s="185">
        <v>1</v>
      </c>
      <c r="M62" s="16" cm="1">
        <f t="array" ref="M62">SUM(surfacing[[#This Row],[blocking]:[polish]]*surfacing_ponderation)</f>
        <v>1</v>
      </c>
      <c r="N62" s="222">
        <f>(1-surfacing[[#This Row],[Progress]])*surfacing[[#This Row],[Estimated]]</f>
        <v>0</v>
      </c>
      <c r="O62" s="189"/>
    </row>
    <row r="63" spans="1:15" ht="23.25" customHeight="1" x14ac:dyDescent="0.25">
      <c r="A63" s="175" t="str">
        <f>metaASSETS[[#This Row],[Asset Name]]</f>
        <v>chains_break</v>
      </c>
      <c r="B63" s="8" t="str">
        <f>metaASSETS[[#This Row],[Type]]</f>
        <v>Prop</v>
      </c>
      <c r="D63" s="86" t="b">
        <v>0</v>
      </c>
      <c r="E63" s="186" t="s">
        <v>309</v>
      </c>
      <c r="F63" s="8" t="s">
        <v>16</v>
      </c>
      <c r="G63" s="8" t="s">
        <v>313</v>
      </c>
      <c r="H6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3" s="2">
        <v>3</v>
      </c>
      <c r="J63" s="185">
        <v>1</v>
      </c>
      <c r="K63" s="185">
        <v>1</v>
      </c>
      <c r="L63" s="185">
        <v>1</v>
      </c>
      <c r="M63" s="16" cm="1">
        <f t="array" ref="M63">SUM(surfacing[[#This Row],[blocking]:[polish]]*surfacing_ponderation)</f>
        <v>1</v>
      </c>
      <c r="N63" s="222">
        <f>(1-surfacing[[#This Row],[Progress]])*surfacing[[#This Row],[Estimated]]</f>
        <v>0</v>
      </c>
      <c r="O63" s="189"/>
    </row>
    <row r="64" spans="1:15" ht="23.25" customHeight="1" x14ac:dyDescent="0.25">
      <c r="A64" s="175" t="str">
        <f>metaASSETS[[#This Row],[Asset Name]]</f>
        <v>helmet_eng_01</v>
      </c>
      <c r="B64" s="8" t="str">
        <f>metaASSETS[[#This Row],[Type]]</f>
        <v>Prop</v>
      </c>
      <c r="D64" s="86" t="b">
        <v>0</v>
      </c>
      <c r="E64" s="186" t="s">
        <v>309</v>
      </c>
      <c r="F64" s="8" t="s">
        <v>16</v>
      </c>
      <c r="G64" s="8" t="s">
        <v>313</v>
      </c>
      <c r="H6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4" s="2">
        <v>1</v>
      </c>
      <c r="J64" s="185">
        <v>1</v>
      </c>
      <c r="K64" s="185">
        <v>1</v>
      </c>
      <c r="L64" s="185">
        <v>1</v>
      </c>
      <c r="M64" s="16" cm="1">
        <f t="array" ref="M64">SUM(surfacing[[#This Row],[blocking]:[polish]]*surfacing_ponderation)</f>
        <v>1</v>
      </c>
      <c r="N64" s="222">
        <f>(1-surfacing[[#This Row],[Progress]])*surfacing[[#This Row],[Estimated]]</f>
        <v>0</v>
      </c>
      <c r="O64" s="189"/>
    </row>
    <row r="65" spans="1:15" ht="23.25" customHeight="1" x14ac:dyDescent="0.25">
      <c r="A65" s="175" t="str">
        <f>metaASSETS[[#This Row],[Asset Name]]</f>
        <v>helmet_eng_02</v>
      </c>
      <c r="B65" s="8" t="str">
        <f>metaASSETS[[#This Row],[Type]]</f>
        <v>Prop</v>
      </c>
      <c r="D65" s="86" t="b">
        <v>0</v>
      </c>
      <c r="E65" s="186" t="s">
        <v>309</v>
      </c>
      <c r="F65" s="8" t="s">
        <v>16</v>
      </c>
      <c r="G65" s="8" t="s">
        <v>313</v>
      </c>
      <c r="H6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5" s="2">
        <v>0.5</v>
      </c>
      <c r="J65" s="185">
        <v>1</v>
      </c>
      <c r="K65" s="185">
        <v>1</v>
      </c>
      <c r="L65" s="185">
        <v>1</v>
      </c>
      <c r="M65" s="16" cm="1">
        <f t="array" ref="M65">SUM(surfacing[[#This Row],[blocking]:[polish]]*surfacing_ponderation)</f>
        <v>1</v>
      </c>
      <c r="N65" s="222">
        <f>(1-surfacing[[#This Row],[Progress]])*surfacing[[#This Row],[Estimated]]</f>
        <v>0</v>
      </c>
      <c r="O65" s="189"/>
    </row>
    <row r="66" spans="1:15" ht="23.25" customHeight="1" x14ac:dyDescent="0.25">
      <c r="A66" s="175" t="str">
        <f>metaASSETS[[#This Row],[Asset Name]]</f>
        <v>helmet_fr_01</v>
      </c>
      <c r="B66" s="8" t="str">
        <f>metaASSETS[[#This Row],[Type]]</f>
        <v>Prop</v>
      </c>
      <c r="D66" s="86" t="b">
        <v>0</v>
      </c>
      <c r="E66" s="186" t="s">
        <v>309</v>
      </c>
      <c r="F66" s="8" t="s">
        <v>16</v>
      </c>
      <c r="G66" s="8" t="s">
        <v>313</v>
      </c>
      <c r="H6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6" s="2">
        <v>0.5</v>
      </c>
      <c r="J66" s="185">
        <v>1</v>
      </c>
      <c r="K66" s="185">
        <v>1</v>
      </c>
      <c r="L66" s="185">
        <v>1</v>
      </c>
      <c r="M66" s="16" cm="1">
        <f t="array" ref="M66">SUM(surfacing[[#This Row],[blocking]:[polish]]*surfacing_ponderation)</f>
        <v>1</v>
      </c>
      <c r="N66" s="222">
        <f>(1-surfacing[[#This Row],[Progress]])*surfacing[[#This Row],[Estimated]]</f>
        <v>0</v>
      </c>
      <c r="O66" s="189"/>
    </row>
    <row r="67" spans="1:15" ht="23.25" customHeight="1" x14ac:dyDescent="0.25">
      <c r="A67" s="175" t="str">
        <f>metaASSETS[[#This Row],[Asset Name]]</f>
        <v>helmet_fr_02</v>
      </c>
      <c r="B67" s="8" t="str">
        <f>metaASSETS[[#This Row],[Type]]</f>
        <v>Prop</v>
      </c>
      <c r="D67" s="86" t="b">
        <v>0</v>
      </c>
      <c r="E67" s="186" t="s">
        <v>309</v>
      </c>
      <c r="F67" s="8" t="s">
        <v>16</v>
      </c>
      <c r="G67" s="8" t="s">
        <v>313</v>
      </c>
      <c r="H6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7" s="2">
        <v>0.5</v>
      </c>
      <c r="J67" s="185">
        <v>1</v>
      </c>
      <c r="K67" s="185">
        <v>1</v>
      </c>
      <c r="L67" s="185">
        <v>1</v>
      </c>
      <c r="M67" s="16" cm="1">
        <f t="array" ref="M67">SUM(surfacing[[#This Row],[blocking]:[polish]]*surfacing_ponderation)</f>
        <v>1</v>
      </c>
      <c r="N67" s="222">
        <f>(1-surfacing[[#This Row],[Progress]])*surfacing[[#This Row],[Estimated]]</f>
        <v>0</v>
      </c>
      <c r="O67" s="189"/>
    </row>
    <row r="68" spans="1:15" ht="23.25" customHeight="1" x14ac:dyDescent="0.25">
      <c r="A68" s="175" t="str">
        <f>metaASSETS[[#This Row],[Asset Name]]</f>
        <v>helmet_fr_03</v>
      </c>
      <c r="B68" s="8" t="str">
        <f>metaASSETS[[#This Row],[Type]]</f>
        <v>Prop</v>
      </c>
      <c r="D68" s="86" t="b">
        <v>0</v>
      </c>
      <c r="E68" s="186" t="s">
        <v>309</v>
      </c>
      <c r="F68" s="8" t="s">
        <v>16</v>
      </c>
      <c r="G68" s="8" t="s">
        <v>313</v>
      </c>
      <c r="H6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8" s="2">
        <v>0.5</v>
      </c>
      <c r="J68" s="185">
        <v>1</v>
      </c>
      <c r="K68" s="185">
        <v>1</v>
      </c>
      <c r="L68" s="185">
        <v>1</v>
      </c>
      <c r="M68" s="16" cm="1">
        <f t="array" ref="M68">SUM(surfacing[[#This Row],[blocking]:[polish]]*surfacing_ponderation)</f>
        <v>1</v>
      </c>
      <c r="N68" s="222">
        <f>(1-surfacing[[#This Row],[Progress]])*surfacing[[#This Row],[Estimated]]</f>
        <v>0</v>
      </c>
      <c r="O68" s="189"/>
    </row>
    <row r="69" spans="1:15" ht="23.25" customHeight="1" x14ac:dyDescent="0.25">
      <c r="A69" s="175" t="str">
        <f>metaASSETS[[#This Row],[Asset Name]]</f>
        <v>mace</v>
      </c>
      <c r="B69" s="8" t="str">
        <f>metaASSETS[[#This Row],[Type]]</f>
        <v>Prop</v>
      </c>
      <c r="D69" s="86" t="b">
        <v>0</v>
      </c>
      <c r="E69" s="186" t="s">
        <v>309</v>
      </c>
      <c r="F69" s="8" t="s">
        <v>16</v>
      </c>
      <c r="G69" s="8" t="s">
        <v>313</v>
      </c>
      <c r="H69"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69" s="2">
        <v>1</v>
      </c>
      <c r="J69" s="185">
        <v>1</v>
      </c>
      <c r="K69" s="185">
        <v>1</v>
      </c>
      <c r="L69" s="185">
        <v>1</v>
      </c>
      <c r="M69" s="16" cm="1">
        <f t="array" ref="M69">SUM(surfacing[[#This Row],[blocking]:[polish]]*surfacing_ponderation)</f>
        <v>1</v>
      </c>
      <c r="N69" s="222">
        <f>(1-surfacing[[#This Row],[Progress]])*surfacing[[#This Row],[Estimated]]</f>
        <v>0</v>
      </c>
      <c r="O69" s="189"/>
    </row>
    <row r="70" spans="1:15" ht="23.25" customHeight="1" x14ac:dyDescent="0.25">
      <c r="A70" s="175" t="str">
        <f>metaASSETS[[#This Row],[Asset Name]]</f>
        <v>shield</v>
      </c>
      <c r="B70" s="8" t="str">
        <f>metaASSETS[[#This Row],[Type]]</f>
        <v>Prop</v>
      </c>
      <c r="D70" s="86" t="b">
        <v>0</v>
      </c>
      <c r="E70" s="186" t="s">
        <v>309</v>
      </c>
      <c r="F70" s="8" t="s">
        <v>16</v>
      </c>
      <c r="G70" s="8" t="s">
        <v>313</v>
      </c>
      <c r="H70"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0" s="2">
        <v>1</v>
      </c>
      <c r="J70" s="185">
        <v>1</v>
      </c>
      <c r="K70" s="185">
        <v>1</v>
      </c>
      <c r="L70" s="185">
        <v>1</v>
      </c>
      <c r="M70" s="16" cm="1">
        <f t="array" ref="M70">SUM(surfacing[[#This Row],[blocking]:[polish]]*surfacing_ponderation)</f>
        <v>1</v>
      </c>
      <c r="N70" s="222">
        <f>(1-surfacing[[#This Row],[Progress]])*surfacing[[#This Row],[Estimated]]</f>
        <v>0</v>
      </c>
      <c r="O70" s="189"/>
    </row>
    <row r="71" spans="1:15" ht="23.25" customHeight="1" x14ac:dyDescent="0.25">
      <c r="A71" s="175" t="str">
        <f>metaASSETS[[#This Row],[Asset Name]]</f>
        <v>swrd</v>
      </c>
      <c r="B71" s="8" t="str">
        <f>metaASSETS[[#This Row],[Type]]</f>
        <v>Prop</v>
      </c>
      <c r="D71" s="86" t="b">
        <v>0</v>
      </c>
      <c r="E71" s="186" t="s">
        <v>309</v>
      </c>
      <c r="F71" s="8" t="s">
        <v>16</v>
      </c>
      <c r="G71" s="8" t="s">
        <v>313</v>
      </c>
      <c r="H71"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1" s="2">
        <v>2</v>
      </c>
      <c r="J71" s="185">
        <v>1</v>
      </c>
      <c r="K71" s="185">
        <v>1</v>
      </c>
      <c r="L71" s="185">
        <v>1</v>
      </c>
      <c r="M71" s="16" cm="1">
        <f t="array" ref="M71">SUM(surfacing[[#This Row],[blocking]:[polish]]*surfacing_ponderation)</f>
        <v>1</v>
      </c>
      <c r="N71" s="222">
        <f>(1-surfacing[[#This Row],[Progress]])*surfacing[[#This Row],[Estimated]]</f>
        <v>0</v>
      </c>
      <c r="O71" s="189"/>
    </row>
    <row r="72" spans="1:15" ht="23.25" customHeight="1" x14ac:dyDescent="0.25">
      <c r="A72" s="175" t="str">
        <f>metaASSETS[[#This Row],[Asset Name]]</f>
        <v>swrd_01</v>
      </c>
      <c r="B72" s="8" t="str">
        <f>metaASSETS[[#This Row],[Type]]</f>
        <v>Prop</v>
      </c>
      <c r="D72" s="86" t="b">
        <v>0</v>
      </c>
      <c r="E72" s="186" t="s">
        <v>309</v>
      </c>
      <c r="F72" s="8" t="s">
        <v>16</v>
      </c>
      <c r="G72" s="8" t="s">
        <v>313</v>
      </c>
      <c r="H72"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2" s="2">
        <v>1</v>
      </c>
      <c r="J72" s="185">
        <v>1</v>
      </c>
      <c r="K72" s="185">
        <v>1</v>
      </c>
      <c r="L72" s="185">
        <v>1</v>
      </c>
      <c r="M72" s="16" cm="1">
        <f t="array" ref="M72">SUM(surfacing[[#This Row],[blocking]:[polish]]*surfacing_ponderation)</f>
        <v>1</v>
      </c>
      <c r="N72" s="222">
        <f>(1-surfacing[[#This Row],[Progress]])*surfacing[[#This Row],[Estimated]]</f>
        <v>0</v>
      </c>
      <c r="O72" s="189"/>
    </row>
    <row r="73" spans="1:15" ht="23.25" customHeight="1" x14ac:dyDescent="0.25">
      <c r="A73" s="175" t="str">
        <f>metaASSETS[[#This Row],[Asset Name]]</f>
        <v>weapon_01</v>
      </c>
      <c r="B73" s="8" t="str">
        <f>metaASSETS[[#This Row],[Type]]</f>
        <v>Prop</v>
      </c>
      <c r="D73" s="86" t="b">
        <v>0</v>
      </c>
      <c r="E73" s="186" t="s">
        <v>309</v>
      </c>
      <c r="F73" s="8" t="s">
        <v>16</v>
      </c>
      <c r="G73" s="8" t="s">
        <v>313</v>
      </c>
      <c r="H73"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3" s="2">
        <v>0.5</v>
      </c>
      <c r="J73" s="185">
        <v>1</v>
      </c>
      <c r="K73" s="185">
        <v>1</v>
      </c>
      <c r="L73" s="185">
        <v>1</v>
      </c>
      <c r="M73" s="16" cm="1">
        <f t="array" ref="M73">SUM(surfacing[[#This Row],[blocking]:[polish]]*surfacing_ponderation)</f>
        <v>1</v>
      </c>
      <c r="N73" s="222">
        <f>(1-surfacing[[#This Row],[Progress]])*surfacing[[#This Row],[Estimated]]</f>
        <v>0</v>
      </c>
      <c r="O73" s="189"/>
    </row>
    <row r="74" spans="1:15" ht="23.25" customHeight="1" x14ac:dyDescent="0.25">
      <c r="A74" s="175" t="str">
        <f>metaASSETS[[#This Row],[Asset Name]]</f>
        <v>weapon_02</v>
      </c>
      <c r="B74" s="8" t="str">
        <f>metaASSETS[[#This Row],[Type]]</f>
        <v>Prop</v>
      </c>
      <c r="D74" s="86" t="b">
        <v>0</v>
      </c>
      <c r="E74" s="186" t="s">
        <v>309</v>
      </c>
      <c r="F74" s="8" t="s">
        <v>16</v>
      </c>
      <c r="G74" s="8" t="s">
        <v>313</v>
      </c>
      <c r="H74"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4" s="2">
        <v>0.5</v>
      </c>
      <c r="J74" s="185">
        <v>1</v>
      </c>
      <c r="K74" s="185">
        <v>1</v>
      </c>
      <c r="L74" s="185">
        <v>1</v>
      </c>
      <c r="M74" s="16" cm="1">
        <f t="array" ref="M74">SUM(surfacing[[#This Row],[blocking]:[polish]]*surfacing_ponderation)</f>
        <v>1</v>
      </c>
      <c r="N74" s="222">
        <f>(1-surfacing[[#This Row],[Progress]])*surfacing[[#This Row],[Estimated]]</f>
        <v>0</v>
      </c>
      <c r="O74" s="189"/>
    </row>
    <row r="75" spans="1:15" ht="23.25" customHeight="1" x14ac:dyDescent="0.25">
      <c r="A75" s="175" t="str">
        <f>metaASSETS[[#This Row],[Asset Name]]</f>
        <v>weapon_03</v>
      </c>
      <c r="B75" s="8" t="str">
        <f>metaASSETS[[#This Row],[Type]]</f>
        <v>Prop</v>
      </c>
      <c r="D75" s="86" t="b">
        <v>0</v>
      </c>
      <c r="E75" s="186" t="s">
        <v>309</v>
      </c>
      <c r="F75" s="8" t="s">
        <v>16</v>
      </c>
      <c r="G75" s="8" t="s">
        <v>313</v>
      </c>
      <c r="H75"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5" s="2">
        <v>0.5</v>
      </c>
      <c r="J75" s="185">
        <v>1</v>
      </c>
      <c r="K75" s="185">
        <v>1</v>
      </c>
      <c r="L75" s="185">
        <v>1</v>
      </c>
      <c r="M75" s="16" cm="1">
        <f t="array" ref="M75">SUM(surfacing[[#This Row],[blocking]:[polish]]*surfacing_ponderation)</f>
        <v>1</v>
      </c>
      <c r="N75" s="222">
        <f>(1-surfacing[[#This Row],[Progress]])*surfacing[[#This Row],[Estimated]]</f>
        <v>0</v>
      </c>
      <c r="O75" s="189"/>
    </row>
    <row r="76" spans="1:15" ht="23.25" customHeight="1" x14ac:dyDescent="0.25">
      <c r="A76" s="175" t="str">
        <f>metaASSETS[[#This Row],[Asset Name]]</f>
        <v>weapon_04</v>
      </c>
      <c r="B76" s="8" t="str">
        <f>metaASSETS[[#This Row],[Type]]</f>
        <v>Prop</v>
      </c>
      <c r="D76" s="86" t="b">
        <v>0</v>
      </c>
      <c r="E76" s="186" t="s">
        <v>309</v>
      </c>
      <c r="F76" s="8" t="s">
        <v>16</v>
      </c>
      <c r="G76" s="8" t="s">
        <v>313</v>
      </c>
      <c r="H76"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6" s="2">
        <v>0.5</v>
      </c>
      <c r="J76" s="185">
        <v>1</v>
      </c>
      <c r="K76" s="185">
        <v>1</v>
      </c>
      <c r="L76" s="185">
        <v>1</v>
      </c>
      <c r="M76" s="16" cm="1">
        <f t="array" ref="M76">SUM(surfacing[[#This Row],[blocking]:[polish]]*surfacing_ponderation)</f>
        <v>1</v>
      </c>
      <c r="N76" s="222">
        <f>(1-surfacing[[#This Row],[Progress]])*surfacing[[#This Row],[Estimated]]</f>
        <v>0</v>
      </c>
      <c r="O76" s="189"/>
    </row>
    <row r="77" spans="1:15" ht="23.25" customHeight="1" x14ac:dyDescent="0.25">
      <c r="A77" s="175" t="str">
        <f>metaASSETS[[#This Row],[Asset Name]]</f>
        <v>weapon_05</v>
      </c>
      <c r="B77" s="8" t="str">
        <f>metaASSETS[[#This Row],[Type]]</f>
        <v>Prop</v>
      </c>
      <c r="D77" s="86" t="b">
        <v>0</v>
      </c>
      <c r="E77" s="186" t="s">
        <v>309</v>
      </c>
      <c r="F77" s="8" t="s">
        <v>16</v>
      </c>
      <c r="G77" s="8" t="s">
        <v>312</v>
      </c>
      <c r="H77"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Approved</v>
      </c>
      <c r="I77" s="2">
        <v>0.5</v>
      </c>
      <c r="J77" s="185">
        <v>1</v>
      </c>
      <c r="K77" s="185">
        <v>1</v>
      </c>
      <c r="L77" s="185">
        <v>1</v>
      </c>
      <c r="M77" s="16" cm="1">
        <f t="array" ref="M77">SUM(surfacing[[#This Row],[blocking]:[polish]]*surfacing_ponderation)</f>
        <v>1</v>
      </c>
      <c r="N77" s="222">
        <f>(1-surfacing[[#This Row],[Progress]])*surfacing[[#This Row],[Estimated]]</f>
        <v>0</v>
      </c>
      <c r="O77" s="189"/>
    </row>
    <row r="78" spans="1:15" ht="23.25" customHeight="1" x14ac:dyDescent="0.25">
      <c r="A78" s="175" t="str">
        <f>metaASSETS[[#This Row],[Asset Name]]</f>
        <v>broken_vitrail</v>
      </c>
      <c r="B78" s="8" t="str">
        <f>metaASSETS[[#This Row],[Type]]</f>
        <v>Prop</v>
      </c>
      <c r="D78" s="86" t="b">
        <v>0</v>
      </c>
      <c r="E78" s="186" t="s">
        <v>324</v>
      </c>
      <c r="F78" s="8" t="s">
        <v>326</v>
      </c>
      <c r="G78" s="8" t="s">
        <v>312</v>
      </c>
      <c r="H78" s="2" t="str">
        <f>IF(
    NOT(ISBLANK(surfacing[[#This Row],[Commentaires]])), "Needs Fix",
    IF(surfacing[[#This Row],[Review]]&lt;&gt;"inactive", surfacing[[#This Row],[Review]],
        IF(surfacing[[#This Row],[Progress]]=100%, "Pending Review",
            IF(
                AND(0%&lt;surfacing[[#This Row],[Progress]], surfacing[[#This Row],[Progress]]&lt;100%), "In Progress",
                IF(
                    modeling[[#This Row],[Status]]="Approved", "Ready",
                    IF(
                        AND(modeling[[#This Row],[Progress]]&gt;=upcomingThreshold, modeling[[#This Row],[Progress]]&lt;=100%), "Upcoming",
                        IF(modeling[[#This Row],[Progress]]&lt;upcomingThreshold, "Waiting")
                    )
                )
            )
        )
    )
)</f>
        <v>In Progress</v>
      </c>
      <c r="I78" s="2">
        <v>0.5</v>
      </c>
      <c r="J78" s="185">
        <v>1</v>
      </c>
      <c r="K78" s="185">
        <v>1</v>
      </c>
      <c r="L78" s="185">
        <v>0.6</v>
      </c>
      <c r="M78" s="16" cm="1">
        <f t="array" ref="M78">SUM(surfacing[[#This Row],[blocking]:[polish]]*surfacing_ponderation)</f>
        <v>0.8</v>
      </c>
      <c r="N78" s="222">
        <f>(1-surfacing[[#This Row],[Progress]])*surfacing[[#This Row],[Estimated]]</f>
        <v>9.9999999999999978E-2</v>
      </c>
      <c r="O78" s="189"/>
    </row>
    <row r="79" spans="1:15" ht="23.25" customHeight="1" x14ac:dyDescent="0.25">
      <c r="A79" s="2" t="s">
        <v>22</v>
      </c>
      <c r="I79" s="2">
        <f>SUBTOTAL(109,surfacing[Estimated])</f>
        <v>171</v>
      </c>
      <c r="J79" s="16">
        <f>SUBTOTAL(101,surfacing[blocking])</f>
        <v>0.98666666666666669</v>
      </c>
      <c r="K79" s="16">
        <f>SUBTOTAL(101,surfacing[applying])</f>
        <v>0.98666666666666669</v>
      </c>
      <c r="L79" s="16">
        <f>SUBTOTAL(101,surfacing[polish])</f>
        <v>0.97199999999999986</v>
      </c>
      <c r="M79" s="16">
        <f>(surfacing[[#Totals],[Estimated]]-surfacing[[#Totals],[Hours to do]])/surfacing[[#Totals],[Estimated]]</f>
        <v>0.99035087719298243</v>
      </c>
      <c r="N79" s="84">
        <f>SUBTOTAL(109,surfacing[Hours to do])</f>
        <v>1.6500000000000004</v>
      </c>
      <c r="O79" s="7"/>
    </row>
  </sheetData>
  <sheetProtection algorithmName="SHA-512" hashValue="0QgQutfpda2Fbex3qV1MSsiLIVCrD61gA7Hqg30fv7wGiHwYGE7/Xmu3cgFQnxob68uF6/ue/dyxPlHUjwsNgw==" saltValue="0NkOYTsfjFlbVoxcvRyR5g==" spinCount="100000" sheet="1" selectLockedCells="1" autoFilter="0"/>
  <mergeCells count="1">
    <mergeCell ref="A1:H2"/>
  </mergeCells>
  <conditionalFormatting sqref="H4:H78">
    <cfRule type="containsText" dxfId="73" priority="1" operator="containsText" text="Needs Fix">
      <formula>NOT(ISERROR(SEARCH("Needs Fix",H4)))</formula>
    </cfRule>
    <cfRule type="containsText" dxfId="72" priority="2" operator="containsText" text="Approved">
      <formula>NOT(ISERROR(SEARCH("Approved",H4)))</formula>
    </cfRule>
    <cfRule type="containsText" dxfId="71" priority="3" operator="containsText" text="Pending Review">
      <formula>NOT(ISERROR(SEARCH("Pending Review",H4)))</formula>
    </cfRule>
    <cfRule type="containsText" dxfId="70" priority="4" operator="containsText" text="In Progress">
      <formula>NOT(ISERROR(SEARCH("In Progress",H4)))</formula>
    </cfRule>
    <cfRule type="containsText" dxfId="69" priority="5" operator="containsText" text="Ready">
      <formula>NOT(ISERROR(SEARCH("Ready",H4)))</formula>
    </cfRule>
    <cfRule type="containsText" dxfId="68" priority="6" operator="containsText" text="Upcoming">
      <formula>NOT(ISERROR(SEARCH("Upcoming",H4)))</formula>
    </cfRule>
    <cfRule type="containsText" dxfId="67" priority="7" operator="containsText" text="Waiting">
      <formula>NOT(ISERROR(SEARCH("Waiting",H4)))</formula>
    </cfRule>
  </conditionalFormatting>
  <conditionalFormatting sqref="J4:M78">
    <cfRule type="colorScale" priority="19">
      <colorScale>
        <cfvo type="num" val="0"/>
        <cfvo type="num" val="0.5"/>
        <cfvo type="num" val="1"/>
        <color rgb="FFFF0000"/>
        <color rgb="FFFFFF00"/>
        <color theme="9" tint="-0.249977111117893"/>
      </colorScale>
    </cfRule>
  </conditionalFormatting>
  <conditionalFormatting sqref="N4:N78">
    <cfRule type="dataBar" priority="222">
      <dataBar>
        <cfvo type="min"/>
        <cfvo type="max"/>
        <color rgb="FF008AEF"/>
      </dataBar>
      <extLst>
        <ext xmlns:x14="http://schemas.microsoft.com/office/spreadsheetml/2009/9/main" uri="{B025F937-C7B1-47D3-B67F-A62EFF666E3E}">
          <x14:id>{4F2AFC33-2D52-4EE0-8810-46311B85E8EA}</x14:id>
        </ext>
      </extLst>
    </cfRule>
  </conditionalFormatting>
  <conditionalFormatting sqref="O4:O78">
    <cfRule type="dataBar" priority="223">
      <dataBar>
        <cfvo type="min"/>
        <cfvo type="max"/>
        <color rgb="FF008AEF"/>
      </dataBar>
      <extLst>
        <ext xmlns:x14="http://schemas.microsoft.com/office/spreadsheetml/2009/9/main" uri="{B025F937-C7B1-47D3-B67F-A62EFF666E3E}">
          <x14:id>{896D0B6A-9975-4DCC-8C06-78C00C608CAD}</x14:id>
        </ext>
      </extLst>
    </cfRule>
  </conditionalFormatting>
  <pageMargins left="0.7" right="0.7" top="0.75" bottom="0.75" header="0.3" footer="0.3"/>
  <pageSetup paperSize="9" orientation="portrait" horizontalDpi="360" verticalDpi="360"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F2AFC33-2D52-4EE0-8810-46311B85E8EA}">
            <x14:dataBar minLength="0" maxLength="100" border="1" negativeBarBorderColorSameAsPositive="0">
              <x14:cfvo type="autoMin"/>
              <x14:cfvo type="autoMax"/>
              <x14:borderColor rgb="FF008AEF"/>
              <x14:negativeFillColor rgb="FFFF0000"/>
              <x14:negativeBorderColor rgb="FFFF0000"/>
              <x14:axisColor rgb="FF000000"/>
            </x14:dataBar>
          </x14:cfRule>
          <xm:sqref>N4:N78</xm:sqref>
        </x14:conditionalFormatting>
        <x14:conditionalFormatting xmlns:xm="http://schemas.microsoft.com/office/excel/2006/main">
          <x14:cfRule type="dataBar" id="{896D0B6A-9975-4DCC-8C06-78C00C608CAD}">
            <x14:dataBar minLength="0" maxLength="100" border="1" negativeBarBorderColorSameAsPositive="0">
              <x14:cfvo type="autoMin"/>
              <x14:cfvo type="autoMax"/>
              <x14:borderColor rgb="FF008AEF"/>
              <x14:negativeFillColor rgb="FFFF0000"/>
              <x14:negativeBorderColor rgb="FFFF0000"/>
              <x14:axisColor rgb="FF000000"/>
            </x14:dataBar>
          </x14:cfRule>
          <xm:sqref>O4:O78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E1AE115-08E6-43FA-AE89-893748242BD5}">
          <x14:formula1>
            <xm:f>_data_!$T$8:$T$10</xm:f>
          </x14:formula1>
          <xm:sqref>E4:E78</xm:sqref>
        </x14:dataValidation>
        <x14:dataValidation type="list" allowBlank="1" showInputMessage="1" showErrorMessage="1" xr:uid="{02569FCA-7E20-4870-92EB-DDD9B15FF1A8}">
          <x14:formula1>
            <xm:f>_data_!$R$15:$R$16</xm:f>
          </x14:formula1>
          <xm:sqref>D4:D78</xm:sqref>
        </x14:dataValidation>
        <x14:dataValidation type="list" allowBlank="1" showInputMessage="1" showErrorMessage="1" xr:uid="{6669D5B4-1225-40D2-B07A-6EE7196EFD4A}">
          <x14:formula1>
            <xm:f>_data_!$M$18:$M$22</xm:f>
          </x14:formula1>
          <xm:sqref>G4:G78</xm:sqref>
        </x14:dataValidation>
        <x14:dataValidation type="list" allowBlank="1" showInputMessage="1" showErrorMessage="1" xr:uid="{D5163DBF-4902-4A27-8CA5-AB2B214FFB6C}">
          <x14:formula1>
            <xm:f>_data_!$X$28:$X$32</xm:f>
          </x14:formula1>
          <xm:sqref>F4:F78</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13009-506F-478C-BA47-B2A0D39FFA0A}">
  <sheetPr codeName="Feuil8">
    <tabColor theme="3" tint="0.39997558519241921"/>
  </sheetPr>
  <dimension ref="A1:M79"/>
  <sheetViews>
    <sheetView showGridLines="0" showRowColHeaders="0" zoomScaleNormal="100" workbookViewId="0">
      <pane ySplit="3" topLeftCell="A7" activePane="bottomLeft" state="frozen"/>
      <selection activeCell="C28" sqref="C28"/>
      <selection pane="bottomLeft" activeCell="M28" sqref="M28"/>
    </sheetView>
  </sheetViews>
  <sheetFormatPr baseColWidth="10" defaultColWidth="16" defaultRowHeight="23.25" customHeight="1" x14ac:dyDescent="0.25"/>
  <cols>
    <col min="1" max="1" width="17.85546875" style="2" customWidth="1"/>
    <col min="2" max="12" width="14.28515625" style="2" customWidth="1"/>
    <col min="13" max="13" width="94.28515625" style="2" customWidth="1"/>
    <col min="14" max="14" width="142" style="2" customWidth="1"/>
    <col min="15" max="16384" width="16" style="2"/>
  </cols>
  <sheetData>
    <row r="1" spans="1:13" s="98" customFormat="1" ht="41.25" customHeight="1" x14ac:dyDescent="0.25">
      <c r="A1" s="289" t="s">
        <v>329</v>
      </c>
      <c r="B1" s="289"/>
      <c r="C1" s="289"/>
      <c r="D1" s="289"/>
      <c r="E1" s="289"/>
      <c r="F1" s="128" t="s">
        <v>297</v>
      </c>
      <c r="G1" s="129">
        <v>0.2</v>
      </c>
      <c r="H1" s="129">
        <v>0.4</v>
      </c>
      <c r="I1" s="129">
        <v>0.15</v>
      </c>
      <c r="J1" s="129">
        <v>0.25</v>
      </c>
    </row>
    <row r="2" spans="1:13" s="98" customFormat="1" ht="41.25" customHeight="1" x14ac:dyDescent="0.25">
      <c r="A2" s="289"/>
      <c r="B2" s="289"/>
      <c r="C2" s="289"/>
      <c r="D2" s="289"/>
      <c r="E2" s="289"/>
      <c r="F2" s="98" t="s">
        <v>298</v>
      </c>
      <c r="G2" s="130">
        <f>design[[#Totals],[Hours to do]]</f>
        <v>0</v>
      </c>
      <c r="H2" s="130">
        <f>modeling[[#Totals],[Hours to do]]</f>
        <v>3.6000000000000023</v>
      </c>
      <c r="I2" s="130">
        <f>surfacing[[#Totals],[Hours to do]]</f>
        <v>1.6500000000000004</v>
      </c>
      <c r="J2" s="130">
        <f>rigging[[#Totals],[Hours to do]]</f>
        <v>4.5000000000000169</v>
      </c>
    </row>
    <row r="3" spans="1:13" ht="23.25" customHeight="1" x14ac:dyDescent="0.25">
      <c r="A3" s="2" t="s">
        <v>299</v>
      </c>
      <c r="B3" s="2" t="s">
        <v>23</v>
      </c>
      <c r="C3" s="2" t="s">
        <v>300</v>
      </c>
      <c r="D3" s="2" t="s">
        <v>303</v>
      </c>
      <c r="E3" s="2" t="s">
        <v>269</v>
      </c>
      <c r="F3" s="2" t="s">
        <v>304</v>
      </c>
      <c r="G3" s="171" t="s">
        <v>330</v>
      </c>
      <c r="H3" s="171" t="s">
        <v>261</v>
      </c>
      <c r="I3" s="171" t="s">
        <v>254</v>
      </c>
      <c r="J3" s="171" t="s">
        <v>331</v>
      </c>
      <c r="K3" s="2" t="s">
        <v>295</v>
      </c>
      <c r="L3" s="2" t="s">
        <v>308</v>
      </c>
      <c r="M3" s="2" t="s">
        <v>270</v>
      </c>
    </row>
    <row r="4" spans="1:13" ht="23.25" customHeight="1" x14ac:dyDescent="0.25">
      <c r="A4" s="174" t="str">
        <f>metaASSETS[[#This Row],[Asset Name]]</f>
        <v>vitrail_00</v>
      </c>
      <c r="B4" s="87" t="str">
        <f>metaASSETS[[#This Row],[Type]]</f>
        <v>Asset</v>
      </c>
      <c r="D4" s="92">
        <f>SUM(LEN(design[[#This Row],[Priority]]),LEN(modeling[[#This Row],[Priority]]),LEN(surfacing[[#This Row],[Priority]]),LEN(rigging[[#This Row],[Priority]]))</f>
        <v>10</v>
      </c>
      <c r="E4" s="8" t="str">
        <f>IF(surfacing[[#This Row],[Progress]]&gt;0%, "Surfacing",
IF(rigging[[#This Row],[Progress]]&gt;0%, "Rigging",
IF(modeling[[#This Row],[Progress]]&gt;0%, "Modeling",
IF(design[[#This Row],[Progress]]&gt;=0%, "Design"))))</f>
        <v>Surfacing</v>
      </c>
      <c r="F4" s="2">
        <f>SUM(design[[#This Row],[Estimated]], modeling[[#This Row],[Estimated]], rigging[[#This Row],[Estimated]], surfacing[[#This Row],[Estimated]])</f>
        <v>40</v>
      </c>
      <c r="G4" s="172">
        <f>design[[#This Row],[Progress]]</f>
        <v>1</v>
      </c>
      <c r="H4" s="172">
        <f>modeling[[#This Row],[Progress]]</f>
        <v>1</v>
      </c>
      <c r="I4" s="172">
        <f>rigging[[#This Row],[Progress]]</f>
        <v>0.99999999999999989</v>
      </c>
      <c r="J4" s="172">
        <f>surfacing[[#This Row],[Progress]]</f>
        <v>1</v>
      </c>
      <c r="K4" s="16" cm="1">
        <f t="array" ref="K4">SUM(assets[[#This Row],[design]:[surfacing]]*ASSETS_ponderation)</f>
        <v>1</v>
      </c>
      <c r="L4" s="84">
        <f>(1-assets[[#This Row],[Progress]])*assets[[#This Row],[Estimated]]</f>
        <v>0</v>
      </c>
      <c r="M4" s="188"/>
    </row>
    <row r="5" spans="1:13" ht="23.25" customHeight="1" x14ac:dyDescent="0.25">
      <c r="A5" s="174" t="str">
        <f>metaASSETS[[#This Row],[Asset Name]]</f>
        <v>vitrail_01</v>
      </c>
      <c r="B5" s="87" t="str">
        <f>metaASSETS[[#This Row],[Type]]</f>
        <v>Asset</v>
      </c>
      <c r="D5" s="92">
        <f>SUM(LEN(design[[#This Row],[Priority]]),LEN(modeling[[#This Row],[Priority]]),LEN(surfacing[[#This Row],[Priority]]),LEN(rigging[[#This Row],[Priority]]))</f>
        <v>10</v>
      </c>
      <c r="E5" s="8" t="str">
        <f>IF(surfacing[[#This Row],[Progress]]&gt;0%, "Surfacing",
IF(rigging[[#This Row],[Progress]]&gt;0%, "Rigging",
IF(modeling[[#This Row],[Progress]]&gt;0%, "Modeling",
IF(design[[#This Row],[Progress]]&gt;=0%, "Design"))))</f>
        <v>Surfacing</v>
      </c>
      <c r="F5" s="2">
        <f>SUM(design[[#This Row],[Estimated]], modeling[[#This Row],[Estimated]], rigging[[#This Row],[Estimated]], surfacing[[#This Row],[Estimated]])</f>
        <v>40</v>
      </c>
      <c r="G5" s="172">
        <f>design[[#This Row],[Progress]]</f>
        <v>1</v>
      </c>
      <c r="H5" s="172">
        <f>modeling[[#This Row],[Progress]]</f>
        <v>1</v>
      </c>
      <c r="I5" s="172">
        <f>rigging[[#This Row],[Progress]]</f>
        <v>0.99999999999999989</v>
      </c>
      <c r="J5" s="172">
        <f>surfacing[[#This Row],[Progress]]</f>
        <v>1</v>
      </c>
      <c r="K5" s="16" cm="1">
        <f t="array" ref="K5">SUM(assets[[#This Row],[design]:[surfacing]]*ASSETS_ponderation)</f>
        <v>1</v>
      </c>
      <c r="L5" s="84">
        <f>(1-assets[[#This Row],[Progress]])*assets[[#This Row],[Estimated]]</f>
        <v>0</v>
      </c>
      <c r="M5" s="188"/>
    </row>
    <row r="6" spans="1:13" ht="23.25" customHeight="1" x14ac:dyDescent="0.25">
      <c r="A6" s="174" t="str">
        <f>metaASSETS[[#This Row],[Asset Name]]</f>
        <v>vitrail_02</v>
      </c>
      <c r="B6" s="87" t="str">
        <f>metaASSETS[[#This Row],[Type]]</f>
        <v>Asset</v>
      </c>
      <c r="D6" s="92">
        <f>SUM(LEN(design[[#This Row],[Priority]]),LEN(modeling[[#This Row],[Priority]]),LEN(surfacing[[#This Row],[Priority]]),LEN(rigging[[#This Row],[Priority]]))</f>
        <v>10</v>
      </c>
      <c r="E6" s="8" t="str">
        <f>IF(surfacing[[#This Row],[Progress]]&gt;0%, "Surfacing",
IF(rigging[[#This Row],[Progress]]&gt;0%, "Rigging",
IF(modeling[[#This Row],[Progress]]&gt;0%, "Modeling",
IF(design[[#This Row],[Progress]]&gt;=0%, "Design"))))</f>
        <v>Surfacing</v>
      </c>
      <c r="F6" s="2">
        <f>SUM(design[[#This Row],[Estimated]], modeling[[#This Row],[Estimated]], rigging[[#This Row],[Estimated]], surfacing[[#This Row],[Estimated]])</f>
        <v>30</v>
      </c>
      <c r="G6" s="172">
        <f>design[[#This Row],[Progress]]</f>
        <v>1</v>
      </c>
      <c r="H6" s="172">
        <f>modeling[[#This Row],[Progress]]</f>
        <v>1</v>
      </c>
      <c r="I6" s="172">
        <f>rigging[[#This Row],[Progress]]</f>
        <v>0.99999999999999989</v>
      </c>
      <c r="J6" s="172">
        <f>surfacing[[#This Row],[Progress]]</f>
        <v>1</v>
      </c>
      <c r="K6" s="16" cm="1">
        <f t="array" ref="K6">SUM(assets[[#This Row],[design]:[surfacing]]*ASSETS_ponderation)</f>
        <v>1</v>
      </c>
      <c r="L6" s="84">
        <f>(1-assets[[#This Row],[Progress]])*assets[[#This Row],[Estimated]]</f>
        <v>0</v>
      </c>
      <c r="M6" s="188"/>
    </row>
    <row r="7" spans="1:13" ht="23.25" customHeight="1" x14ac:dyDescent="0.25">
      <c r="A7" s="174" t="str">
        <f>metaASSETS[[#This Row],[Asset Name]]</f>
        <v>joan</v>
      </c>
      <c r="B7" s="87" t="str">
        <f>metaASSETS[[#This Row],[Type]]</f>
        <v>Character</v>
      </c>
      <c r="D7" s="92">
        <f>SUM(LEN(design[[#This Row],[Priority]]),LEN(modeling[[#This Row],[Priority]]),LEN(surfacing[[#This Row],[Priority]]),LEN(rigging[[#This Row],[Priority]]))</f>
        <v>20</v>
      </c>
      <c r="E7" s="8" t="str">
        <f>IF(surfacing[[#This Row],[Progress]]&gt;0%, "Surfacing",
IF(rigging[[#This Row],[Progress]]&gt;0%, "Rigging",
IF(modeling[[#This Row],[Progress]]&gt;0%, "Modeling",
IF(design[[#This Row],[Progress]]&gt;=0%, "Design"))))</f>
        <v>Surfacing</v>
      </c>
      <c r="F7" s="2">
        <f>SUM(design[[#This Row],[Estimated]], modeling[[#This Row],[Estimated]], rigging[[#This Row],[Estimated]], surfacing[[#This Row],[Estimated]])</f>
        <v>183</v>
      </c>
      <c r="G7" s="172">
        <f>design[[#This Row],[Progress]]</f>
        <v>1</v>
      </c>
      <c r="H7" s="172">
        <f>modeling[[#This Row],[Progress]]</f>
        <v>1</v>
      </c>
      <c r="I7" s="172">
        <f>rigging[[#This Row],[Progress]]</f>
        <v>0.97499999999999998</v>
      </c>
      <c r="J7" s="172">
        <f>surfacing[[#This Row],[Progress]]</f>
        <v>1</v>
      </c>
      <c r="K7" s="16" cm="1">
        <f t="array" ref="K7">SUM(assets[[#This Row],[design]:[surfacing]]*ASSETS_ponderation)</f>
        <v>0.99625000000000008</v>
      </c>
      <c r="L7" s="84">
        <f>(1-assets[[#This Row],[Progress]])*assets[[#This Row],[Estimated]]</f>
        <v>0.68624999999998537</v>
      </c>
      <c r="M7" s="188"/>
    </row>
    <row r="8" spans="1:13" ht="23.25" customHeight="1" x14ac:dyDescent="0.25">
      <c r="A8" s="174" t="str">
        <f>metaASSETS[[#This Row],[Asset Name]]</f>
        <v>joan_01</v>
      </c>
      <c r="B8" s="87" t="str">
        <f>metaASSETS[[#This Row],[Type]]</f>
        <v>Character</v>
      </c>
      <c r="D8" s="92">
        <f>SUM(LEN(design[[#This Row],[Priority]]),LEN(modeling[[#This Row],[Priority]]),LEN(surfacing[[#This Row],[Priority]]),LEN(rigging[[#This Row],[Priority]]))</f>
        <v>19</v>
      </c>
      <c r="E8" s="8" t="str">
        <f>IF(surfacing[[#This Row],[Progress]]&gt;0%, "Surfacing",
IF(rigging[[#This Row],[Progress]]&gt;0%, "Rigging",
IF(modeling[[#This Row],[Progress]]&gt;0%, "Modeling",
IF(design[[#This Row],[Progress]]&gt;=0%, "Design"))))</f>
        <v>Surfacing</v>
      </c>
      <c r="F8" s="2">
        <f>SUM(design[[#This Row],[Estimated]], modeling[[#This Row],[Estimated]], rigging[[#This Row],[Estimated]], surfacing[[#This Row],[Estimated]])</f>
        <v>98</v>
      </c>
      <c r="G8" s="172">
        <f>design[[#This Row],[Progress]]</f>
        <v>1</v>
      </c>
      <c r="H8" s="172">
        <f>modeling[[#This Row],[Progress]]</f>
        <v>1</v>
      </c>
      <c r="I8" s="172">
        <f>rigging[[#This Row],[Progress]]</f>
        <v>0.99999999999999989</v>
      </c>
      <c r="J8" s="172">
        <f>surfacing[[#This Row],[Progress]]</f>
        <v>1</v>
      </c>
      <c r="K8" s="16" cm="1">
        <f t="array" ref="K8">SUM(assets[[#This Row],[design]:[surfacing]]*ASSETS_ponderation)</f>
        <v>1</v>
      </c>
      <c r="L8" s="84">
        <f>(1-assets[[#This Row],[Progress]])*assets[[#This Row],[Estimated]]</f>
        <v>0</v>
      </c>
      <c r="M8" s="188"/>
    </row>
    <row r="9" spans="1:13" ht="23.25" customHeight="1" x14ac:dyDescent="0.25">
      <c r="A9" s="174" t="str">
        <f>metaASSETS[[#This Row],[Asset Name]]</f>
        <v>joan_dlbr</v>
      </c>
      <c r="B9" s="87" t="str">
        <f>metaASSETS[[#This Row],[Type]]</f>
        <v>Character</v>
      </c>
      <c r="D9" s="92">
        <f>SUM(LEN(design[[#This Row],[Priority]]),LEN(modeling[[#This Row],[Priority]]),LEN(surfacing[[#This Row],[Priority]]),LEN(rigging[[#This Row],[Priority]]))</f>
        <v>20</v>
      </c>
      <c r="E9" s="8" t="str">
        <f>IF(surfacing[[#This Row],[Progress]]&gt;0%, "Surfacing",
IF(rigging[[#This Row],[Progress]]&gt;0%, "Rigging",
IF(modeling[[#This Row],[Progress]]&gt;0%, "Modeling",
IF(design[[#This Row],[Progress]]&gt;=0%, "Design"))))</f>
        <v>Surfacing</v>
      </c>
      <c r="F9" s="2">
        <f>SUM(design[[#This Row],[Estimated]], modeling[[#This Row],[Estimated]], rigging[[#This Row],[Estimated]], surfacing[[#This Row],[Estimated]])</f>
        <v>39</v>
      </c>
      <c r="G9" s="172">
        <f>design[[#This Row],[Progress]]</f>
        <v>1</v>
      </c>
      <c r="H9" s="172">
        <f>modeling[[#This Row],[Progress]]</f>
        <v>1</v>
      </c>
      <c r="I9" s="172">
        <f>rigging[[#This Row],[Progress]]</f>
        <v>0.99999999999999989</v>
      </c>
      <c r="J9" s="172">
        <f>surfacing[[#This Row],[Progress]]</f>
        <v>1</v>
      </c>
      <c r="K9" s="16" cm="1">
        <f t="array" ref="K9">SUM(assets[[#This Row],[design]:[surfacing]]*ASSETS_ponderation)</f>
        <v>1</v>
      </c>
      <c r="L9" s="84">
        <f>(1-assets[[#This Row],[Progress]])*assets[[#This Row],[Estimated]]</f>
        <v>0</v>
      </c>
      <c r="M9" s="188"/>
    </row>
    <row r="10" spans="1:13" ht="23.25" customHeight="1" x14ac:dyDescent="0.25">
      <c r="A10" s="174" t="str">
        <f>metaASSETS[[#This Row],[Asset Name]]</f>
        <v>knight</v>
      </c>
      <c r="B10" s="87" t="str">
        <f>metaASSETS[[#This Row],[Type]]</f>
        <v>Character</v>
      </c>
      <c r="D10" s="92">
        <f>SUM(LEN(design[[#This Row],[Priority]]),LEN(modeling[[#This Row],[Priority]]),LEN(surfacing[[#This Row],[Priority]]),LEN(rigging[[#This Row],[Priority]]))</f>
        <v>19</v>
      </c>
      <c r="E10" s="8" t="str">
        <f>IF(surfacing[[#This Row],[Progress]]&gt;0%, "Surfacing",
IF(rigging[[#This Row],[Progress]]&gt;0%, "Rigging",
IF(modeling[[#This Row],[Progress]]&gt;0%, "Modeling",
IF(design[[#This Row],[Progress]]&gt;=0%, "Design"))))</f>
        <v>Surfacing</v>
      </c>
      <c r="F10" s="2">
        <f>SUM(design[[#This Row],[Estimated]], modeling[[#This Row],[Estimated]], rigging[[#This Row],[Estimated]], surfacing[[#This Row],[Estimated]])</f>
        <v>85</v>
      </c>
      <c r="G10" s="172">
        <f>design[[#This Row],[Progress]]</f>
        <v>1</v>
      </c>
      <c r="H10" s="172">
        <f>modeling[[#This Row],[Progress]]</f>
        <v>1</v>
      </c>
      <c r="I10" s="172">
        <f>rigging[[#This Row],[Progress]]</f>
        <v>0.99999999999999989</v>
      </c>
      <c r="J10" s="172">
        <f>surfacing[[#This Row],[Progress]]</f>
        <v>1</v>
      </c>
      <c r="K10" s="16" cm="1">
        <f t="array" ref="K10">SUM(assets[[#This Row],[design]:[surfacing]]*ASSETS_ponderation)</f>
        <v>1</v>
      </c>
      <c r="L10" s="84">
        <f>(1-assets[[#This Row],[Progress]])*assets[[#This Row],[Estimated]]</f>
        <v>0</v>
      </c>
      <c r="M10" s="188"/>
    </row>
    <row r="11" spans="1:13" ht="23.25" customHeight="1" x14ac:dyDescent="0.25">
      <c r="A11" s="174" t="str">
        <f>metaASSETS[[#This Row],[Asset Name]]</f>
        <v>L_arm</v>
      </c>
      <c r="B11" s="87" t="str">
        <f>metaASSETS[[#This Row],[Type]]</f>
        <v>Character</v>
      </c>
      <c r="D11" s="92">
        <f>SUM(LEN(design[[#This Row],[Priority]]),LEN(modeling[[#This Row],[Priority]]),LEN(surfacing[[#This Row],[Priority]]),LEN(rigging[[#This Row],[Priority]]))</f>
        <v>4</v>
      </c>
      <c r="E11" s="8" t="str">
        <f>IF(surfacing[[#This Row],[Progress]]&gt;0%, "Surfacing",
IF(rigging[[#This Row],[Progress]]&gt;0%, "Rigging",
IF(modeling[[#This Row],[Progress]]&gt;0%, "Modeling",
IF(design[[#This Row],[Progress]]&gt;=0%, "Design"))))</f>
        <v>Surfacing</v>
      </c>
      <c r="F11" s="2">
        <f>SUM(design[[#This Row],[Estimated]], modeling[[#This Row],[Estimated]], rigging[[#This Row],[Estimated]], surfacing[[#This Row],[Estimated]])</f>
        <v>1.25</v>
      </c>
      <c r="G11" s="172">
        <f>design[[#This Row],[Progress]]</f>
        <v>1</v>
      </c>
      <c r="H11" s="172">
        <f>modeling[[#This Row],[Progress]]</f>
        <v>1</v>
      </c>
      <c r="I11" s="172">
        <f>rigging[[#This Row],[Progress]]</f>
        <v>0.99999999999999989</v>
      </c>
      <c r="J11" s="172">
        <f>surfacing[[#This Row],[Progress]]</f>
        <v>1</v>
      </c>
      <c r="K11" s="16" cm="1">
        <f t="array" ref="K11">SUM(assets[[#This Row],[design]:[surfacing]]*ASSETS_ponderation)</f>
        <v>1</v>
      </c>
      <c r="L11" s="84">
        <f>(1-assets[[#This Row],[Progress]])*assets[[#This Row],[Estimated]]</f>
        <v>0</v>
      </c>
      <c r="M11" s="188"/>
    </row>
    <row r="12" spans="1:13" ht="23.25" customHeight="1" x14ac:dyDescent="0.25">
      <c r="A12" s="174" t="str">
        <f>metaASSETS[[#This Row],[Asset Name]]</f>
        <v>L_leg</v>
      </c>
      <c r="B12" s="87" t="str">
        <f>metaASSETS[[#This Row],[Type]]</f>
        <v>Character</v>
      </c>
      <c r="D12" s="92">
        <f>SUM(LEN(design[[#This Row],[Priority]]),LEN(modeling[[#This Row],[Priority]]),LEN(surfacing[[#This Row],[Priority]]),LEN(rigging[[#This Row],[Priority]]))</f>
        <v>4</v>
      </c>
      <c r="E12" s="8" t="str">
        <f>IF(surfacing[[#This Row],[Progress]]&gt;0%, "Surfacing",
IF(rigging[[#This Row],[Progress]]&gt;0%, "Rigging",
IF(modeling[[#This Row],[Progress]]&gt;0%, "Modeling",
IF(design[[#This Row],[Progress]]&gt;=0%, "Design"))))</f>
        <v>Surfacing</v>
      </c>
      <c r="F12" s="2">
        <f>SUM(design[[#This Row],[Estimated]], modeling[[#This Row],[Estimated]], rigging[[#This Row],[Estimated]], surfacing[[#This Row],[Estimated]])</f>
        <v>1.25</v>
      </c>
      <c r="G12" s="172">
        <f>design[[#This Row],[Progress]]</f>
        <v>1</v>
      </c>
      <c r="H12" s="172">
        <f>modeling[[#This Row],[Progress]]</f>
        <v>1</v>
      </c>
      <c r="I12" s="172">
        <f>rigging[[#This Row],[Progress]]</f>
        <v>0.99999999999999989</v>
      </c>
      <c r="J12" s="172">
        <f>surfacing[[#This Row],[Progress]]</f>
        <v>1</v>
      </c>
      <c r="K12" s="16" cm="1">
        <f t="array" ref="K12">SUM(assets[[#This Row],[design]:[surfacing]]*ASSETS_ponderation)</f>
        <v>1</v>
      </c>
      <c r="L12" s="84">
        <f>(1-assets[[#This Row],[Progress]])*assets[[#This Row],[Estimated]]</f>
        <v>0</v>
      </c>
      <c r="M12" s="188"/>
    </row>
    <row r="13" spans="1:13" ht="23.25" customHeight="1" x14ac:dyDescent="0.25">
      <c r="A13" s="174" t="str">
        <f>metaASSETS[[#This Row],[Asset Name]]</f>
        <v>R_arm</v>
      </c>
      <c r="B13" s="87" t="str">
        <f>metaASSETS[[#This Row],[Type]]</f>
        <v>Character</v>
      </c>
      <c r="D13" s="92">
        <f>SUM(LEN(design[[#This Row],[Priority]]),LEN(modeling[[#This Row],[Priority]]),LEN(surfacing[[#This Row],[Priority]]),LEN(rigging[[#This Row],[Priority]]))</f>
        <v>4</v>
      </c>
      <c r="E13" s="8" t="str">
        <f>IF(surfacing[[#This Row],[Progress]]&gt;0%, "Surfacing",
IF(rigging[[#This Row],[Progress]]&gt;0%, "Rigging",
IF(modeling[[#This Row],[Progress]]&gt;0%, "Modeling",
IF(design[[#This Row],[Progress]]&gt;=0%, "Design"))))</f>
        <v>Surfacing</v>
      </c>
      <c r="F13" s="2">
        <f>SUM(design[[#This Row],[Estimated]], modeling[[#This Row],[Estimated]], rigging[[#This Row],[Estimated]], surfacing[[#This Row],[Estimated]])</f>
        <v>1.25</v>
      </c>
      <c r="G13" s="172">
        <f>design[[#This Row],[Progress]]</f>
        <v>1</v>
      </c>
      <c r="H13" s="172">
        <f>modeling[[#This Row],[Progress]]</f>
        <v>1</v>
      </c>
      <c r="I13" s="172">
        <f>rigging[[#This Row],[Progress]]</f>
        <v>0.99999999999999989</v>
      </c>
      <c r="J13" s="172">
        <f>surfacing[[#This Row],[Progress]]</f>
        <v>1</v>
      </c>
      <c r="K13" s="16" cm="1">
        <f t="array" ref="K13">SUM(assets[[#This Row],[design]:[surfacing]]*ASSETS_ponderation)</f>
        <v>1</v>
      </c>
      <c r="L13" s="84">
        <f>(1-assets[[#This Row],[Progress]])*assets[[#This Row],[Estimated]]</f>
        <v>0</v>
      </c>
      <c r="M13" s="188"/>
    </row>
    <row r="14" spans="1:13" ht="23.25" customHeight="1" x14ac:dyDescent="0.25">
      <c r="A14" s="174" t="str">
        <f>metaASSETS[[#This Row],[Asset Name]]</f>
        <v>R_leg</v>
      </c>
      <c r="B14" s="87" t="str">
        <f>metaASSETS[[#This Row],[Type]]</f>
        <v>Character</v>
      </c>
      <c r="D14" s="92">
        <f>SUM(LEN(design[[#This Row],[Priority]]),LEN(modeling[[#This Row],[Priority]]),LEN(surfacing[[#This Row],[Priority]]),LEN(rigging[[#This Row],[Priority]]))</f>
        <v>4</v>
      </c>
      <c r="E14" s="8" t="str">
        <f>IF(surfacing[[#This Row],[Progress]]&gt;0%, "Surfacing",
IF(rigging[[#This Row],[Progress]]&gt;0%, "Rigging",
IF(modeling[[#This Row],[Progress]]&gt;0%, "Modeling",
IF(design[[#This Row],[Progress]]&gt;=0%, "Design"))))</f>
        <v>Surfacing</v>
      </c>
      <c r="F14" s="2">
        <f>SUM(design[[#This Row],[Estimated]], modeling[[#This Row],[Estimated]], rigging[[#This Row],[Estimated]], surfacing[[#This Row],[Estimated]])</f>
        <v>1.25</v>
      </c>
      <c r="G14" s="172">
        <f>design[[#This Row],[Progress]]</f>
        <v>1</v>
      </c>
      <c r="H14" s="172">
        <f>modeling[[#This Row],[Progress]]</f>
        <v>1</v>
      </c>
      <c r="I14" s="172">
        <f>rigging[[#This Row],[Progress]]</f>
        <v>0.99999999999999989</v>
      </c>
      <c r="J14" s="172">
        <f>surfacing[[#This Row],[Progress]]</f>
        <v>1</v>
      </c>
      <c r="K14" s="16" cm="1">
        <f t="array" ref="K14">SUM(assets[[#This Row],[design]:[surfacing]]*ASSETS_ponderation)</f>
        <v>1</v>
      </c>
      <c r="L14" s="84">
        <f>(1-assets[[#This Row],[Progress]])*assets[[#This Row],[Estimated]]</f>
        <v>0</v>
      </c>
      <c r="M14" s="188"/>
    </row>
    <row r="15" spans="1:13" ht="23.25" customHeight="1" x14ac:dyDescent="0.25">
      <c r="A15" s="174" t="str">
        <f>metaASSETS[[#This Row],[Asset Name]]</f>
        <v>soldier_01</v>
      </c>
      <c r="B15" s="87" t="str">
        <f>metaASSETS[[#This Row],[Type]]</f>
        <v>Character</v>
      </c>
      <c r="D15" s="92">
        <f>SUM(LEN(design[[#This Row],[Priority]]),LEN(modeling[[#This Row],[Priority]]),LEN(surfacing[[#This Row],[Priority]]),LEN(rigging[[#This Row],[Priority]]))</f>
        <v>6</v>
      </c>
      <c r="E15" s="8" t="str">
        <f>IF(surfacing[[#This Row],[Progress]]&gt;0%, "Surfacing",
IF(rigging[[#This Row],[Progress]]&gt;0%, "Rigging",
IF(modeling[[#This Row],[Progress]]&gt;0%, "Modeling",
IF(design[[#This Row],[Progress]]&gt;=0%, "Design"))))</f>
        <v>Surfacing</v>
      </c>
      <c r="F15" s="2">
        <f>SUM(design[[#This Row],[Estimated]], modeling[[#This Row],[Estimated]], rigging[[#This Row],[Estimated]], surfacing[[#This Row],[Estimated]])</f>
        <v>9</v>
      </c>
      <c r="G15" s="172">
        <f>design[[#This Row],[Progress]]</f>
        <v>1</v>
      </c>
      <c r="H15" s="172">
        <f>modeling[[#This Row],[Progress]]</f>
        <v>1</v>
      </c>
      <c r="I15" s="172">
        <f>rigging[[#This Row],[Progress]]</f>
        <v>0.99999999999999989</v>
      </c>
      <c r="J15" s="172">
        <f>surfacing[[#This Row],[Progress]]</f>
        <v>1</v>
      </c>
      <c r="K15" s="16" cm="1">
        <f t="array" ref="K15">SUM(assets[[#This Row],[design]:[surfacing]]*ASSETS_ponderation)</f>
        <v>1</v>
      </c>
      <c r="L15" s="84">
        <f>(1-assets[[#This Row],[Progress]])*assets[[#This Row],[Estimated]]</f>
        <v>0</v>
      </c>
      <c r="M15" s="188"/>
    </row>
    <row r="16" spans="1:13" ht="23.25" customHeight="1" x14ac:dyDescent="0.25">
      <c r="A16" s="174" t="str">
        <f>metaASSETS[[#This Row],[Asset Name]]</f>
        <v>soldier_02</v>
      </c>
      <c r="B16" s="87" t="str">
        <f>metaASSETS[[#This Row],[Type]]</f>
        <v>Character</v>
      </c>
      <c r="D16" s="92">
        <f>SUM(LEN(design[[#This Row],[Priority]]),LEN(modeling[[#This Row],[Priority]]),LEN(surfacing[[#This Row],[Priority]]),LEN(rigging[[#This Row],[Priority]]))</f>
        <v>6</v>
      </c>
      <c r="E16" s="8" t="str">
        <f>IF(surfacing[[#This Row],[Progress]]&gt;0%, "Surfacing",
IF(rigging[[#This Row],[Progress]]&gt;0%, "Rigging",
IF(modeling[[#This Row],[Progress]]&gt;0%, "Modeling",
IF(design[[#This Row],[Progress]]&gt;=0%, "Design"))))</f>
        <v>Surfacing</v>
      </c>
      <c r="F16" s="2">
        <f>SUM(design[[#This Row],[Estimated]], modeling[[#This Row],[Estimated]], rigging[[#This Row],[Estimated]], surfacing[[#This Row],[Estimated]])</f>
        <v>5</v>
      </c>
      <c r="G16" s="172">
        <f>design[[#This Row],[Progress]]</f>
        <v>1</v>
      </c>
      <c r="H16" s="172">
        <f>modeling[[#This Row],[Progress]]</f>
        <v>1</v>
      </c>
      <c r="I16" s="172">
        <f>rigging[[#This Row],[Progress]]</f>
        <v>0.99999999999999989</v>
      </c>
      <c r="J16" s="172">
        <f>surfacing[[#This Row],[Progress]]</f>
        <v>1</v>
      </c>
      <c r="K16" s="16" cm="1">
        <f t="array" ref="K16">SUM(assets[[#This Row],[design]:[surfacing]]*ASSETS_ponderation)</f>
        <v>1</v>
      </c>
      <c r="L16" s="84">
        <f>(1-assets[[#This Row],[Progress]])*assets[[#This Row],[Estimated]]</f>
        <v>0</v>
      </c>
      <c r="M16" s="188"/>
    </row>
    <row r="17" spans="1:13" ht="23.25" customHeight="1" x14ac:dyDescent="0.25">
      <c r="A17" s="174" t="str">
        <f>metaASSETS[[#This Row],[Asset Name]]</f>
        <v>soldier_03</v>
      </c>
      <c r="B17" s="87" t="str">
        <f>metaASSETS[[#This Row],[Type]]</f>
        <v>Character</v>
      </c>
      <c r="D17" s="92">
        <f>SUM(LEN(design[[#This Row],[Priority]]),LEN(modeling[[#This Row],[Priority]]),LEN(surfacing[[#This Row],[Priority]]),LEN(rigging[[#This Row],[Priority]]))</f>
        <v>6</v>
      </c>
      <c r="E17" s="8" t="str">
        <f>IF(surfacing[[#This Row],[Progress]]&gt;0%, "Surfacing",
IF(rigging[[#This Row],[Progress]]&gt;0%, "Rigging",
IF(modeling[[#This Row],[Progress]]&gt;0%, "Modeling",
IF(design[[#This Row],[Progress]]&gt;=0%, "Design"))))</f>
        <v>Surfacing</v>
      </c>
      <c r="F17" s="2">
        <f>SUM(design[[#This Row],[Estimated]], modeling[[#This Row],[Estimated]], rigging[[#This Row],[Estimated]], surfacing[[#This Row],[Estimated]])</f>
        <v>5</v>
      </c>
      <c r="G17" s="172">
        <f>design[[#This Row],[Progress]]</f>
        <v>1</v>
      </c>
      <c r="H17" s="172">
        <f>modeling[[#This Row],[Progress]]</f>
        <v>1</v>
      </c>
      <c r="I17" s="172">
        <f>rigging[[#This Row],[Progress]]</f>
        <v>0.99999999999999989</v>
      </c>
      <c r="J17" s="172">
        <f>surfacing[[#This Row],[Progress]]</f>
        <v>1</v>
      </c>
      <c r="K17" s="16" cm="1">
        <f t="array" ref="K17">SUM(assets[[#This Row],[design]:[surfacing]]*ASSETS_ponderation)</f>
        <v>1</v>
      </c>
      <c r="L17" s="84">
        <f>(1-assets[[#This Row],[Progress]])*assets[[#This Row],[Estimated]]</f>
        <v>0</v>
      </c>
      <c r="M17" s="188"/>
    </row>
    <row r="18" spans="1:13" ht="23.25" customHeight="1" x14ac:dyDescent="0.25">
      <c r="A18" s="174" t="str">
        <f>metaASSETS[[#This Row],[Asset Name]]</f>
        <v>villager_01</v>
      </c>
      <c r="B18" s="87" t="str">
        <f>metaASSETS[[#This Row],[Type]]</f>
        <v>Character</v>
      </c>
      <c r="D18" s="92">
        <f>SUM(LEN(design[[#This Row],[Priority]]),LEN(modeling[[#This Row],[Priority]]),LEN(surfacing[[#This Row],[Priority]]),LEN(rigging[[#This Row],[Priority]]))</f>
        <v>6</v>
      </c>
      <c r="E18" s="8" t="str">
        <f>IF(surfacing[[#This Row],[Progress]]&gt;0%, "Surfacing",
IF(rigging[[#This Row],[Progress]]&gt;0%, "Rigging",
IF(modeling[[#This Row],[Progress]]&gt;0%, "Modeling",
IF(design[[#This Row],[Progress]]&gt;=0%, "Design"))))</f>
        <v>Surfacing</v>
      </c>
      <c r="F18" s="2">
        <f>SUM(design[[#This Row],[Estimated]], modeling[[#This Row],[Estimated]], rigging[[#This Row],[Estimated]], surfacing[[#This Row],[Estimated]])</f>
        <v>7</v>
      </c>
      <c r="G18" s="172">
        <f>design[[#This Row],[Progress]]</f>
        <v>1</v>
      </c>
      <c r="H18" s="172">
        <f>modeling[[#This Row],[Progress]]</f>
        <v>1</v>
      </c>
      <c r="I18" s="172">
        <f>rigging[[#This Row],[Progress]]</f>
        <v>0.99999999999999989</v>
      </c>
      <c r="J18" s="172">
        <f>surfacing[[#This Row],[Progress]]</f>
        <v>1</v>
      </c>
      <c r="K18" s="16" cm="1">
        <f t="array" ref="K18">SUM(assets[[#This Row],[design]:[surfacing]]*ASSETS_ponderation)</f>
        <v>1</v>
      </c>
      <c r="L18" s="84">
        <f>(1-assets[[#This Row],[Progress]])*assets[[#This Row],[Estimated]]</f>
        <v>0</v>
      </c>
      <c r="M18" s="188"/>
    </row>
    <row r="19" spans="1:13" ht="23.25" customHeight="1" x14ac:dyDescent="0.25">
      <c r="A19" s="174" t="str">
        <f>metaASSETS[[#This Row],[Asset Name]]</f>
        <v>villager_02</v>
      </c>
      <c r="B19" s="87" t="str">
        <f>metaASSETS[[#This Row],[Type]]</f>
        <v>Character</v>
      </c>
      <c r="D19" s="92">
        <f>SUM(LEN(design[[#This Row],[Priority]]),LEN(modeling[[#This Row],[Priority]]),LEN(surfacing[[#This Row],[Priority]]),LEN(rigging[[#This Row],[Priority]]))</f>
        <v>6</v>
      </c>
      <c r="E19" s="8" t="str">
        <f>IF(surfacing[[#This Row],[Progress]]&gt;0%, "Surfacing",
IF(rigging[[#This Row],[Progress]]&gt;0%, "Rigging",
IF(modeling[[#This Row],[Progress]]&gt;0%, "Modeling",
IF(design[[#This Row],[Progress]]&gt;=0%, "Design"))))</f>
        <v>Surfacing</v>
      </c>
      <c r="F19" s="2">
        <f>SUM(design[[#This Row],[Estimated]], modeling[[#This Row],[Estimated]], rigging[[#This Row],[Estimated]], surfacing[[#This Row],[Estimated]])</f>
        <v>4</v>
      </c>
      <c r="G19" s="172">
        <f>design[[#This Row],[Progress]]</f>
        <v>1</v>
      </c>
      <c r="H19" s="172">
        <f>modeling[[#This Row],[Progress]]</f>
        <v>1</v>
      </c>
      <c r="I19" s="172">
        <f>rigging[[#This Row],[Progress]]</f>
        <v>0.99999999999999989</v>
      </c>
      <c r="J19" s="172">
        <f>surfacing[[#This Row],[Progress]]</f>
        <v>1</v>
      </c>
      <c r="K19" s="16" cm="1">
        <f t="array" ref="K19">SUM(assets[[#This Row],[design]:[surfacing]]*ASSETS_ponderation)</f>
        <v>1</v>
      </c>
      <c r="L19" s="84">
        <f>(1-assets[[#This Row],[Progress]])*assets[[#This Row],[Estimated]]</f>
        <v>0</v>
      </c>
      <c r="M19" s="188"/>
    </row>
    <row r="20" spans="1:13" ht="23.25" customHeight="1" x14ac:dyDescent="0.25">
      <c r="A20" s="174" t="str">
        <f>metaASSETS[[#This Row],[Asset Name]]</f>
        <v>villager_03</v>
      </c>
      <c r="B20" s="87" t="str">
        <f>metaASSETS[[#This Row],[Type]]</f>
        <v>Character</v>
      </c>
      <c r="D20" s="92">
        <f>SUM(LEN(design[[#This Row],[Priority]]),LEN(modeling[[#This Row],[Priority]]),LEN(surfacing[[#This Row],[Priority]]),LEN(rigging[[#This Row],[Priority]]))</f>
        <v>6</v>
      </c>
      <c r="E20" s="8" t="str">
        <f>IF(surfacing[[#This Row],[Progress]]&gt;0%, "Surfacing",
IF(rigging[[#This Row],[Progress]]&gt;0%, "Rigging",
IF(modeling[[#This Row],[Progress]]&gt;0%, "Modeling",
IF(design[[#This Row],[Progress]]&gt;=0%, "Design"))))</f>
        <v>Surfacing</v>
      </c>
      <c r="F20" s="2">
        <f>SUM(design[[#This Row],[Estimated]], modeling[[#This Row],[Estimated]], rigging[[#This Row],[Estimated]], surfacing[[#This Row],[Estimated]])</f>
        <v>4</v>
      </c>
      <c r="G20" s="172">
        <f>design[[#This Row],[Progress]]</f>
        <v>1</v>
      </c>
      <c r="H20" s="172">
        <f>modeling[[#This Row],[Progress]]</f>
        <v>1</v>
      </c>
      <c r="I20" s="172">
        <f>rigging[[#This Row],[Progress]]</f>
        <v>0.99999999999999989</v>
      </c>
      <c r="J20" s="172">
        <f>surfacing[[#This Row],[Progress]]</f>
        <v>1</v>
      </c>
      <c r="K20" s="16" cm="1">
        <f t="array" ref="K20">SUM(assets[[#This Row],[design]:[surfacing]]*ASSETS_ponderation)</f>
        <v>1</v>
      </c>
      <c r="L20" s="84">
        <f>(1-assets[[#This Row],[Progress]])*assets[[#This Row],[Estimated]]</f>
        <v>0</v>
      </c>
      <c r="M20" s="188"/>
    </row>
    <row r="21" spans="1:13" ht="23.25" customHeight="1" x14ac:dyDescent="0.25">
      <c r="A21" s="174" t="str">
        <f>metaASSETS[[#This Row],[Asset Name]]</f>
        <v>villager_04</v>
      </c>
      <c r="B21" s="87" t="str">
        <f>metaASSETS[[#This Row],[Type]]</f>
        <v>Character</v>
      </c>
      <c r="D21" s="92">
        <f>SUM(LEN(design[[#This Row],[Priority]]),LEN(modeling[[#This Row],[Priority]]),LEN(surfacing[[#This Row],[Priority]]),LEN(rigging[[#This Row],[Priority]]))</f>
        <v>6</v>
      </c>
      <c r="E21" s="8" t="str">
        <f>IF(surfacing[[#This Row],[Progress]]&gt;0%, "Surfacing",
IF(rigging[[#This Row],[Progress]]&gt;0%, "Rigging",
IF(modeling[[#This Row],[Progress]]&gt;0%, "Modeling",
IF(design[[#This Row],[Progress]]&gt;=0%, "Design"))))</f>
        <v>Surfacing</v>
      </c>
      <c r="F21" s="2">
        <f>SUM(design[[#This Row],[Estimated]], modeling[[#This Row],[Estimated]], rigging[[#This Row],[Estimated]], surfacing[[#This Row],[Estimated]])</f>
        <v>4</v>
      </c>
      <c r="G21" s="172">
        <f>design[[#This Row],[Progress]]</f>
        <v>1</v>
      </c>
      <c r="H21" s="172">
        <f>modeling[[#This Row],[Progress]]</f>
        <v>1</v>
      </c>
      <c r="I21" s="172">
        <f>rigging[[#This Row],[Progress]]</f>
        <v>0.99999999999999989</v>
      </c>
      <c r="J21" s="172">
        <f>surfacing[[#This Row],[Progress]]</f>
        <v>1</v>
      </c>
      <c r="K21" s="16" cm="1">
        <f t="array" ref="K21">SUM(assets[[#This Row],[design]:[surfacing]]*ASSETS_ponderation)</f>
        <v>1</v>
      </c>
      <c r="L21" s="84">
        <f>(1-assets[[#This Row],[Progress]])*assets[[#This Row],[Estimated]]</f>
        <v>0</v>
      </c>
      <c r="M21" s="188"/>
    </row>
    <row r="22" spans="1:13" ht="23.25" customHeight="1" x14ac:dyDescent="0.25">
      <c r="A22" s="174" t="str">
        <f>metaASSETS[[#This Row],[Asset Name]]</f>
        <v>villager_05</v>
      </c>
      <c r="B22" s="87" t="str">
        <f>metaASSETS[[#This Row],[Type]]</f>
        <v>Character</v>
      </c>
      <c r="D22" s="92">
        <f>SUM(LEN(design[[#This Row],[Priority]]),LEN(modeling[[#This Row],[Priority]]),LEN(surfacing[[#This Row],[Priority]]),LEN(rigging[[#This Row],[Priority]]))</f>
        <v>6</v>
      </c>
      <c r="E22" s="8" t="str">
        <f>IF(surfacing[[#This Row],[Progress]]&gt;0%, "Surfacing",
IF(rigging[[#This Row],[Progress]]&gt;0%, "Rigging",
IF(modeling[[#This Row],[Progress]]&gt;0%, "Modeling",
IF(design[[#This Row],[Progress]]&gt;=0%, "Design"))))</f>
        <v>Surfacing</v>
      </c>
      <c r="F22" s="2">
        <f>SUM(design[[#This Row],[Estimated]], modeling[[#This Row],[Estimated]], rigging[[#This Row],[Estimated]], surfacing[[#This Row],[Estimated]])</f>
        <v>4</v>
      </c>
      <c r="G22" s="172">
        <f>design[[#This Row],[Progress]]</f>
        <v>1</v>
      </c>
      <c r="H22" s="172">
        <f>modeling[[#This Row],[Progress]]</f>
        <v>1</v>
      </c>
      <c r="I22" s="172">
        <f>rigging[[#This Row],[Progress]]</f>
        <v>0.99999999999999989</v>
      </c>
      <c r="J22" s="172">
        <f>surfacing[[#This Row],[Progress]]</f>
        <v>1</v>
      </c>
      <c r="K22" s="16" cm="1">
        <f t="array" ref="K22">SUM(assets[[#This Row],[design]:[surfacing]]*ASSETS_ponderation)</f>
        <v>1</v>
      </c>
      <c r="L22" s="84">
        <f>(1-assets[[#This Row],[Progress]])*assets[[#This Row],[Estimated]]</f>
        <v>0</v>
      </c>
      <c r="M22" s="188"/>
    </row>
    <row r="23" spans="1:13" ht="23.25" customHeight="1" x14ac:dyDescent="0.25">
      <c r="A23" s="174" t="str">
        <f>metaASSETS[[#This Row],[Asset Name]]</f>
        <v>villager_06</v>
      </c>
      <c r="B23" s="87" t="str">
        <f>metaASSETS[[#This Row],[Type]]</f>
        <v>Character</v>
      </c>
      <c r="D23" s="92">
        <f>SUM(LEN(design[[#This Row],[Priority]]),LEN(modeling[[#This Row],[Priority]]),LEN(surfacing[[#This Row],[Priority]]),LEN(rigging[[#This Row],[Priority]]))</f>
        <v>6</v>
      </c>
      <c r="E23" s="8" t="str">
        <f>IF(surfacing[[#This Row],[Progress]]&gt;0%, "Surfacing",
IF(rigging[[#This Row],[Progress]]&gt;0%, "Rigging",
IF(modeling[[#This Row],[Progress]]&gt;0%, "Modeling",
IF(design[[#This Row],[Progress]]&gt;=0%, "Design"))))</f>
        <v>Surfacing</v>
      </c>
      <c r="F23" s="2">
        <f>SUM(design[[#This Row],[Estimated]], modeling[[#This Row],[Estimated]], rigging[[#This Row],[Estimated]], surfacing[[#This Row],[Estimated]])</f>
        <v>4</v>
      </c>
      <c r="G23" s="172">
        <f>design[[#This Row],[Progress]]</f>
        <v>1</v>
      </c>
      <c r="H23" s="172">
        <f>modeling[[#This Row],[Progress]]</f>
        <v>1</v>
      </c>
      <c r="I23" s="172">
        <f>rigging[[#This Row],[Progress]]</f>
        <v>0.99999999999999989</v>
      </c>
      <c r="J23" s="172">
        <f>surfacing[[#This Row],[Progress]]</f>
        <v>1</v>
      </c>
      <c r="K23" s="16" cm="1">
        <f t="array" ref="K23">SUM(assets[[#This Row],[design]:[surfacing]]*ASSETS_ponderation)</f>
        <v>1</v>
      </c>
      <c r="L23" s="84">
        <f>(1-assets[[#This Row],[Progress]])*assets[[#This Row],[Estimated]]</f>
        <v>0</v>
      </c>
      <c r="M23" s="188"/>
    </row>
    <row r="24" spans="1:13" ht="23.25" customHeight="1" x14ac:dyDescent="0.25">
      <c r="A24" s="174" t="str">
        <f>metaASSETS[[#This Row],[Asset Name]]</f>
        <v>villager_07</v>
      </c>
      <c r="B24" s="87" t="str">
        <f>metaASSETS[[#This Row],[Type]]</f>
        <v>Character</v>
      </c>
      <c r="D24" s="92">
        <f>SUM(LEN(design[[#This Row],[Priority]]),LEN(modeling[[#This Row],[Priority]]),LEN(surfacing[[#This Row],[Priority]]),LEN(rigging[[#This Row],[Priority]]))</f>
        <v>6</v>
      </c>
      <c r="E24" s="8" t="str">
        <f>IF(surfacing[[#This Row],[Progress]]&gt;0%, "Surfacing",
IF(rigging[[#This Row],[Progress]]&gt;0%, "Rigging",
IF(modeling[[#This Row],[Progress]]&gt;0%, "Modeling",
IF(design[[#This Row],[Progress]]&gt;=0%, "Design"))))</f>
        <v>Surfacing</v>
      </c>
      <c r="F24" s="2">
        <f>SUM(design[[#This Row],[Estimated]], modeling[[#This Row],[Estimated]], rigging[[#This Row],[Estimated]], surfacing[[#This Row],[Estimated]])</f>
        <v>4</v>
      </c>
      <c r="G24" s="172">
        <f>design[[#This Row],[Progress]]</f>
        <v>1</v>
      </c>
      <c r="H24" s="172">
        <f>modeling[[#This Row],[Progress]]</f>
        <v>1</v>
      </c>
      <c r="I24" s="172">
        <f>rigging[[#This Row],[Progress]]</f>
        <v>0.99999999999999989</v>
      </c>
      <c r="J24" s="172">
        <f>surfacing[[#This Row],[Progress]]</f>
        <v>1</v>
      </c>
      <c r="K24" s="16" cm="1">
        <f t="array" ref="K24">SUM(assets[[#This Row],[design]:[surfacing]]*ASSETS_ponderation)</f>
        <v>1</v>
      </c>
      <c r="L24" s="84">
        <f>(1-assets[[#This Row],[Progress]])*assets[[#This Row],[Estimated]]</f>
        <v>0</v>
      </c>
      <c r="M24" s="188"/>
    </row>
    <row r="25" spans="1:13" ht="23.25" customHeight="1" x14ac:dyDescent="0.25">
      <c r="A25" s="174" t="str">
        <f>metaASSETS[[#This Row],[Asset Name]]</f>
        <v>army_eng</v>
      </c>
      <c r="B25" s="87" t="str">
        <f>metaASSETS[[#This Row],[Type]]</f>
        <v>Crowd</v>
      </c>
      <c r="D25" s="92">
        <f>SUM(LEN(design[[#This Row],[Priority]]),LEN(modeling[[#This Row],[Priority]]),LEN(surfacing[[#This Row],[Priority]]),LEN(rigging[[#This Row],[Priority]]))</f>
        <v>10</v>
      </c>
      <c r="E25" s="8" t="str">
        <f>IF(surfacing[[#This Row],[Progress]]&gt;0%, "Surfacing",
IF(rigging[[#This Row],[Progress]]&gt;0%, "Rigging",
IF(modeling[[#This Row],[Progress]]&gt;0%, "Modeling",
IF(design[[#This Row],[Progress]]&gt;=0%, "Design"))))</f>
        <v>Surfacing</v>
      </c>
      <c r="F25" s="2">
        <f>SUM(design[[#This Row],[Estimated]], modeling[[#This Row],[Estimated]], rigging[[#This Row],[Estimated]], surfacing[[#This Row],[Estimated]])</f>
        <v>11</v>
      </c>
      <c r="G25" s="172">
        <f>design[[#This Row],[Progress]]</f>
        <v>1</v>
      </c>
      <c r="H25" s="172">
        <f>modeling[[#This Row],[Progress]]</f>
        <v>1</v>
      </c>
      <c r="I25" s="172">
        <f>rigging[[#This Row],[Progress]]</f>
        <v>0.99999999999999989</v>
      </c>
      <c r="J25" s="172">
        <f>surfacing[[#This Row],[Progress]]</f>
        <v>1</v>
      </c>
      <c r="K25" s="16" cm="1">
        <f t="array" ref="K25">SUM(assets[[#This Row],[design]:[surfacing]]*ASSETS_ponderation)</f>
        <v>1</v>
      </c>
      <c r="L25" s="84">
        <f>(1-assets[[#This Row],[Progress]])*assets[[#This Row],[Estimated]]</f>
        <v>0</v>
      </c>
      <c r="M25" s="188"/>
    </row>
    <row r="26" spans="1:13" ht="23.25" customHeight="1" x14ac:dyDescent="0.25">
      <c r="A26" s="174" t="str">
        <f>metaASSETS[[#This Row],[Asset Name]]</f>
        <v>army_fr</v>
      </c>
      <c r="B26" s="87" t="str">
        <f>metaASSETS[[#This Row],[Type]]</f>
        <v>Crowd</v>
      </c>
      <c r="D26" s="92">
        <f>SUM(LEN(design[[#This Row],[Priority]]),LEN(modeling[[#This Row],[Priority]]),LEN(surfacing[[#This Row],[Priority]]),LEN(rigging[[#This Row],[Priority]]))</f>
        <v>6</v>
      </c>
      <c r="E26" s="8" t="str">
        <f>IF(surfacing[[#This Row],[Progress]]&gt;0%, "Surfacing",
IF(rigging[[#This Row],[Progress]]&gt;0%, "Rigging",
IF(modeling[[#This Row],[Progress]]&gt;0%, "Modeling",
IF(design[[#This Row],[Progress]]&gt;=0%, "Design"))))</f>
        <v>Surfacing</v>
      </c>
      <c r="F26" s="2">
        <f>SUM(design[[#This Row],[Estimated]], modeling[[#This Row],[Estimated]], rigging[[#This Row],[Estimated]], surfacing[[#This Row],[Estimated]])</f>
        <v>11</v>
      </c>
      <c r="G26" s="172">
        <f>design[[#This Row],[Progress]]</f>
        <v>1</v>
      </c>
      <c r="H26" s="172">
        <f>modeling[[#This Row],[Progress]]</f>
        <v>1</v>
      </c>
      <c r="I26" s="172">
        <f>rigging[[#This Row],[Progress]]</f>
        <v>0.99999999999999989</v>
      </c>
      <c r="J26" s="172">
        <f>surfacing[[#This Row],[Progress]]</f>
        <v>1</v>
      </c>
      <c r="K26" s="16" cm="1">
        <f t="array" ref="K26">SUM(assets[[#This Row],[design]:[surfacing]]*ASSETS_ponderation)</f>
        <v>1</v>
      </c>
      <c r="L26" s="84">
        <f>(1-assets[[#This Row],[Progress]])*assets[[#This Row],[Estimated]]</f>
        <v>0</v>
      </c>
      <c r="M26" s="188"/>
    </row>
    <row r="27" spans="1:13" ht="23.25" customHeight="1" x14ac:dyDescent="0.25">
      <c r="A27" s="174" t="str">
        <f>metaASSETS[[#This Row],[Asset Name]]</f>
        <v>crowd_01</v>
      </c>
      <c r="B27" s="87" t="str">
        <f>metaASSETS[[#This Row],[Type]]</f>
        <v>Crowd</v>
      </c>
      <c r="D27" s="92">
        <f>SUM(LEN(design[[#This Row],[Priority]]),LEN(modeling[[#This Row],[Priority]]),LEN(surfacing[[#This Row],[Priority]]),LEN(rigging[[#This Row],[Priority]]))</f>
        <v>6</v>
      </c>
      <c r="E27" s="8" t="str">
        <f>IF(surfacing[[#This Row],[Progress]]&gt;0%, "Surfacing",
IF(rigging[[#This Row],[Progress]]&gt;0%, "Rigging",
IF(modeling[[#This Row],[Progress]]&gt;0%, "Modeling",
IF(design[[#This Row],[Progress]]&gt;=0%, "Design"))))</f>
        <v>Surfacing</v>
      </c>
      <c r="F27" s="2">
        <f>SUM(design[[#This Row],[Estimated]], modeling[[#This Row],[Estimated]], rigging[[#This Row],[Estimated]], surfacing[[#This Row],[Estimated]])</f>
        <v>14</v>
      </c>
      <c r="G27" s="172">
        <f>design[[#This Row],[Progress]]</f>
        <v>1</v>
      </c>
      <c r="H27" s="172">
        <f>modeling[[#This Row],[Progress]]</f>
        <v>1</v>
      </c>
      <c r="I27" s="172">
        <f>rigging[[#This Row],[Progress]]</f>
        <v>0.99999999999999989</v>
      </c>
      <c r="J27" s="172">
        <f>surfacing[[#This Row],[Progress]]</f>
        <v>1</v>
      </c>
      <c r="K27" s="16" cm="1">
        <f t="array" ref="K27">SUM(assets[[#This Row],[design]:[surfacing]]*ASSETS_ponderation)</f>
        <v>1</v>
      </c>
      <c r="L27" s="84">
        <f>(1-assets[[#This Row],[Progress]])*assets[[#This Row],[Estimated]]</f>
        <v>0</v>
      </c>
      <c r="M27" s="188"/>
    </row>
    <row r="28" spans="1:13" ht="23.25" customHeight="1" x14ac:dyDescent="0.25">
      <c r="A28" s="174" t="str">
        <f>metaASSETS[[#This Row],[Asset Name]]</f>
        <v>crowd_02</v>
      </c>
      <c r="B28" s="87" t="str">
        <f>metaASSETS[[#This Row],[Type]]</f>
        <v>Crowd</v>
      </c>
      <c r="D28" s="92">
        <f>SUM(LEN(design[[#This Row],[Priority]]),LEN(modeling[[#This Row],[Priority]]),LEN(surfacing[[#This Row],[Priority]]),LEN(rigging[[#This Row],[Priority]]))</f>
        <v>6</v>
      </c>
      <c r="E28" s="8" t="str">
        <f>IF(surfacing[[#This Row],[Progress]]&gt;0%, "Surfacing",
IF(rigging[[#This Row],[Progress]]&gt;0%, "Rigging",
IF(modeling[[#This Row],[Progress]]&gt;0%, "Modeling",
IF(design[[#This Row],[Progress]]&gt;=0%, "Design"))))</f>
        <v>Surfacing</v>
      </c>
      <c r="F28" s="2">
        <f>SUM(design[[#This Row],[Estimated]], modeling[[#This Row],[Estimated]], rigging[[#This Row],[Estimated]], surfacing[[#This Row],[Estimated]])</f>
        <v>13</v>
      </c>
      <c r="G28" s="172">
        <f>design[[#This Row],[Progress]]</f>
        <v>1</v>
      </c>
      <c r="H28" s="172">
        <f>modeling[[#This Row],[Progress]]</f>
        <v>1</v>
      </c>
      <c r="I28" s="172">
        <f>rigging[[#This Row],[Progress]]</f>
        <v>0.99999999999999989</v>
      </c>
      <c r="J28" s="172">
        <f>surfacing[[#This Row],[Progress]]</f>
        <v>1</v>
      </c>
      <c r="K28" s="16" cm="1">
        <f t="array" ref="K28">SUM(assets[[#This Row],[design]:[surfacing]]*ASSETS_ponderation)</f>
        <v>1</v>
      </c>
      <c r="L28" s="84">
        <f>(1-assets[[#This Row],[Progress]])*assets[[#This Row],[Estimated]]</f>
        <v>0</v>
      </c>
      <c r="M28" s="188"/>
    </row>
    <row r="29" spans="1:13" ht="23.25" customHeight="1" x14ac:dyDescent="0.25">
      <c r="A29" s="174" t="str">
        <f>metaASSETS[[#This Row],[Asset Name]]</f>
        <v>crowd_03</v>
      </c>
      <c r="B29" s="87" t="str">
        <f>metaASSETS[[#This Row],[Type]]</f>
        <v>Crowd</v>
      </c>
      <c r="D29" s="92">
        <f>SUM(LEN(design[[#This Row],[Priority]]),LEN(modeling[[#This Row],[Priority]]),LEN(surfacing[[#This Row],[Priority]]),LEN(rigging[[#This Row],[Priority]]))</f>
        <v>6</v>
      </c>
      <c r="E29" s="8" t="str">
        <f>IF(surfacing[[#This Row],[Progress]]&gt;0%, "Surfacing",
IF(rigging[[#This Row],[Progress]]&gt;0%, "Rigging",
IF(modeling[[#This Row],[Progress]]&gt;0%, "Modeling",
IF(design[[#This Row],[Progress]]&gt;=0%, "Design"))))</f>
        <v>Surfacing</v>
      </c>
      <c r="F29" s="2">
        <f>SUM(design[[#This Row],[Estimated]], modeling[[#This Row],[Estimated]], rigging[[#This Row],[Estimated]], surfacing[[#This Row],[Estimated]])</f>
        <v>16</v>
      </c>
      <c r="G29" s="172">
        <f>design[[#This Row],[Progress]]</f>
        <v>1</v>
      </c>
      <c r="H29" s="172">
        <f>modeling[[#This Row],[Progress]]</f>
        <v>1</v>
      </c>
      <c r="I29" s="172">
        <f>rigging[[#This Row],[Progress]]</f>
        <v>0.99999999999999989</v>
      </c>
      <c r="J29" s="172">
        <f>surfacing[[#This Row],[Progress]]</f>
        <v>1</v>
      </c>
      <c r="K29" s="16" cm="1">
        <f t="array" ref="K29">SUM(assets[[#This Row],[design]:[surfacing]]*ASSETS_ponderation)</f>
        <v>1</v>
      </c>
      <c r="L29" s="84">
        <f>(1-assets[[#This Row],[Progress]])*assets[[#This Row],[Estimated]]</f>
        <v>0</v>
      </c>
      <c r="M29" s="188"/>
    </row>
    <row r="30" spans="1:13" ht="23.25" customHeight="1" x14ac:dyDescent="0.25">
      <c r="A30" s="174" t="str">
        <f>metaASSETS[[#This Row],[Asset Name]]</f>
        <v>bucher</v>
      </c>
      <c r="B30" s="87" t="str">
        <f>metaASSETS[[#This Row],[Type]]</f>
        <v>Environment</v>
      </c>
      <c r="D30" s="92">
        <f>SUM(LEN(design[[#This Row],[Priority]]),LEN(modeling[[#This Row],[Priority]]),LEN(surfacing[[#This Row],[Priority]]),LEN(rigging[[#This Row],[Priority]]))</f>
        <v>6</v>
      </c>
      <c r="E30" s="8" t="str">
        <f>IF(surfacing[[#This Row],[Progress]]&gt;0%, "Surfacing",
IF(rigging[[#This Row],[Progress]]&gt;0%, "Rigging",
IF(modeling[[#This Row],[Progress]]&gt;0%, "Modeling",
IF(design[[#This Row],[Progress]]&gt;=0%, "Design"))))</f>
        <v>Rigging</v>
      </c>
      <c r="F30" s="2">
        <f>SUM(design[[#This Row],[Estimated]], modeling[[#This Row],[Estimated]], rigging[[#This Row],[Estimated]], surfacing[[#This Row],[Estimated]])</f>
        <v>15.5</v>
      </c>
      <c r="G30" s="172">
        <f>design[[#This Row],[Progress]]</f>
        <v>1</v>
      </c>
      <c r="H30" s="172">
        <f>modeling[[#This Row],[Progress]]</f>
        <v>0.94000000000000006</v>
      </c>
      <c r="I30" s="172">
        <f>rigging[[#This Row],[Progress]]</f>
        <v>0.99999999999999989</v>
      </c>
      <c r="J30" s="172">
        <f>surfacing[[#This Row],[Progress]]</f>
        <v>0</v>
      </c>
      <c r="K30" s="16" cm="1">
        <f t="array" ref="K30">SUM(assets[[#This Row],[design]:[surfacing]]*ASSETS_ponderation)</f>
        <v>0.72599999999999998</v>
      </c>
      <c r="L30" s="84">
        <f>(1-assets[[#This Row],[Progress]])*assets[[#This Row],[Estimated]]</f>
        <v>4.2469999999999999</v>
      </c>
      <c r="M30" s="188"/>
    </row>
    <row r="31" spans="1:13" ht="23.25" customHeight="1" x14ac:dyDescent="0.25">
      <c r="A31" s="175" t="str">
        <f>metaASSETS[[#This Row],[Asset Name]]</f>
        <v>church_ext</v>
      </c>
      <c r="B31" s="8" t="str">
        <f>metaASSETS[[#This Row],[Type]]</f>
        <v>Environment</v>
      </c>
      <c r="D31" s="92">
        <f>SUM(LEN(design[[#This Row],[Priority]]),LEN(modeling[[#This Row],[Priority]]),LEN(surfacing[[#This Row],[Priority]]),LEN(rigging[[#This Row],[Priority]]))</f>
        <v>14</v>
      </c>
      <c r="E31" s="8" t="str">
        <f>IF(surfacing[[#This Row],[Progress]]&gt;0%, "Surfacing",
IF(rigging[[#This Row],[Progress]]&gt;0%, "Rigging",
IF(modeling[[#This Row],[Progress]]&gt;0%, "Modeling",
IF(design[[#This Row],[Progress]]&gt;=0%, "Design"))))</f>
        <v>Surfacing</v>
      </c>
      <c r="F31" s="2">
        <f>SUM(design[[#This Row],[Estimated]], modeling[[#This Row],[Estimated]], rigging[[#This Row],[Estimated]], surfacing[[#This Row],[Estimated]])</f>
        <v>47</v>
      </c>
      <c r="G31" s="172">
        <f>design[[#This Row],[Progress]]</f>
        <v>1</v>
      </c>
      <c r="H31" s="172">
        <f>modeling[[#This Row],[Progress]]</f>
        <v>1</v>
      </c>
      <c r="I31" s="172">
        <f>rigging[[#This Row],[Progress]]</f>
        <v>0.99999999999999989</v>
      </c>
      <c r="J31" s="172">
        <f>surfacing[[#This Row],[Progress]]</f>
        <v>0.82499999999999996</v>
      </c>
      <c r="K31" s="16" cm="1">
        <f t="array" ref="K31">SUM(assets[[#This Row],[design]:[surfacing]]*ASSETS_ponderation)</f>
        <v>0.95625000000000004</v>
      </c>
      <c r="L31" s="84">
        <f>(1-assets[[#This Row],[Progress]])*assets[[#This Row],[Estimated]]</f>
        <v>2.0562499999999977</v>
      </c>
      <c r="M31" s="223"/>
    </row>
    <row r="32" spans="1:13" ht="23.25" customHeight="1" x14ac:dyDescent="0.25">
      <c r="A32" s="175" t="str">
        <f>metaASSETS[[#This Row],[Asset Name]]</f>
        <v>church_int</v>
      </c>
      <c r="B32" s="8" t="str">
        <f>metaASSETS[[#This Row],[Type]]</f>
        <v>Environment</v>
      </c>
      <c r="D32" s="92">
        <f>SUM(LEN(design[[#This Row],[Priority]]),LEN(modeling[[#This Row],[Priority]]),LEN(surfacing[[#This Row],[Priority]]),LEN(rigging[[#This Row],[Priority]]))</f>
        <v>14</v>
      </c>
      <c r="E32" s="8" t="str">
        <f>IF(surfacing[[#This Row],[Progress]]&gt;0%, "Surfacing",
IF(rigging[[#This Row],[Progress]]&gt;0%, "Rigging",
IF(modeling[[#This Row],[Progress]]&gt;0%, "Modeling",
IF(design[[#This Row],[Progress]]&gt;=0%, "Design"))))</f>
        <v>Surfacing</v>
      </c>
      <c r="F32" s="2">
        <f>SUM(design[[#This Row],[Estimated]], modeling[[#This Row],[Estimated]], rigging[[#This Row],[Estimated]], surfacing[[#This Row],[Estimated]])</f>
        <v>64</v>
      </c>
      <c r="G32" s="172">
        <f>design[[#This Row],[Progress]]</f>
        <v>1</v>
      </c>
      <c r="H32" s="172">
        <f>modeling[[#This Row],[Progress]]</f>
        <v>0.94</v>
      </c>
      <c r="I32" s="172">
        <f>rigging[[#This Row],[Progress]]</f>
        <v>0.99999999999999989</v>
      </c>
      <c r="J32" s="172">
        <f>surfacing[[#This Row],[Progress]]</f>
        <v>0.82499999999999996</v>
      </c>
      <c r="K32" s="90" cm="1">
        <f t="array" ref="K32">SUM(assets[[#This Row],[design]:[surfacing]]*ASSETS_ponderation)</f>
        <v>0.93225000000000002</v>
      </c>
      <c r="L32" s="84">
        <f>(1-assets[[#This Row],[Progress]])*assets[[#This Row],[Estimated]]</f>
        <v>4.3359999999999985</v>
      </c>
      <c r="M32" s="223"/>
    </row>
    <row r="33" spans="1:13" ht="23.25" customHeight="1" x14ac:dyDescent="0.25">
      <c r="A33" s="175" t="str">
        <f>metaASSETS[[#This Row],[Asset Name]]</f>
        <v>door_01</v>
      </c>
      <c r="B33" s="8" t="str">
        <f>metaASSETS[[#This Row],[Type]]</f>
        <v>Environment</v>
      </c>
      <c r="D33" s="92">
        <f>SUM(LEN(design[[#This Row],[Priority]]),LEN(modeling[[#This Row],[Priority]]),LEN(surfacing[[#This Row],[Priority]]),LEN(rigging[[#This Row],[Priority]]))</f>
        <v>14</v>
      </c>
      <c r="E33" s="8" t="str">
        <f>IF(surfacing[[#This Row],[Progress]]&gt;0%, "Surfacing",
IF(rigging[[#This Row],[Progress]]&gt;0%, "Rigging",
IF(modeling[[#This Row],[Progress]]&gt;0%, "Modeling",
IF(design[[#This Row],[Progress]]&gt;=0%, "Design"))))</f>
        <v>Surfacing</v>
      </c>
      <c r="F33" s="2">
        <f>SUM(design[[#This Row],[Estimated]], modeling[[#This Row],[Estimated]], rigging[[#This Row],[Estimated]], surfacing[[#This Row],[Estimated]])</f>
        <v>1.75</v>
      </c>
      <c r="G33" s="172">
        <f>design[[#This Row],[Progress]]</f>
        <v>1</v>
      </c>
      <c r="H33" s="172">
        <f>modeling[[#This Row],[Progress]]</f>
        <v>1</v>
      </c>
      <c r="I33" s="172">
        <f>rigging[[#This Row],[Progress]]</f>
        <v>0.99999999999999989</v>
      </c>
      <c r="J33" s="172">
        <f>surfacing[[#This Row],[Progress]]</f>
        <v>1</v>
      </c>
      <c r="K33" s="90" cm="1">
        <f t="array" ref="K33">SUM(assets[[#This Row],[design]:[surfacing]]*ASSETS_ponderation)</f>
        <v>1</v>
      </c>
      <c r="L33" s="84">
        <f>(1-assets[[#This Row],[Progress]])*assets[[#This Row],[Estimated]]</f>
        <v>0</v>
      </c>
      <c r="M33" s="223"/>
    </row>
    <row r="34" spans="1:13" ht="23.25" customHeight="1" x14ac:dyDescent="0.25">
      <c r="A34" s="175" t="str">
        <f>metaASSETS[[#This Row],[Asset Name]]</f>
        <v>door_02</v>
      </c>
      <c r="B34" s="8" t="str">
        <f>metaASSETS[[#This Row],[Type]]</f>
        <v>Environment</v>
      </c>
      <c r="D34" s="92">
        <f>SUM(LEN(design[[#This Row],[Priority]]),LEN(modeling[[#This Row],[Priority]]),LEN(surfacing[[#This Row],[Priority]]),LEN(rigging[[#This Row],[Priority]]))</f>
        <v>4</v>
      </c>
      <c r="E34" s="8" t="str">
        <f>IF(surfacing[[#This Row],[Progress]]&gt;0%, "Surfacing",
IF(rigging[[#This Row],[Progress]]&gt;0%, "Rigging",
IF(modeling[[#This Row],[Progress]]&gt;0%, "Modeling",
IF(design[[#This Row],[Progress]]&gt;=0%, "Design"))))</f>
        <v>Surfacing</v>
      </c>
      <c r="F34" s="2">
        <f>SUM(design[[#This Row],[Estimated]], modeling[[#This Row],[Estimated]], rigging[[#This Row],[Estimated]], surfacing[[#This Row],[Estimated]])</f>
        <v>1.75</v>
      </c>
      <c r="G34" s="172">
        <f>design[[#This Row],[Progress]]</f>
        <v>1</v>
      </c>
      <c r="H34" s="172">
        <f>modeling[[#This Row],[Progress]]</f>
        <v>1</v>
      </c>
      <c r="I34" s="172">
        <f>rigging[[#This Row],[Progress]]</f>
        <v>0.99999999999999989</v>
      </c>
      <c r="J34" s="172">
        <f>surfacing[[#This Row],[Progress]]</f>
        <v>1</v>
      </c>
      <c r="K34" s="90" cm="1">
        <f t="array" ref="K34">SUM(assets[[#This Row],[design]:[surfacing]]*ASSETS_ponderation)</f>
        <v>1</v>
      </c>
      <c r="L34" s="84">
        <f>(1-assets[[#This Row],[Progress]])*assets[[#This Row],[Estimated]]</f>
        <v>0</v>
      </c>
      <c r="M34" s="223"/>
    </row>
    <row r="35" spans="1:13" ht="23.25" customHeight="1" x14ac:dyDescent="0.25">
      <c r="A35" s="175" t="str">
        <f>metaASSETS[[#This Row],[Asset Name]]</f>
        <v>door_03</v>
      </c>
      <c r="B35" s="8" t="str">
        <f>metaASSETS[[#This Row],[Type]]</f>
        <v>Environment</v>
      </c>
      <c r="D35" s="92">
        <f>SUM(LEN(design[[#This Row],[Priority]]),LEN(modeling[[#This Row],[Priority]]),LEN(surfacing[[#This Row],[Priority]]),LEN(rigging[[#This Row],[Priority]]))</f>
        <v>4</v>
      </c>
      <c r="E35" s="8" t="str">
        <f>IF(surfacing[[#This Row],[Progress]]&gt;0%, "Surfacing",
IF(rigging[[#This Row],[Progress]]&gt;0%, "Rigging",
IF(modeling[[#This Row],[Progress]]&gt;0%, "Modeling",
IF(design[[#This Row],[Progress]]&gt;=0%, "Design"))))</f>
        <v>Surfacing</v>
      </c>
      <c r="F35" s="2">
        <f>SUM(design[[#This Row],[Estimated]], modeling[[#This Row],[Estimated]], rigging[[#This Row],[Estimated]], surfacing[[#This Row],[Estimated]])</f>
        <v>1.75</v>
      </c>
      <c r="G35" s="172">
        <f>design[[#This Row],[Progress]]</f>
        <v>1</v>
      </c>
      <c r="H35" s="172">
        <f>modeling[[#This Row],[Progress]]</f>
        <v>1</v>
      </c>
      <c r="I35" s="172">
        <f>rigging[[#This Row],[Progress]]</f>
        <v>0.99999999999999989</v>
      </c>
      <c r="J35" s="172">
        <f>surfacing[[#This Row],[Progress]]</f>
        <v>1</v>
      </c>
      <c r="K35" s="16" cm="1">
        <f t="array" ref="K35">SUM(assets[[#This Row],[design]:[surfacing]]*ASSETS_ponderation)</f>
        <v>1</v>
      </c>
      <c r="L35" s="84">
        <f>(1-assets[[#This Row],[Progress]])*assets[[#This Row],[Estimated]]</f>
        <v>0</v>
      </c>
      <c r="M35" s="223"/>
    </row>
    <row r="36" spans="1:13" ht="23.25" customHeight="1" x14ac:dyDescent="0.25">
      <c r="A36" s="175" t="str">
        <f>metaASSETS[[#This Row],[Asset Name]]</f>
        <v>door_04</v>
      </c>
      <c r="B36" s="8" t="str">
        <f>metaASSETS[[#This Row],[Type]]</f>
        <v>Environment</v>
      </c>
      <c r="D36" s="92">
        <f>SUM(LEN(design[[#This Row],[Priority]]),LEN(modeling[[#This Row],[Priority]]),LEN(surfacing[[#This Row],[Priority]]),LEN(rigging[[#This Row],[Priority]]))</f>
        <v>4</v>
      </c>
      <c r="E36" s="8" t="str">
        <f>IF(surfacing[[#This Row],[Progress]]&gt;0%, "Surfacing",
IF(rigging[[#This Row],[Progress]]&gt;0%, "Rigging",
IF(modeling[[#This Row],[Progress]]&gt;0%, "Modeling",
IF(design[[#This Row],[Progress]]&gt;=0%, "Design"))))</f>
        <v>Surfacing</v>
      </c>
      <c r="F36" s="2">
        <f>SUM(design[[#This Row],[Estimated]], modeling[[#This Row],[Estimated]], rigging[[#This Row],[Estimated]], surfacing[[#This Row],[Estimated]])</f>
        <v>1.75</v>
      </c>
      <c r="G36" s="172">
        <f>design[[#This Row],[Progress]]</f>
        <v>1</v>
      </c>
      <c r="H36" s="172">
        <f>modeling[[#This Row],[Progress]]</f>
        <v>1</v>
      </c>
      <c r="I36" s="172">
        <f>rigging[[#This Row],[Progress]]</f>
        <v>0.99999999999999989</v>
      </c>
      <c r="J36" s="172">
        <f>surfacing[[#This Row],[Progress]]</f>
        <v>1</v>
      </c>
      <c r="K36" s="16" cm="1">
        <f t="array" ref="K36">SUM(assets[[#This Row],[design]:[surfacing]]*ASSETS_ponderation)</f>
        <v>1</v>
      </c>
      <c r="L36" s="84">
        <f>(1-assets[[#This Row],[Progress]])*assets[[#This Row],[Estimated]]</f>
        <v>0</v>
      </c>
      <c r="M36" s="223"/>
    </row>
    <row r="37" spans="1:13" ht="23.25" customHeight="1" x14ac:dyDescent="0.25">
      <c r="A37" s="175" t="str">
        <f>metaASSETS[[#This Row],[Asset Name]]</f>
        <v>door_05</v>
      </c>
      <c r="B37" s="8" t="str">
        <f>metaASSETS[[#This Row],[Type]]</f>
        <v>Environment</v>
      </c>
      <c r="D37" s="92">
        <f>SUM(LEN(design[[#This Row],[Priority]]),LEN(modeling[[#This Row],[Priority]]),LEN(surfacing[[#This Row],[Priority]]),LEN(rigging[[#This Row],[Priority]]))</f>
        <v>4</v>
      </c>
      <c r="E37" s="8" t="str">
        <f>IF(surfacing[[#This Row],[Progress]]&gt;0%, "Surfacing",
IF(rigging[[#This Row],[Progress]]&gt;0%, "Rigging",
IF(modeling[[#This Row],[Progress]]&gt;0%, "Modeling",
IF(design[[#This Row],[Progress]]&gt;=0%, "Design"))))</f>
        <v>Surfacing</v>
      </c>
      <c r="F37" s="2">
        <f>SUM(design[[#This Row],[Estimated]], modeling[[#This Row],[Estimated]], rigging[[#This Row],[Estimated]], surfacing[[#This Row],[Estimated]])</f>
        <v>1.75</v>
      </c>
      <c r="G37" s="172">
        <f>design[[#This Row],[Progress]]</f>
        <v>1</v>
      </c>
      <c r="H37" s="172">
        <f>modeling[[#This Row],[Progress]]</f>
        <v>1</v>
      </c>
      <c r="I37" s="172">
        <f>rigging[[#This Row],[Progress]]</f>
        <v>0.99999999999999989</v>
      </c>
      <c r="J37" s="172">
        <f>surfacing[[#This Row],[Progress]]</f>
        <v>1</v>
      </c>
      <c r="K37" s="16" cm="1">
        <f t="array" ref="K37">SUM(assets[[#This Row],[design]:[surfacing]]*ASSETS_ponderation)</f>
        <v>1</v>
      </c>
      <c r="L37" s="84">
        <f>(1-assets[[#This Row],[Progress]])*assets[[#This Row],[Estimated]]</f>
        <v>0</v>
      </c>
      <c r="M37" s="223"/>
    </row>
    <row r="38" spans="1:13" ht="23.25" customHeight="1" x14ac:dyDescent="0.25">
      <c r="A38" s="175" t="str">
        <f>metaASSETS[[#This Row],[Asset Name]]</f>
        <v>fake_int</v>
      </c>
      <c r="B38" s="8" t="str">
        <f>metaASSETS[[#This Row],[Type]]</f>
        <v>Environment</v>
      </c>
      <c r="D38" s="92">
        <f>SUM(LEN(design[[#This Row],[Priority]]),LEN(modeling[[#This Row],[Priority]]),LEN(surfacing[[#This Row],[Priority]]),LEN(rigging[[#This Row],[Priority]]))</f>
        <v>4</v>
      </c>
      <c r="E38" s="8" t="str">
        <f>IF(surfacing[[#This Row],[Progress]]&gt;0%, "Surfacing",
IF(rigging[[#This Row],[Progress]]&gt;0%, "Rigging",
IF(modeling[[#This Row],[Progress]]&gt;0%, "Modeling",
IF(design[[#This Row],[Progress]]&gt;=0%, "Design"))))</f>
        <v>Surfacing</v>
      </c>
      <c r="F38" s="2">
        <f>SUM(design[[#This Row],[Estimated]], modeling[[#This Row],[Estimated]], rigging[[#This Row],[Estimated]], surfacing[[#This Row],[Estimated]])</f>
        <v>3</v>
      </c>
      <c r="G38" s="172">
        <f>design[[#This Row],[Progress]]</f>
        <v>1</v>
      </c>
      <c r="H38" s="172">
        <f>modeling[[#This Row],[Progress]]</f>
        <v>1</v>
      </c>
      <c r="I38" s="172">
        <f>rigging[[#This Row],[Progress]]</f>
        <v>0.99999999999999989</v>
      </c>
      <c r="J38" s="172">
        <f>surfacing[[#This Row],[Progress]]</f>
        <v>1</v>
      </c>
      <c r="K38" s="16" cm="1">
        <f t="array" ref="K38">SUM(assets[[#This Row],[design]:[surfacing]]*ASSETS_ponderation)</f>
        <v>1</v>
      </c>
      <c r="L38" s="84">
        <f>(1-assets[[#This Row],[Progress]])*assets[[#This Row],[Estimated]]</f>
        <v>0</v>
      </c>
      <c r="M38" s="223"/>
    </row>
    <row r="39" spans="1:13" ht="23.25" customHeight="1" x14ac:dyDescent="0.25">
      <c r="A39" s="175" t="str">
        <f>metaASSETS[[#This Row],[Asset Name]]</f>
        <v>flr_01</v>
      </c>
      <c r="B39" s="8" t="str">
        <f>metaASSETS[[#This Row],[Type]]</f>
        <v>Environment</v>
      </c>
      <c r="D39" s="92">
        <f>SUM(LEN(design[[#This Row],[Priority]]),LEN(modeling[[#This Row],[Priority]]),LEN(surfacing[[#This Row],[Priority]]),LEN(rigging[[#This Row],[Priority]]))</f>
        <v>6</v>
      </c>
      <c r="E39" s="8" t="str">
        <f>IF(surfacing[[#This Row],[Progress]]&gt;0%, "Surfacing",
IF(rigging[[#This Row],[Progress]]&gt;0%, "Rigging",
IF(modeling[[#This Row],[Progress]]&gt;0%, "Modeling",
IF(design[[#This Row],[Progress]]&gt;=0%, "Design"))))</f>
        <v>Surfacing</v>
      </c>
      <c r="F39" s="2">
        <f>SUM(design[[#This Row],[Estimated]], modeling[[#This Row],[Estimated]], rigging[[#This Row],[Estimated]], surfacing[[#This Row],[Estimated]])</f>
        <v>1.75</v>
      </c>
      <c r="G39" s="172">
        <f>design[[#This Row],[Progress]]</f>
        <v>1</v>
      </c>
      <c r="H39" s="172">
        <f>modeling[[#This Row],[Progress]]</f>
        <v>1</v>
      </c>
      <c r="I39" s="172">
        <f>rigging[[#This Row],[Progress]]</f>
        <v>0.99999999999999989</v>
      </c>
      <c r="J39" s="172">
        <f>surfacing[[#This Row],[Progress]]</f>
        <v>1</v>
      </c>
      <c r="K39" s="16" cm="1">
        <f t="array" ref="K39">SUM(assets[[#This Row],[design]:[surfacing]]*ASSETS_ponderation)</f>
        <v>1</v>
      </c>
      <c r="L39" s="84">
        <f>(1-assets[[#This Row],[Progress]])*assets[[#This Row],[Estimated]]</f>
        <v>0</v>
      </c>
      <c r="M39" s="223"/>
    </row>
    <row r="40" spans="1:13" ht="23.25" customHeight="1" x14ac:dyDescent="0.25">
      <c r="A40" s="175" t="str">
        <f>metaASSETS[[#This Row],[Asset Name]]</f>
        <v>flr_02</v>
      </c>
      <c r="B40" s="8" t="str">
        <f>metaASSETS[[#This Row],[Type]]</f>
        <v>Environment</v>
      </c>
      <c r="D40" s="92">
        <f>SUM(LEN(design[[#This Row],[Priority]]),LEN(modeling[[#This Row],[Priority]]),LEN(surfacing[[#This Row],[Priority]]),LEN(rigging[[#This Row],[Priority]]))</f>
        <v>8</v>
      </c>
      <c r="E40" s="8" t="str">
        <f>IF(surfacing[[#This Row],[Progress]]&gt;0%, "Surfacing",
IF(rigging[[#This Row],[Progress]]&gt;0%, "Rigging",
IF(modeling[[#This Row],[Progress]]&gt;0%, "Modeling",
IF(design[[#This Row],[Progress]]&gt;=0%, "Design"))))</f>
        <v>Surfacing</v>
      </c>
      <c r="F40" s="2">
        <f>SUM(design[[#This Row],[Estimated]], modeling[[#This Row],[Estimated]], rigging[[#This Row],[Estimated]], surfacing[[#This Row],[Estimated]])</f>
        <v>1.75</v>
      </c>
      <c r="G40" s="172">
        <f>design[[#This Row],[Progress]]</f>
        <v>1</v>
      </c>
      <c r="H40" s="172">
        <f>modeling[[#This Row],[Progress]]</f>
        <v>1</v>
      </c>
      <c r="I40" s="172">
        <f>rigging[[#This Row],[Progress]]</f>
        <v>0.99999999999999989</v>
      </c>
      <c r="J40" s="172">
        <f>surfacing[[#This Row],[Progress]]</f>
        <v>1</v>
      </c>
      <c r="K40" s="16" cm="1">
        <f t="array" ref="K40">SUM(assets[[#This Row],[design]:[surfacing]]*ASSETS_ponderation)</f>
        <v>1</v>
      </c>
      <c r="L40" s="84">
        <f>(1-assets[[#This Row],[Progress]])*assets[[#This Row],[Estimated]]</f>
        <v>0</v>
      </c>
      <c r="M40" s="223"/>
    </row>
    <row r="41" spans="1:13" ht="23.25" customHeight="1" x14ac:dyDescent="0.25">
      <c r="A41" s="175" t="str">
        <f>metaASSETS[[#This Row],[Asset Name]]</f>
        <v>hill</v>
      </c>
      <c r="B41" s="8" t="str">
        <f>metaASSETS[[#This Row],[Type]]</f>
        <v>Environment</v>
      </c>
      <c r="D41" s="92">
        <f>SUM(LEN(design[[#This Row],[Priority]]),LEN(modeling[[#This Row],[Priority]]),LEN(surfacing[[#This Row],[Priority]]),LEN(rigging[[#This Row],[Priority]]))</f>
        <v>8</v>
      </c>
      <c r="E41" s="8" t="str">
        <f>IF(surfacing[[#This Row],[Progress]]&gt;0%, "Surfacing",
IF(rigging[[#This Row],[Progress]]&gt;0%, "Rigging",
IF(modeling[[#This Row],[Progress]]&gt;0%, "Modeling",
IF(design[[#This Row],[Progress]]&gt;=0%, "Design"))))</f>
        <v>Surfacing</v>
      </c>
      <c r="F41" s="2">
        <f>SUM(design[[#This Row],[Estimated]], modeling[[#This Row],[Estimated]], rigging[[#This Row],[Estimated]], surfacing[[#This Row],[Estimated]])</f>
        <v>12</v>
      </c>
      <c r="G41" s="172">
        <f>design[[#This Row],[Progress]]</f>
        <v>1</v>
      </c>
      <c r="H41" s="172">
        <f>modeling[[#This Row],[Progress]]</f>
        <v>1</v>
      </c>
      <c r="I41" s="172">
        <f>rigging[[#This Row],[Progress]]</f>
        <v>0.99999999999999989</v>
      </c>
      <c r="J41" s="172">
        <f>surfacing[[#This Row],[Progress]]</f>
        <v>1</v>
      </c>
      <c r="K41" s="16" cm="1">
        <f t="array" ref="K41">SUM(assets[[#This Row],[design]:[surfacing]]*ASSETS_ponderation)</f>
        <v>1</v>
      </c>
      <c r="L41" s="84">
        <f>(1-assets[[#This Row],[Progress]])*assets[[#This Row],[Estimated]]</f>
        <v>0</v>
      </c>
      <c r="M41" s="223"/>
    </row>
    <row r="42" spans="1:13" ht="23.25" customHeight="1" x14ac:dyDescent="0.25">
      <c r="A42" s="175" t="str">
        <f>metaASSETS[[#This Row],[Asset Name]]</f>
        <v>house_01</v>
      </c>
      <c r="B42" s="8" t="str">
        <f>metaASSETS[[#This Row],[Type]]</f>
        <v>Environment</v>
      </c>
      <c r="D42" s="92">
        <f>SUM(LEN(design[[#This Row],[Priority]]),LEN(modeling[[#This Row],[Priority]]),LEN(surfacing[[#This Row],[Priority]]),LEN(rigging[[#This Row],[Priority]]))</f>
        <v>13</v>
      </c>
      <c r="E42" s="8" t="str">
        <f>IF(surfacing[[#This Row],[Progress]]&gt;0%, "Surfacing",
IF(rigging[[#This Row],[Progress]]&gt;0%, "Rigging",
IF(modeling[[#This Row],[Progress]]&gt;0%, "Modeling",
IF(design[[#This Row],[Progress]]&gt;=0%, "Design"))))</f>
        <v>Surfacing</v>
      </c>
      <c r="F42" s="2">
        <f>SUM(design[[#This Row],[Estimated]], modeling[[#This Row],[Estimated]], rigging[[#This Row],[Estimated]], surfacing[[#This Row],[Estimated]])</f>
        <v>9</v>
      </c>
      <c r="G42" s="172">
        <f>design[[#This Row],[Progress]]</f>
        <v>1</v>
      </c>
      <c r="H42" s="172">
        <f>modeling[[#This Row],[Progress]]</f>
        <v>1</v>
      </c>
      <c r="I42" s="172">
        <f>rigging[[#This Row],[Progress]]</f>
        <v>0.99999999999999989</v>
      </c>
      <c r="J42" s="172">
        <f>surfacing[[#This Row],[Progress]]</f>
        <v>1</v>
      </c>
      <c r="K42" s="16" cm="1">
        <f t="array" ref="K42">SUM(assets[[#This Row],[design]:[surfacing]]*ASSETS_ponderation)</f>
        <v>1</v>
      </c>
      <c r="L42" s="84">
        <f>(1-assets[[#This Row],[Progress]])*assets[[#This Row],[Estimated]]</f>
        <v>0</v>
      </c>
      <c r="M42" s="223"/>
    </row>
    <row r="43" spans="1:13" ht="23.25" customHeight="1" x14ac:dyDescent="0.25">
      <c r="A43" s="175" t="str">
        <f>metaASSETS[[#This Row],[Asset Name]]</f>
        <v>house_02</v>
      </c>
      <c r="B43" s="8" t="str">
        <f>metaASSETS[[#This Row],[Type]]</f>
        <v>Environment</v>
      </c>
      <c r="D43" s="92">
        <f>SUM(LEN(design[[#This Row],[Priority]]),LEN(modeling[[#This Row],[Priority]]),LEN(surfacing[[#This Row],[Priority]]),LEN(rigging[[#This Row],[Priority]]))</f>
        <v>8</v>
      </c>
      <c r="E43" s="8" t="str">
        <f>IF(surfacing[[#This Row],[Progress]]&gt;0%, "Surfacing",
IF(rigging[[#This Row],[Progress]]&gt;0%, "Rigging",
IF(modeling[[#This Row],[Progress]]&gt;0%, "Modeling",
IF(design[[#This Row],[Progress]]&gt;=0%, "Design"))))</f>
        <v>Surfacing</v>
      </c>
      <c r="F43" s="2">
        <f>SUM(design[[#This Row],[Estimated]], modeling[[#This Row],[Estimated]], rigging[[#This Row],[Estimated]], surfacing[[#This Row],[Estimated]])</f>
        <v>9</v>
      </c>
      <c r="G43" s="172">
        <f>design[[#This Row],[Progress]]</f>
        <v>1</v>
      </c>
      <c r="H43" s="172">
        <f>modeling[[#This Row],[Progress]]</f>
        <v>1</v>
      </c>
      <c r="I43" s="172">
        <f>rigging[[#This Row],[Progress]]</f>
        <v>0.99999999999999989</v>
      </c>
      <c r="J43" s="172">
        <f>surfacing[[#This Row],[Progress]]</f>
        <v>1</v>
      </c>
      <c r="K43" s="16" cm="1">
        <f t="array" ref="K43">SUM(assets[[#This Row],[design]:[surfacing]]*ASSETS_ponderation)</f>
        <v>1</v>
      </c>
      <c r="L43" s="84">
        <f>(1-assets[[#This Row],[Progress]])*assets[[#This Row],[Estimated]]</f>
        <v>0</v>
      </c>
      <c r="M43" s="223"/>
    </row>
    <row r="44" spans="1:13" ht="23.25" customHeight="1" x14ac:dyDescent="0.25">
      <c r="A44" s="175" t="str">
        <f>metaASSETS[[#This Row],[Asset Name]]</f>
        <v>house_03</v>
      </c>
      <c r="B44" s="8" t="str">
        <f>metaASSETS[[#This Row],[Type]]</f>
        <v>Environment</v>
      </c>
      <c r="D44" s="92">
        <f>SUM(LEN(design[[#This Row],[Priority]]),LEN(modeling[[#This Row],[Priority]]),LEN(surfacing[[#This Row],[Priority]]),LEN(rigging[[#This Row],[Priority]]))</f>
        <v>8</v>
      </c>
      <c r="E44" s="8" t="str">
        <f>IF(surfacing[[#This Row],[Progress]]&gt;0%, "Surfacing",
IF(rigging[[#This Row],[Progress]]&gt;0%, "Rigging",
IF(modeling[[#This Row],[Progress]]&gt;0%, "Modeling",
IF(design[[#This Row],[Progress]]&gt;=0%, "Design"))))</f>
        <v>Surfacing</v>
      </c>
      <c r="F44" s="2">
        <f>SUM(design[[#This Row],[Estimated]], modeling[[#This Row],[Estimated]], rigging[[#This Row],[Estimated]], surfacing[[#This Row],[Estimated]])</f>
        <v>9</v>
      </c>
      <c r="G44" s="172">
        <f>design[[#This Row],[Progress]]</f>
        <v>1</v>
      </c>
      <c r="H44" s="172">
        <f>modeling[[#This Row],[Progress]]</f>
        <v>1</v>
      </c>
      <c r="I44" s="172">
        <f>rigging[[#This Row],[Progress]]</f>
        <v>0.99999999999999989</v>
      </c>
      <c r="J44" s="172">
        <f>surfacing[[#This Row],[Progress]]</f>
        <v>1</v>
      </c>
      <c r="K44" s="16" cm="1">
        <f t="array" ref="K44">SUM(assets[[#This Row],[design]:[surfacing]]*ASSETS_ponderation)</f>
        <v>1</v>
      </c>
      <c r="L44" s="84">
        <f>(1-assets[[#This Row],[Progress]])*assets[[#This Row],[Estimated]]</f>
        <v>0</v>
      </c>
      <c r="M44" s="223"/>
    </row>
    <row r="45" spans="1:13" ht="23.25" customHeight="1" x14ac:dyDescent="0.25">
      <c r="A45" s="175" t="str">
        <f>metaASSETS[[#This Row],[Asset Name]]</f>
        <v>house_04</v>
      </c>
      <c r="B45" s="8" t="str">
        <f>metaASSETS[[#This Row],[Type]]</f>
        <v>Environment</v>
      </c>
      <c r="D45" s="92">
        <f>SUM(LEN(design[[#This Row],[Priority]]),LEN(modeling[[#This Row],[Priority]]),LEN(surfacing[[#This Row],[Priority]]),LEN(rigging[[#This Row],[Priority]]))</f>
        <v>8</v>
      </c>
      <c r="E45" s="8" t="str">
        <f>IF(surfacing[[#This Row],[Progress]]&gt;0%, "Surfacing",
IF(rigging[[#This Row],[Progress]]&gt;0%, "Rigging",
IF(modeling[[#This Row],[Progress]]&gt;0%, "Modeling",
IF(design[[#This Row],[Progress]]&gt;=0%, "Design"))))</f>
        <v>Surfacing</v>
      </c>
      <c r="F45" s="2">
        <f>SUM(design[[#This Row],[Estimated]], modeling[[#This Row],[Estimated]], rigging[[#This Row],[Estimated]], surfacing[[#This Row],[Estimated]])</f>
        <v>9</v>
      </c>
      <c r="G45" s="172">
        <f>design[[#This Row],[Progress]]</f>
        <v>1</v>
      </c>
      <c r="H45" s="172">
        <f>modeling[[#This Row],[Progress]]</f>
        <v>1</v>
      </c>
      <c r="I45" s="172">
        <f>rigging[[#This Row],[Progress]]</f>
        <v>0.99999999999999989</v>
      </c>
      <c r="J45" s="172">
        <f>surfacing[[#This Row],[Progress]]</f>
        <v>1</v>
      </c>
      <c r="K45" s="16" cm="1">
        <f t="array" ref="K45">SUM(assets[[#This Row],[design]:[surfacing]]*ASSETS_ponderation)</f>
        <v>1</v>
      </c>
      <c r="L45" s="84">
        <f>(1-assets[[#This Row],[Progress]])*assets[[#This Row],[Estimated]]</f>
        <v>0</v>
      </c>
      <c r="M45" s="223"/>
    </row>
    <row r="46" spans="1:13" ht="23.25" customHeight="1" x14ac:dyDescent="0.25">
      <c r="A46" s="175" t="str">
        <f>metaASSETS[[#This Row],[Asset Name]]</f>
        <v>house_05</v>
      </c>
      <c r="B46" s="8" t="str">
        <f>metaASSETS[[#This Row],[Type]]</f>
        <v>Environment</v>
      </c>
      <c r="D46" s="92">
        <f>SUM(LEN(design[[#This Row],[Priority]]),LEN(modeling[[#This Row],[Priority]]),LEN(surfacing[[#This Row],[Priority]]),LEN(rigging[[#This Row],[Priority]]))</f>
        <v>8</v>
      </c>
      <c r="E46" s="8" t="str">
        <f>IF(surfacing[[#This Row],[Progress]]&gt;0%, "Surfacing",
IF(rigging[[#This Row],[Progress]]&gt;0%, "Rigging",
IF(modeling[[#This Row],[Progress]]&gt;0%, "Modeling",
IF(design[[#This Row],[Progress]]&gt;=0%, "Design"))))</f>
        <v>Surfacing</v>
      </c>
      <c r="F46" s="2">
        <f>SUM(design[[#This Row],[Estimated]], modeling[[#This Row],[Estimated]], rigging[[#This Row],[Estimated]], surfacing[[#This Row],[Estimated]])</f>
        <v>9</v>
      </c>
      <c r="G46" s="172">
        <f>design[[#This Row],[Progress]]</f>
        <v>1</v>
      </c>
      <c r="H46" s="172">
        <f>modeling[[#This Row],[Progress]]</f>
        <v>1</v>
      </c>
      <c r="I46" s="172">
        <f>rigging[[#This Row],[Progress]]</f>
        <v>0.99999999999999989</v>
      </c>
      <c r="J46" s="172">
        <f>surfacing[[#This Row],[Progress]]</f>
        <v>1</v>
      </c>
      <c r="K46" s="16" cm="1">
        <f t="array" ref="K46">SUM(assets[[#This Row],[design]:[surfacing]]*ASSETS_ponderation)</f>
        <v>1</v>
      </c>
      <c r="L46" s="84">
        <f>(1-assets[[#This Row],[Progress]])*assets[[#This Row],[Estimated]]</f>
        <v>0</v>
      </c>
      <c r="M46" s="223"/>
    </row>
    <row r="47" spans="1:13" ht="23.25" customHeight="1" x14ac:dyDescent="0.25">
      <c r="A47" s="175" t="str">
        <f>metaASSETS[[#This Row],[Asset Name]]</f>
        <v>house_06</v>
      </c>
      <c r="B47" s="8" t="str">
        <f>metaASSETS[[#This Row],[Type]]</f>
        <v>Environment</v>
      </c>
      <c r="D47" s="92">
        <f>SUM(LEN(design[[#This Row],[Priority]]),LEN(modeling[[#This Row],[Priority]]),LEN(surfacing[[#This Row],[Priority]]),LEN(rigging[[#This Row],[Priority]]))</f>
        <v>8</v>
      </c>
      <c r="E47" s="8" t="str">
        <f>IF(surfacing[[#This Row],[Progress]]&gt;0%, "Surfacing",
IF(rigging[[#This Row],[Progress]]&gt;0%, "Rigging",
IF(modeling[[#This Row],[Progress]]&gt;0%, "Modeling",
IF(design[[#This Row],[Progress]]&gt;=0%, "Design"))))</f>
        <v>Surfacing</v>
      </c>
      <c r="F47" s="2">
        <f>SUM(design[[#This Row],[Estimated]], modeling[[#This Row],[Estimated]], rigging[[#This Row],[Estimated]], surfacing[[#This Row],[Estimated]])</f>
        <v>9</v>
      </c>
      <c r="G47" s="172">
        <f>design[[#This Row],[Progress]]</f>
        <v>1</v>
      </c>
      <c r="H47" s="172">
        <f>modeling[[#This Row],[Progress]]</f>
        <v>1</v>
      </c>
      <c r="I47" s="172">
        <f>rigging[[#This Row],[Progress]]</f>
        <v>0.99999999999999989</v>
      </c>
      <c r="J47" s="172">
        <f>surfacing[[#This Row],[Progress]]</f>
        <v>1</v>
      </c>
      <c r="K47" s="16" cm="1">
        <f t="array" ref="K47">SUM(assets[[#This Row],[design]:[surfacing]]*ASSETS_ponderation)</f>
        <v>1</v>
      </c>
      <c r="L47" s="84">
        <f>(1-assets[[#This Row],[Progress]])*assets[[#This Row],[Estimated]]</f>
        <v>0</v>
      </c>
      <c r="M47" s="223"/>
    </row>
    <row r="48" spans="1:13" ht="23.25" customHeight="1" x14ac:dyDescent="0.25">
      <c r="A48" s="175" t="str">
        <f>metaASSETS[[#This Row],[Asset Name]]</f>
        <v>house_07</v>
      </c>
      <c r="B48" s="8" t="str">
        <f>metaASSETS[[#This Row],[Type]]</f>
        <v>Environment</v>
      </c>
      <c r="D48" s="92">
        <f>SUM(LEN(design[[#This Row],[Priority]]),LEN(modeling[[#This Row],[Priority]]),LEN(surfacing[[#This Row],[Priority]]),LEN(rigging[[#This Row],[Priority]]))</f>
        <v>8</v>
      </c>
      <c r="E48" s="8" t="str">
        <f>IF(surfacing[[#This Row],[Progress]]&gt;0%, "Surfacing",
IF(rigging[[#This Row],[Progress]]&gt;0%, "Rigging",
IF(modeling[[#This Row],[Progress]]&gt;0%, "Modeling",
IF(design[[#This Row],[Progress]]&gt;=0%, "Design"))))</f>
        <v>Surfacing</v>
      </c>
      <c r="F48" s="2">
        <f>SUM(design[[#This Row],[Estimated]], modeling[[#This Row],[Estimated]], rigging[[#This Row],[Estimated]], surfacing[[#This Row],[Estimated]])</f>
        <v>9</v>
      </c>
      <c r="G48" s="172">
        <f>design[[#This Row],[Progress]]</f>
        <v>1</v>
      </c>
      <c r="H48" s="172">
        <f>modeling[[#This Row],[Progress]]</f>
        <v>1</v>
      </c>
      <c r="I48" s="172">
        <f>rigging[[#This Row],[Progress]]</f>
        <v>0.99999999999999989</v>
      </c>
      <c r="J48" s="172">
        <f>surfacing[[#This Row],[Progress]]</f>
        <v>1</v>
      </c>
      <c r="K48" s="16" cm="1">
        <f t="array" ref="K48">SUM(assets[[#This Row],[design]:[surfacing]]*ASSETS_ponderation)</f>
        <v>1</v>
      </c>
      <c r="L48" s="84">
        <f>(1-assets[[#This Row],[Progress]])*assets[[#This Row],[Estimated]]</f>
        <v>0</v>
      </c>
      <c r="M48" s="223"/>
    </row>
    <row r="49" spans="1:13" ht="23.25" customHeight="1" x14ac:dyDescent="0.25">
      <c r="A49" s="175" t="str">
        <f>metaASSETS[[#This Row],[Asset Name]]</f>
        <v>house_08</v>
      </c>
      <c r="B49" s="8" t="str">
        <f>metaASSETS[[#This Row],[Type]]</f>
        <v>Environment</v>
      </c>
      <c r="D49" s="92">
        <f>SUM(LEN(design[[#This Row],[Priority]]),LEN(modeling[[#This Row],[Priority]]),LEN(surfacing[[#This Row],[Priority]]),LEN(rigging[[#This Row],[Priority]]))</f>
        <v>8</v>
      </c>
      <c r="E49" s="8" t="str">
        <f>IF(surfacing[[#This Row],[Progress]]&gt;0%, "Surfacing",
IF(rigging[[#This Row],[Progress]]&gt;0%, "Rigging",
IF(modeling[[#This Row],[Progress]]&gt;0%, "Modeling",
IF(design[[#This Row],[Progress]]&gt;=0%, "Design"))))</f>
        <v>Surfacing</v>
      </c>
      <c r="F49" s="2">
        <f>SUM(design[[#This Row],[Estimated]], modeling[[#This Row],[Estimated]], rigging[[#This Row],[Estimated]], surfacing[[#This Row],[Estimated]])</f>
        <v>9</v>
      </c>
      <c r="G49" s="172">
        <f>design[[#This Row],[Progress]]</f>
        <v>1</v>
      </c>
      <c r="H49" s="172">
        <f>modeling[[#This Row],[Progress]]</f>
        <v>1</v>
      </c>
      <c r="I49" s="172">
        <f>rigging[[#This Row],[Progress]]</f>
        <v>0.99999999999999989</v>
      </c>
      <c r="J49" s="172">
        <f>surfacing[[#This Row],[Progress]]</f>
        <v>1</v>
      </c>
      <c r="K49" s="16" cm="1">
        <f t="array" ref="K49">SUM(assets[[#This Row],[design]:[surfacing]]*ASSETS_ponderation)</f>
        <v>1</v>
      </c>
      <c r="L49" s="84">
        <f>(1-assets[[#This Row],[Progress]])*assets[[#This Row],[Estimated]]</f>
        <v>0</v>
      </c>
      <c r="M49" s="223"/>
    </row>
    <row r="50" spans="1:13" ht="23.25" customHeight="1" x14ac:dyDescent="0.25">
      <c r="A50" s="175" t="str">
        <f>metaASSETS[[#This Row],[Asset Name]]</f>
        <v>arrows</v>
      </c>
      <c r="B50" s="8" t="str">
        <f>metaASSETS[[#This Row],[Type]]</f>
        <v>FX</v>
      </c>
      <c r="D50" s="92">
        <f>SUM(LEN(design[[#This Row],[Priority]]),LEN(modeling[[#This Row],[Priority]]),LEN(surfacing[[#This Row],[Priority]]),LEN(rigging[[#This Row],[Priority]]))</f>
        <v>8</v>
      </c>
      <c r="E50" s="8" t="str">
        <f>IF(surfacing[[#This Row],[Progress]]&gt;0%, "Surfacing",
IF(rigging[[#This Row],[Progress]]&gt;0%, "Rigging",
IF(modeling[[#This Row],[Progress]]&gt;0%, "Modeling",
IF(design[[#This Row],[Progress]]&gt;=0%, "Design"))))</f>
        <v>Surfacing</v>
      </c>
      <c r="F50" s="2">
        <f>SUM(design[[#This Row],[Estimated]], modeling[[#This Row],[Estimated]], rigging[[#This Row],[Estimated]], surfacing[[#This Row],[Estimated]])</f>
        <v>3.75</v>
      </c>
      <c r="G50" s="172">
        <f>design[[#This Row],[Progress]]</f>
        <v>1</v>
      </c>
      <c r="H50" s="172">
        <f>modeling[[#This Row],[Progress]]</f>
        <v>1</v>
      </c>
      <c r="I50" s="172">
        <f>rigging[[#This Row],[Progress]]</f>
        <v>0.99999999999999989</v>
      </c>
      <c r="J50" s="172">
        <f>surfacing[[#This Row],[Progress]]</f>
        <v>1</v>
      </c>
      <c r="K50" s="16" cm="1">
        <f t="array" ref="K50">SUM(assets[[#This Row],[design]:[surfacing]]*ASSETS_ponderation)</f>
        <v>1</v>
      </c>
      <c r="L50" s="84">
        <f>(1-assets[[#This Row],[Progress]])*assets[[#This Row],[Estimated]]</f>
        <v>0</v>
      </c>
      <c r="M50" s="223"/>
    </row>
    <row r="51" spans="1:13" ht="23.25" customHeight="1" x14ac:dyDescent="0.25">
      <c r="A51" s="175" t="str">
        <f>metaASSETS[[#This Row],[Asset Name]]</f>
        <v>plaines_01</v>
      </c>
      <c r="B51" s="8" t="str">
        <f>metaASSETS[[#This Row],[Type]]</f>
        <v>Matte Painting</v>
      </c>
      <c r="D51" s="92">
        <f>SUM(LEN(design[[#This Row],[Priority]]),LEN(modeling[[#This Row],[Priority]]),LEN(surfacing[[#This Row],[Priority]]),LEN(rigging[[#This Row],[Priority]]))</f>
        <v>8</v>
      </c>
      <c r="E51" s="8" t="str">
        <f>IF(surfacing[[#This Row],[Progress]]&gt;0%, "Surfacing",
IF(rigging[[#This Row],[Progress]]&gt;0%, "Rigging",
IF(modeling[[#This Row],[Progress]]&gt;0%, "Modeling",
IF(design[[#This Row],[Progress]]&gt;=0%, "Design"))))</f>
        <v>Surfacing</v>
      </c>
      <c r="F51" s="2">
        <f>SUM(design[[#This Row],[Estimated]], modeling[[#This Row],[Estimated]], rigging[[#This Row],[Estimated]], surfacing[[#This Row],[Estimated]])</f>
        <v>30</v>
      </c>
      <c r="G51" s="172">
        <f>design[[#This Row],[Progress]]</f>
        <v>1</v>
      </c>
      <c r="H51" s="172">
        <f>modeling[[#This Row],[Progress]]</f>
        <v>1</v>
      </c>
      <c r="I51" s="172">
        <f>rigging[[#This Row],[Progress]]</f>
        <v>0.99999999999999989</v>
      </c>
      <c r="J51" s="172">
        <f>surfacing[[#This Row],[Progress]]</f>
        <v>1</v>
      </c>
      <c r="K51" s="16" cm="1">
        <f t="array" ref="K51">SUM(assets[[#This Row],[design]:[surfacing]]*ASSETS_ponderation)</f>
        <v>1</v>
      </c>
      <c r="L51" s="84">
        <f>(1-assets[[#This Row],[Progress]])*assets[[#This Row],[Estimated]]</f>
        <v>0</v>
      </c>
      <c r="M51" s="223"/>
    </row>
    <row r="52" spans="1:13" ht="23.25" customHeight="1" x14ac:dyDescent="0.25">
      <c r="A52" s="175" t="str">
        <f>metaASSETS[[#This Row],[Asset Name]]</f>
        <v>plaines_02</v>
      </c>
      <c r="B52" s="8" t="str">
        <f>metaASSETS[[#This Row],[Type]]</f>
        <v>Matte Painting</v>
      </c>
      <c r="D52" s="92">
        <f>SUM(LEN(design[[#This Row],[Priority]]),LEN(modeling[[#This Row],[Priority]]),LEN(surfacing[[#This Row],[Priority]]),LEN(rigging[[#This Row],[Priority]]))</f>
        <v>8</v>
      </c>
      <c r="E52" s="8" t="str">
        <f>IF(surfacing[[#This Row],[Progress]]&gt;0%, "Surfacing",
IF(rigging[[#This Row],[Progress]]&gt;0%, "Rigging",
IF(modeling[[#This Row],[Progress]]&gt;0%, "Modeling",
IF(design[[#This Row],[Progress]]&gt;=0%, "Design"))))</f>
        <v>Surfacing</v>
      </c>
      <c r="F52" s="2">
        <f>SUM(design[[#This Row],[Estimated]], modeling[[#This Row],[Estimated]], rigging[[#This Row],[Estimated]], surfacing[[#This Row],[Estimated]])</f>
        <v>20</v>
      </c>
      <c r="G52" s="172">
        <f>design[[#This Row],[Progress]]</f>
        <v>1</v>
      </c>
      <c r="H52" s="172">
        <f>modeling[[#This Row],[Progress]]</f>
        <v>1</v>
      </c>
      <c r="I52" s="172">
        <f>rigging[[#This Row],[Progress]]</f>
        <v>0.99999999999999989</v>
      </c>
      <c r="J52" s="172">
        <f>surfacing[[#This Row],[Progress]]</f>
        <v>1</v>
      </c>
      <c r="K52" s="16" cm="1">
        <f t="array" ref="K52">SUM(assets[[#This Row],[design]:[surfacing]]*ASSETS_ponderation)</f>
        <v>1</v>
      </c>
      <c r="L52" s="84">
        <f>(1-assets[[#This Row],[Progress]])*assets[[#This Row],[Estimated]]</f>
        <v>0</v>
      </c>
      <c r="M52" s="223"/>
    </row>
    <row r="53" spans="1:13" ht="23.25" customHeight="1" x14ac:dyDescent="0.25">
      <c r="A53" s="175" t="str">
        <f>metaASSETS[[#This Row],[Asset Name]]</f>
        <v>plaines_03</v>
      </c>
      <c r="B53" s="8" t="str">
        <f>metaASSETS[[#This Row],[Type]]</f>
        <v>Matte Painting</v>
      </c>
      <c r="D53" s="92">
        <f>SUM(LEN(design[[#This Row],[Priority]]),LEN(modeling[[#This Row],[Priority]]),LEN(surfacing[[#This Row],[Priority]]),LEN(rigging[[#This Row],[Priority]]))</f>
        <v>8</v>
      </c>
      <c r="E53" s="8" t="str">
        <f>IF(surfacing[[#This Row],[Progress]]&gt;0%, "Surfacing",
IF(rigging[[#This Row],[Progress]]&gt;0%, "Rigging",
IF(modeling[[#This Row],[Progress]]&gt;0%, "Modeling",
IF(design[[#This Row],[Progress]]&gt;=0%, "Design"))))</f>
        <v>Surfacing</v>
      </c>
      <c r="F53" s="2">
        <f>SUM(design[[#This Row],[Estimated]], modeling[[#This Row],[Estimated]], rigging[[#This Row],[Estimated]], surfacing[[#This Row],[Estimated]])</f>
        <v>20</v>
      </c>
      <c r="G53" s="172">
        <f>design[[#This Row],[Progress]]</f>
        <v>1</v>
      </c>
      <c r="H53" s="172">
        <f>modeling[[#This Row],[Progress]]</f>
        <v>1</v>
      </c>
      <c r="I53" s="172">
        <f>rigging[[#This Row],[Progress]]</f>
        <v>0.99999999999999989</v>
      </c>
      <c r="J53" s="172">
        <f>surfacing[[#This Row],[Progress]]</f>
        <v>1</v>
      </c>
      <c r="K53" s="16" cm="1">
        <f t="array" ref="K53">SUM(assets[[#This Row],[design]:[surfacing]]*ASSETS_ponderation)</f>
        <v>1</v>
      </c>
      <c r="L53" s="84">
        <f>(1-assets[[#This Row],[Progress]])*assets[[#This Row],[Estimated]]</f>
        <v>0</v>
      </c>
      <c r="M53" s="223"/>
    </row>
    <row r="54" spans="1:13" ht="23.25" customHeight="1" x14ac:dyDescent="0.25">
      <c r="A54" s="175" t="str">
        <f>metaASSETS[[#This Row],[Asset Name]]</f>
        <v>accessory_01</v>
      </c>
      <c r="B54" s="8" t="str">
        <f>metaASSETS[[#This Row],[Type]]</f>
        <v>Prop</v>
      </c>
      <c r="D54" s="92">
        <f>SUM(LEN(design[[#This Row],[Priority]]),LEN(modeling[[#This Row],[Priority]]),LEN(surfacing[[#This Row],[Priority]]),LEN(rigging[[#This Row],[Priority]]))</f>
        <v>8</v>
      </c>
      <c r="E54" s="8" t="str">
        <f>IF(surfacing[[#This Row],[Progress]]&gt;0%, "Surfacing",
IF(rigging[[#This Row],[Progress]]&gt;0%, "Rigging",
IF(modeling[[#This Row],[Progress]]&gt;0%, "Modeling",
IF(design[[#This Row],[Progress]]&gt;=0%, "Design"))))</f>
        <v>Surfacing</v>
      </c>
      <c r="F54" s="2">
        <f>SUM(design[[#This Row],[Estimated]], modeling[[#This Row],[Estimated]], rigging[[#This Row],[Estimated]], surfacing[[#This Row],[Estimated]])</f>
        <v>5.25</v>
      </c>
      <c r="G54" s="172">
        <f>design[[#This Row],[Progress]]</f>
        <v>1</v>
      </c>
      <c r="H54" s="172">
        <f>modeling[[#This Row],[Progress]]</f>
        <v>1</v>
      </c>
      <c r="I54" s="172">
        <f>rigging[[#This Row],[Progress]]</f>
        <v>0.99999999999999989</v>
      </c>
      <c r="J54" s="172">
        <f>surfacing[[#This Row],[Progress]]</f>
        <v>1</v>
      </c>
      <c r="K54" s="16" cm="1">
        <f t="array" ref="K54">SUM(assets[[#This Row],[design]:[surfacing]]*ASSETS_ponderation)</f>
        <v>1</v>
      </c>
      <c r="L54" s="84">
        <f>(1-assets[[#This Row],[Progress]])*assets[[#This Row],[Estimated]]</f>
        <v>0</v>
      </c>
      <c r="M54" s="223"/>
    </row>
    <row r="55" spans="1:13" ht="23.25" customHeight="1" x14ac:dyDescent="0.25">
      <c r="A55" s="175" t="str">
        <f>metaASSETS[[#This Row],[Asset Name]]</f>
        <v>accessory_02</v>
      </c>
      <c r="B55" s="8" t="str">
        <f>metaASSETS[[#This Row],[Type]]</f>
        <v>Prop</v>
      </c>
      <c r="D55" s="92">
        <f>SUM(LEN(design[[#This Row],[Priority]]),LEN(modeling[[#This Row],[Priority]]),LEN(surfacing[[#This Row],[Priority]]),LEN(rigging[[#This Row],[Priority]]))</f>
        <v>8</v>
      </c>
      <c r="E55" s="8" t="str">
        <f>IF(surfacing[[#This Row],[Progress]]&gt;0%, "Surfacing",
IF(rigging[[#This Row],[Progress]]&gt;0%, "Rigging",
IF(modeling[[#This Row],[Progress]]&gt;0%, "Modeling",
IF(design[[#This Row],[Progress]]&gt;=0%, "Design"))))</f>
        <v>Surfacing</v>
      </c>
      <c r="F55" s="2">
        <f>SUM(design[[#This Row],[Estimated]], modeling[[#This Row],[Estimated]], rigging[[#This Row],[Estimated]], surfacing[[#This Row],[Estimated]])</f>
        <v>5.25</v>
      </c>
      <c r="G55" s="172">
        <f>design[[#This Row],[Progress]]</f>
        <v>1</v>
      </c>
      <c r="H55" s="172">
        <f>modeling[[#This Row],[Progress]]</f>
        <v>1</v>
      </c>
      <c r="I55" s="172">
        <f>rigging[[#This Row],[Progress]]</f>
        <v>0.99999999999999989</v>
      </c>
      <c r="J55" s="172">
        <f>surfacing[[#This Row],[Progress]]</f>
        <v>1</v>
      </c>
      <c r="K55" s="16" cm="1">
        <f t="array" ref="K55">SUM(assets[[#This Row],[design]:[surfacing]]*ASSETS_ponderation)</f>
        <v>1</v>
      </c>
      <c r="L55" s="84">
        <f>(1-assets[[#This Row],[Progress]])*assets[[#This Row],[Estimated]]</f>
        <v>0</v>
      </c>
      <c r="M55" s="223"/>
    </row>
    <row r="56" spans="1:13" ht="23.25" customHeight="1" x14ac:dyDescent="0.25">
      <c r="A56" s="175" t="str">
        <f>metaASSETS[[#This Row],[Asset Name]]</f>
        <v>accessory_03</v>
      </c>
      <c r="B56" s="8" t="str">
        <f>metaASSETS[[#This Row],[Type]]</f>
        <v>Prop</v>
      </c>
      <c r="D56" s="92">
        <f>SUM(LEN(design[[#This Row],[Priority]]),LEN(modeling[[#This Row],[Priority]]),LEN(surfacing[[#This Row],[Priority]]),LEN(rigging[[#This Row],[Priority]]))</f>
        <v>8</v>
      </c>
      <c r="E56" s="8" t="str">
        <f>IF(surfacing[[#This Row],[Progress]]&gt;0%, "Surfacing",
IF(rigging[[#This Row],[Progress]]&gt;0%, "Rigging",
IF(modeling[[#This Row],[Progress]]&gt;0%, "Modeling",
IF(design[[#This Row],[Progress]]&gt;=0%, "Design"))))</f>
        <v>Surfacing</v>
      </c>
      <c r="F56" s="2">
        <f>SUM(design[[#This Row],[Estimated]], modeling[[#This Row],[Estimated]], rigging[[#This Row],[Estimated]], surfacing[[#This Row],[Estimated]])</f>
        <v>5.25</v>
      </c>
      <c r="G56" s="172">
        <f>design[[#This Row],[Progress]]</f>
        <v>1</v>
      </c>
      <c r="H56" s="172">
        <f>modeling[[#This Row],[Progress]]</f>
        <v>1</v>
      </c>
      <c r="I56" s="172">
        <f>rigging[[#This Row],[Progress]]</f>
        <v>0.99999999999999989</v>
      </c>
      <c r="J56" s="172">
        <f>surfacing[[#This Row],[Progress]]</f>
        <v>1</v>
      </c>
      <c r="K56" s="16" cm="1">
        <f t="array" ref="K56">SUM(assets[[#This Row],[design]:[surfacing]]*ASSETS_ponderation)</f>
        <v>1</v>
      </c>
      <c r="L56" s="84">
        <f>(1-assets[[#This Row],[Progress]])*assets[[#This Row],[Estimated]]</f>
        <v>0</v>
      </c>
      <c r="M56" s="223"/>
    </row>
    <row r="57" spans="1:13" ht="23.25" customHeight="1" x14ac:dyDescent="0.25">
      <c r="A57" s="175" t="str">
        <f>metaASSETS[[#This Row],[Asset Name]]</f>
        <v>accessory_04</v>
      </c>
      <c r="B57" s="8" t="str">
        <f>metaASSETS[[#This Row],[Type]]</f>
        <v>Prop</v>
      </c>
      <c r="D57" s="92">
        <f>SUM(LEN(design[[#This Row],[Priority]]),LEN(modeling[[#This Row],[Priority]]),LEN(surfacing[[#This Row],[Priority]]),LEN(rigging[[#This Row],[Priority]]))</f>
        <v>8</v>
      </c>
      <c r="E57" s="8" t="str">
        <f>IF(surfacing[[#This Row],[Progress]]&gt;0%, "Surfacing",
IF(rigging[[#This Row],[Progress]]&gt;0%, "Rigging",
IF(modeling[[#This Row],[Progress]]&gt;0%, "Modeling",
IF(design[[#This Row],[Progress]]&gt;=0%, "Design"))))</f>
        <v>Surfacing</v>
      </c>
      <c r="F57" s="2">
        <f>SUM(design[[#This Row],[Estimated]], modeling[[#This Row],[Estimated]], rigging[[#This Row],[Estimated]], surfacing[[#This Row],[Estimated]])</f>
        <v>5.25</v>
      </c>
      <c r="G57" s="172">
        <f>design[[#This Row],[Progress]]</f>
        <v>1</v>
      </c>
      <c r="H57" s="172">
        <f>modeling[[#This Row],[Progress]]</f>
        <v>1</v>
      </c>
      <c r="I57" s="172">
        <f>rigging[[#This Row],[Progress]]</f>
        <v>0.99999999999999989</v>
      </c>
      <c r="J57" s="172">
        <f>surfacing[[#This Row],[Progress]]</f>
        <v>1</v>
      </c>
      <c r="K57" s="16" cm="1">
        <f t="array" ref="K57">SUM(assets[[#This Row],[design]:[surfacing]]*ASSETS_ponderation)</f>
        <v>1</v>
      </c>
      <c r="L57" s="84">
        <f>(1-assets[[#This Row],[Progress]])*assets[[#This Row],[Estimated]]</f>
        <v>0</v>
      </c>
      <c r="M57" s="223"/>
    </row>
    <row r="58" spans="1:13" ht="23.25" customHeight="1" x14ac:dyDescent="0.25">
      <c r="A58" s="175" t="str">
        <f>metaASSETS[[#This Row],[Asset Name]]</f>
        <v>arrow</v>
      </c>
      <c r="B58" s="8" t="str">
        <f>metaASSETS[[#This Row],[Type]]</f>
        <v>Prop</v>
      </c>
      <c r="D58" s="92">
        <f>SUM(LEN(design[[#This Row],[Priority]]),LEN(modeling[[#This Row],[Priority]]),LEN(surfacing[[#This Row],[Priority]]),LEN(rigging[[#This Row],[Priority]]))</f>
        <v>8</v>
      </c>
      <c r="E58" s="8" t="str">
        <f>IF(surfacing[[#This Row],[Progress]]&gt;0%, "Surfacing",
IF(rigging[[#This Row],[Progress]]&gt;0%, "Rigging",
IF(modeling[[#This Row],[Progress]]&gt;0%, "Modeling",
IF(design[[#This Row],[Progress]]&gt;=0%, "Design"))))</f>
        <v>Surfacing</v>
      </c>
      <c r="F58" s="2">
        <f>SUM(design[[#This Row],[Estimated]], modeling[[#This Row],[Estimated]], rigging[[#This Row],[Estimated]], surfacing[[#This Row],[Estimated]])</f>
        <v>2.5</v>
      </c>
      <c r="G58" s="172">
        <f>design[[#This Row],[Progress]]</f>
        <v>1</v>
      </c>
      <c r="H58" s="172">
        <f>modeling[[#This Row],[Progress]]</f>
        <v>1</v>
      </c>
      <c r="I58" s="172">
        <f>rigging[[#This Row],[Progress]]</f>
        <v>0.99999999999999989</v>
      </c>
      <c r="J58" s="172">
        <f>surfacing[[#This Row],[Progress]]</f>
        <v>1</v>
      </c>
      <c r="K58" s="16" cm="1">
        <f t="array" ref="K58">SUM(assets[[#This Row],[design]:[surfacing]]*ASSETS_ponderation)</f>
        <v>1</v>
      </c>
      <c r="L58" s="84">
        <f>(1-assets[[#This Row],[Progress]])*assets[[#This Row],[Estimated]]</f>
        <v>0</v>
      </c>
      <c r="M58" s="223"/>
    </row>
    <row r="59" spans="1:13" ht="23.25" customHeight="1" x14ac:dyDescent="0.25">
      <c r="A59" s="175" t="str">
        <f>metaASSETS[[#This Row],[Asset Name]]</f>
        <v>banner</v>
      </c>
      <c r="B59" s="8" t="str">
        <f>metaASSETS[[#This Row],[Type]]</f>
        <v>Prop</v>
      </c>
      <c r="D59" s="92">
        <f>SUM(LEN(design[[#This Row],[Priority]]),LEN(modeling[[#This Row],[Priority]]),LEN(surfacing[[#This Row],[Priority]]),LEN(rigging[[#This Row],[Priority]]))</f>
        <v>8</v>
      </c>
      <c r="E59" s="8" t="str">
        <f>IF(surfacing[[#This Row],[Progress]]&gt;0%, "Surfacing",
IF(rigging[[#This Row],[Progress]]&gt;0%, "Rigging",
IF(modeling[[#This Row],[Progress]]&gt;0%, "Modeling",
IF(design[[#This Row],[Progress]]&gt;=0%, "Design"))))</f>
        <v>Surfacing</v>
      </c>
      <c r="F59" s="2">
        <f>SUM(design[[#This Row],[Estimated]], modeling[[#This Row],[Estimated]], rigging[[#This Row],[Estimated]], surfacing[[#This Row],[Estimated]])</f>
        <v>7</v>
      </c>
      <c r="G59" s="172">
        <f>design[[#This Row],[Progress]]</f>
        <v>1</v>
      </c>
      <c r="H59" s="172">
        <f>modeling[[#This Row],[Progress]]</f>
        <v>1</v>
      </c>
      <c r="I59" s="172">
        <f>rigging[[#This Row],[Progress]]</f>
        <v>0.99999999999999989</v>
      </c>
      <c r="J59" s="172">
        <f>surfacing[[#This Row],[Progress]]</f>
        <v>1</v>
      </c>
      <c r="K59" s="16" cm="1">
        <f t="array" ref="K59">SUM(assets[[#This Row],[design]:[surfacing]]*ASSETS_ponderation)</f>
        <v>1</v>
      </c>
      <c r="L59" s="84">
        <f>(1-assets[[#This Row],[Progress]])*assets[[#This Row],[Estimated]]</f>
        <v>0</v>
      </c>
      <c r="M59" s="223"/>
    </row>
    <row r="60" spans="1:13" ht="23.25" customHeight="1" x14ac:dyDescent="0.25">
      <c r="A60" s="175" t="str">
        <f>metaASSETS[[#This Row],[Asset Name]]</f>
        <v>bow</v>
      </c>
      <c r="B60" s="8" t="str">
        <f>metaASSETS[[#This Row],[Type]]</f>
        <v>Prop</v>
      </c>
      <c r="D60" s="92">
        <f>SUM(LEN(design[[#This Row],[Priority]]),LEN(modeling[[#This Row],[Priority]]),LEN(surfacing[[#This Row],[Priority]]),LEN(rigging[[#This Row],[Priority]]))</f>
        <v>8</v>
      </c>
      <c r="E60" s="8" t="str">
        <f>IF(surfacing[[#This Row],[Progress]]&gt;0%, "Surfacing",
IF(rigging[[#This Row],[Progress]]&gt;0%, "Rigging",
IF(modeling[[#This Row],[Progress]]&gt;0%, "Modeling",
IF(design[[#This Row],[Progress]]&gt;=0%, "Design"))))</f>
        <v>Surfacing</v>
      </c>
      <c r="F60" s="2">
        <f>SUM(design[[#This Row],[Estimated]], modeling[[#This Row],[Estimated]], rigging[[#This Row],[Estimated]], surfacing[[#This Row],[Estimated]])</f>
        <v>4.5</v>
      </c>
      <c r="G60" s="172">
        <f>design[[#This Row],[Progress]]</f>
        <v>1</v>
      </c>
      <c r="H60" s="172">
        <f>modeling[[#This Row],[Progress]]</f>
        <v>1</v>
      </c>
      <c r="I60" s="172">
        <f>rigging[[#This Row],[Progress]]</f>
        <v>0.99999999999999989</v>
      </c>
      <c r="J60" s="172">
        <f>surfacing[[#This Row],[Progress]]</f>
        <v>1</v>
      </c>
      <c r="K60" s="16" cm="1">
        <f t="array" ref="K60">SUM(assets[[#This Row],[design]:[surfacing]]*ASSETS_ponderation)</f>
        <v>1</v>
      </c>
      <c r="L60" s="84">
        <f>(1-assets[[#This Row],[Progress]])*assets[[#This Row],[Estimated]]</f>
        <v>0</v>
      </c>
      <c r="M60" s="223"/>
    </row>
    <row r="61" spans="1:13" ht="23.25" customHeight="1" x14ac:dyDescent="0.25">
      <c r="A61" s="175" t="str">
        <f>metaASSETS[[#This Row],[Asset Name]]</f>
        <v>chains_01</v>
      </c>
      <c r="B61" s="8" t="str">
        <f>metaASSETS[[#This Row],[Type]]</f>
        <v>Prop</v>
      </c>
      <c r="D61" s="92">
        <f>SUM(LEN(design[[#This Row],[Priority]]),LEN(modeling[[#This Row],[Priority]]),LEN(surfacing[[#This Row],[Priority]]),LEN(rigging[[#This Row],[Priority]]))</f>
        <v>8</v>
      </c>
      <c r="E61" s="8" t="str">
        <f>IF(surfacing[[#This Row],[Progress]]&gt;0%, "Surfacing",
IF(rigging[[#This Row],[Progress]]&gt;0%, "Rigging",
IF(modeling[[#This Row],[Progress]]&gt;0%, "Modeling",
IF(design[[#This Row],[Progress]]&gt;=0%, "Design"))))</f>
        <v>Surfacing</v>
      </c>
      <c r="F61" s="2">
        <f>SUM(design[[#This Row],[Estimated]], modeling[[#This Row],[Estimated]], rigging[[#This Row],[Estimated]], surfacing[[#This Row],[Estimated]])</f>
        <v>7</v>
      </c>
      <c r="G61" s="172">
        <f>design[[#This Row],[Progress]]</f>
        <v>1</v>
      </c>
      <c r="H61" s="172">
        <f>modeling[[#This Row],[Progress]]</f>
        <v>1</v>
      </c>
      <c r="I61" s="172">
        <f>rigging[[#This Row],[Progress]]</f>
        <v>0.99999999999999989</v>
      </c>
      <c r="J61" s="172">
        <f>surfacing[[#This Row],[Progress]]</f>
        <v>1</v>
      </c>
      <c r="K61" s="16" cm="1">
        <f t="array" ref="K61">SUM(assets[[#This Row],[design]:[surfacing]]*ASSETS_ponderation)</f>
        <v>1</v>
      </c>
      <c r="L61" s="84">
        <f>(1-assets[[#This Row],[Progress]])*assets[[#This Row],[Estimated]]</f>
        <v>0</v>
      </c>
      <c r="M61" s="223"/>
    </row>
    <row r="62" spans="1:13" ht="23.25" customHeight="1" x14ac:dyDescent="0.25">
      <c r="A62" s="175" t="str">
        <f>metaASSETS[[#This Row],[Asset Name]]</f>
        <v>chains_02</v>
      </c>
      <c r="B62" s="8" t="str">
        <f>metaASSETS[[#This Row],[Type]]</f>
        <v>Prop</v>
      </c>
      <c r="D62" s="92">
        <f>SUM(LEN(design[[#This Row],[Priority]]),LEN(modeling[[#This Row],[Priority]]),LEN(surfacing[[#This Row],[Priority]]),LEN(rigging[[#This Row],[Priority]]))</f>
        <v>8</v>
      </c>
      <c r="E62" s="8" t="str">
        <f>IF(surfacing[[#This Row],[Progress]]&gt;0%, "Surfacing",
IF(rigging[[#This Row],[Progress]]&gt;0%, "Rigging",
IF(modeling[[#This Row],[Progress]]&gt;0%, "Modeling",
IF(design[[#This Row],[Progress]]&gt;=0%, "Design"))))</f>
        <v>Surfacing</v>
      </c>
      <c r="F62" s="2">
        <f>SUM(design[[#This Row],[Estimated]], modeling[[#This Row],[Estimated]], rigging[[#This Row],[Estimated]], surfacing[[#This Row],[Estimated]])</f>
        <v>3</v>
      </c>
      <c r="G62" s="172">
        <f>design[[#This Row],[Progress]]</f>
        <v>1</v>
      </c>
      <c r="H62" s="172">
        <f>modeling[[#This Row],[Progress]]</f>
        <v>1</v>
      </c>
      <c r="I62" s="172">
        <f>rigging[[#This Row],[Progress]]</f>
        <v>0.99999999999999989</v>
      </c>
      <c r="J62" s="172">
        <f>surfacing[[#This Row],[Progress]]</f>
        <v>1</v>
      </c>
      <c r="K62" s="16" cm="1">
        <f t="array" ref="K62">SUM(assets[[#This Row],[design]:[surfacing]]*ASSETS_ponderation)</f>
        <v>1</v>
      </c>
      <c r="L62" s="84">
        <f>(1-assets[[#This Row],[Progress]])*assets[[#This Row],[Estimated]]</f>
        <v>0</v>
      </c>
      <c r="M62" s="223"/>
    </row>
    <row r="63" spans="1:13" ht="23.25" customHeight="1" x14ac:dyDescent="0.25">
      <c r="A63" s="175" t="str">
        <f>metaASSETS[[#This Row],[Asset Name]]</f>
        <v>chains_break</v>
      </c>
      <c r="B63" s="8" t="str">
        <f>metaASSETS[[#This Row],[Type]]</f>
        <v>Prop</v>
      </c>
      <c r="D63" s="92">
        <f>SUM(LEN(design[[#This Row],[Priority]]),LEN(modeling[[#This Row],[Priority]]),LEN(surfacing[[#This Row],[Priority]]),LEN(rigging[[#This Row],[Priority]]))</f>
        <v>8</v>
      </c>
      <c r="E63" s="8" t="str">
        <f>IF(surfacing[[#This Row],[Progress]]&gt;0%, "Surfacing",
IF(rigging[[#This Row],[Progress]]&gt;0%, "Rigging",
IF(modeling[[#This Row],[Progress]]&gt;0%, "Modeling",
IF(design[[#This Row],[Progress]]&gt;=0%, "Design"))))</f>
        <v>Surfacing</v>
      </c>
      <c r="F63" s="2">
        <f>SUM(design[[#This Row],[Estimated]], modeling[[#This Row],[Estimated]], rigging[[#This Row],[Estimated]], surfacing[[#This Row],[Estimated]])</f>
        <v>4.5</v>
      </c>
      <c r="G63" s="172">
        <f>design[[#This Row],[Progress]]</f>
        <v>1</v>
      </c>
      <c r="H63" s="172">
        <f>modeling[[#This Row],[Progress]]</f>
        <v>1</v>
      </c>
      <c r="I63" s="172">
        <f>rigging[[#This Row],[Progress]]</f>
        <v>0.99999999999999989</v>
      </c>
      <c r="J63" s="172">
        <f>surfacing[[#This Row],[Progress]]</f>
        <v>1</v>
      </c>
      <c r="K63" s="16" cm="1">
        <f t="array" ref="K63">SUM(assets[[#This Row],[design]:[surfacing]]*ASSETS_ponderation)</f>
        <v>1</v>
      </c>
      <c r="L63" s="84">
        <f>(1-assets[[#This Row],[Progress]])*assets[[#This Row],[Estimated]]</f>
        <v>0</v>
      </c>
      <c r="M63" s="223"/>
    </row>
    <row r="64" spans="1:13" ht="23.25" customHeight="1" x14ac:dyDescent="0.25">
      <c r="A64" s="175" t="str">
        <f>metaASSETS[[#This Row],[Asset Name]]</f>
        <v>helmet_eng_01</v>
      </c>
      <c r="B64" s="8" t="str">
        <f>metaASSETS[[#This Row],[Type]]</f>
        <v>Prop</v>
      </c>
      <c r="D64" s="92">
        <f>SUM(LEN(design[[#This Row],[Priority]]),LEN(modeling[[#This Row],[Priority]]),LEN(surfacing[[#This Row],[Priority]]),LEN(rigging[[#This Row],[Priority]]))</f>
        <v>8</v>
      </c>
      <c r="E64" s="8" t="str">
        <f>IF(surfacing[[#This Row],[Progress]]&gt;0%, "Surfacing",
IF(rigging[[#This Row],[Progress]]&gt;0%, "Rigging",
IF(modeling[[#This Row],[Progress]]&gt;0%, "Modeling",
IF(design[[#This Row],[Progress]]&gt;=0%, "Design"))))</f>
        <v>Surfacing</v>
      </c>
      <c r="F64" s="2">
        <f>SUM(design[[#This Row],[Estimated]], modeling[[#This Row],[Estimated]], rigging[[#This Row],[Estimated]], surfacing[[#This Row],[Estimated]])</f>
        <v>6</v>
      </c>
      <c r="G64" s="172">
        <f>design[[#This Row],[Progress]]</f>
        <v>1</v>
      </c>
      <c r="H64" s="172">
        <f>modeling[[#This Row],[Progress]]</f>
        <v>1</v>
      </c>
      <c r="I64" s="172">
        <f>rigging[[#This Row],[Progress]]</f>
        <v>0.99999999999999989</v>
      </c>
      <c r="J64" s="172">
        <f>surfacing[[#This Row],[Progress]]</f>
        <v>1</v>
      </c>
      <c r="K64" s="16" cm="1">
        <f t="array" ref="K64">SUM(assets[[#This Row],[design]:[surfacing]]*ASSETS_ponderation)</f>
        <v>1</v>
      </c>
      <c r="L64" s="84">
        <f>(1-assets[[#This Row],[Progress]])*assets[[#This Row],[Estimated]]</f>
        <v>0</v>
      </c>
      <c r="M64" s="223"/>
    </row>
    <row r="65" spans="1:13" ht="23.25" customHeight="1" x14ac:dyDescent="0.25">
      <c r="A65" s="175" t="str">
        <f>metaASSETS[[#This Row],[Asset Name]]</f>
        <v>helmet_eng_02</v>
      </c>
      <c r="B65" s="8" t="str">
        <f>metaASSETS[[#This Row],[Type]]</f>
        <v>Prop</v>
      </c>
      <c r="D65" s="92">
        <f>SUM(LEN(design[[#This Row],[Priority]]),LEN(modeling[[#This Row],[Priority]]),LEN(surfacing[[#This Row],[Priority]]),LEN(rigging[[#This Row],[Priority]]))</f>
        <v>8</v>
      </c>
      <c r="E65" s="8" t="str">
        <f>IF(surfacing[[#This Row],[Progress]]&gt;0%, "Surfacing",
IF(rigging[[#This Row],[Progress]]&gt;0%, "Rigging",
IF(modeling[[#This Row],[Progress]]&gt;0%, "Modeling",
IF(design[[#This Row],[Progress]]&gt;=0%, "Design"))))</f>
        <v>Surfacing</v>
      </c>
      <c r="F65" s="2">
        <f>SUM(design[[#This Row],[Estimated]], modeling[[#This Row],[Estimated]], rigging[[#This Row],[Estimated]], surfacing[[#This Row],[Estimated]])</f>
        <v>4.5</v>
      </c>
      <c r="G65" s="172">
        <f>design[[#This Row],[Progress]]</f>
        <v>1</v>
      </c>
      <c r="H65" s="172">
        <f>modeling[[#This Row],[Progress]]</f>
        <v>1</v>
      </c>
      <c r="I65" s="172">
        <f>rigging[[#This Row],[Progress]]</f>
        <v>0.99999999999999989</v>
      </c>
      <c r="J65" s="172">
        <f>surfacing[[#This Row],[Progress]]</f>
        <v>1</v>
      </c>
      <c r="K65" s="16" cm="1">
        <f t="array" ref="K65">SUM(assets[[#This Row],[design]:[surfacing]]*ASSETS_ponderation)</f>
        <v>1</v>
      </c>
      <c r="L65" s="84">
        <f>(1-assets[[#This Row],[Progress]])*assets[[#This Row],[Estimated]]</f>
        <v>0</v>
      </c>
      <c r="M65" s="223"/>
    </row>
    <row r="66" spans="1:13" ht="23.25" customHeight="1" x14ac:dyDescent="0.25">
      <c r="A66" s="175" t="str">
        <f>metaASSETS[[#This Row],[Asset Name]]</f>
        <v>helmet_fr_01</v>
      </c>
      <c r="B66" s="8" t="str">
        <f>metaASSETS[[#This Row],[Type]]</f>
        <v>Prop</v>
      </c>
      <c r="D66" s="92">
        <f>SUM(LEN(design[[#This Row],[Priority]]),LEN(modeling[[#This Row],[Priority]]),LEN(surfacing[[#This Row],[Priority]]),LEN(rigging[[#This Row],[Priority]]))</f>
        <v>8</v>
      </c>
      <c r="E66" s="8" t="str">
        <f>IF(surfacing[[#This Row],[Progress]]&gt;0%, "Surfacing",
IF(rigging[[#This Row],[Progress]]&gt;0%, "Rigging",
IF(modeling[[#This Row],[Progress]]&gt;0%, "Modeling",
IF(design[[#This Row],[Progress]]&gt;=0%, "Design"))))</f>
        <v>Surfacing</v>
      </c>
      <c r="F66" s="2">
        <f>SUM(design[[#This Row],[Estimated]], modeling[[#This Row],[Estimated]], rigging[[#This Row],[Estimated]], surfacing[[#This Row],[Estimated]])</f>
        <v>4</v>
      </c>
      <c r="G66" s="172">
        <f>design[[#This Row],[Progress]]</f>
        <v>1</v>
      </c>
      <c r="H66" s="172">
        <f>modeling[[#This Row],[Progress]]</f>
        <v>1</v>
      </c>
      <c r="I66" s="172">
        <f>rigging[[#This Row],[Progress]]</f>
        <v>0.99999999999999989</v>
      </c>
      <c r="J66" s="172">
        <f>surfacing[[#This Row],[Progress]]</f>
        <v>1</v>
      </c>
      <c r="K66" s="16" cm="1">
        <f t="array" ref="K66">SUM(assets[[#This Row],[design]:[surfacing]]*ASSETS_ponderation)</f>
        <v>1</v>
      </c>
      <c r="L66" s="84">
        <f>(1-assets[[#This Row],[Progress]])*assets[[#This Row],[Estimated]]</f>
        <v>0</v>
      </c>
      <c r="M66" s="223"/>
    </row>
    <row r="67" spans="1:13" ht="23.25" customHeight="1" x14ac:dyDescent="0.25">
      <c r="A67" s="175" t="str">
        <f>metaASSETS[[#This Row],[Asset Name]]</f>
        <v>helmet_fr_02</v>
      </c>
      <c r="B67" s="8" t="str">
        <f>metaASSETS[[#This Row],[Type]]</f>
        <v>Prop</v>
      </c>
      <c r="D67" s="92">
        <f>SUM(LEN(design[[#This Row],[Priority]]),LEN(modeling[[#This Row],[Priority]]),LEN(surfacing[[#This Row],[Priority]]),LEN(rigging[[#This Row],[Priority]]))</f>
        <v>8</v>
      </c>
      <c r="E67" s="8" t="str">
        <f>IF(surfacing[[#This Row],[Progress]]&gt;0%, "Surfacing",
IF(rigging[[#This Row],[Progress]]&gt;0%, "Rigging",
IF(modeling[[#This Row],[Progress]]&gt;0%, "Modeling",
IF(design[[#This Row],[Progress]]&gt;=0%, "Design"))))</f>
        <v>Surfacing</v>
      </c>
      <c r="F67" s="2">
        <f>SUM(design[[#This Row],[Estimated]], modeling[[#This Row],[Estimated]], rigging[[#This Row],[Estimated]], surfacing[[#This Row],[Estimated]])</f>
        <v>4.5</v>
      </c>
      <c r="G67" s="172">
        <f>design[[#This Row],[Progress]]</f>
        <v>1</v>
      </c>
      <c r="H67" s="172">
        <f>modeling[[#This Row],[Progress]]</f>
        <v>1</v>
      </c>
      <c r="I67" s="172">
        <f>rigging[[#This Row],[Progress]]</f>
        <v>0.99999999999999989</v>
      </c>
      <c r="J67" s="172">
        <f>surfacing[[#This Row],[Progress]]</f>
        <v>1</v>
      </c>
      <c r="K67" s="16" cm="1">
        <f t="array" ref="K67">SUM(assets[[#This Row],[design]:[surfacing]]*ASSETS_ponderation)</f>
        <v>1</v>
      </c>
      <c r="L67" s="84">
        <f>(1-assets[[#This Row],[Progress]])*assets[[#This Row],[Estimated]]</f>
        <v>0</v>
      </c>
      <c r="M67" s="223"/>
    </row>
    <row r="68" spans="1:13" ht="23.25" customHeight="1" x14ac:dyDescent="0.25">
      <c r="A68" s="175" t="str">
        <f>metaASSETS[[#This Row],[Asset Name]]</f>
        <v>helmet_fr_03</v>
      </c>
      <c r="B68" s="8" t="str">
        <f>metaASSETS[[#This Row],[Type]]</f>
        <v>Prop</v>
      </c>
      <c r="D68" s="92">
        <f>SUM(LEN(design[[#This Row],[Priority]]),LEN(modeling[[#This Row],[Priority]]),LEN(surfacing[[#This Row],[Priority]]),LEN(rigging[[#This Row],[Priority]]))</f>
        <v>8</v>
      </c>
      <c r="E68" s="8" t="str">
        <f>IF(surfacing[[#This Row],[Progress]]&gt;0%, "Surfacing",
IF(rigging[[#This Row],[Progress]]&gt;0%, "Rigging",
IF(modeling[[#This Row],[Progress]]&gt;0%, "Modeling",
IF(design[[#This Row],[Progress]]&gt;=0%, "Design"))))</f>
        <v>Surfacing</v>
      </c>
      <c r="F68" s="2">
        <f>SUM(design[[#This Row],[Estimated]], modeling[[#This Row],[Estimated]], rigging[[#This Row],[Estimated]], surfacing[[#This Row],[Estimated]])</f>
        <v>4</v>
      </c>
      <c r="G68" s="172">
        <f>design[[#This Row],[Progress]]</f>
        <v>1</v>
      </c>
      <c r="H68" s="172">
        <f>modeling[[#This Row],[Progress]]</f>
        <v>1</v>
      </c>
      <c r="I68" s="172">
        <f>rigging[[#This Row],[Progress]]</f>
        <v>0.99999999999999989</v>
      </c>
      <c r="J68" s="172">
        <f>surfacing[[#This Row],[Progress]]</f>
        <v>1</v>
      </c>
      <c r="K68" s="16" cm="1">
        <f t="array" ref="K68">SUM(assets[[#This Row],[design]:[surfacing]]*ASSETS_ponderation)</f>
        <v>1</v>
      </c>
      <c r="L68" s="84">
        <f>(1-assets[[#This Row],[Progress]])*assets[[#This Row],[Estimated]]</f>
        <v>0</v>
      </c>
      <c r="M68" s="223"/>
    </row>
    <row r="69" spans="1:13" ht="23.25" customHeight="1" x14ac:dyDescent="0.25">
      <c r="A69" s="175" t="str">
        <f>metaASSETS[[#This Row],[Asset Name]]</f>
        <v>mace</v>
      </c>
      <c r="B69" s="8" t="str">
        <f>metaASSETS[[#This Row],[Type]]</f>
        <v>Prop</v>
      </c>
      <c r="D69" s="92">
        <f>SUM(LEN(design[[#This Row],[Priority]]),LEN(modeling[[#This Row],[Priority]]),LEN(surfacing[[#This Row],[Priority]]),LEN(rigging[[#This Row],[Priority]]))</f>
        <v>8</v>
      </c>
      <c r="E69" s="8" t="str">
        <f>IF(surfacing[[#This Row],[Progress]]&gt;0%, "Surfacing",
IF(rigging[[#This Row],[Progress]]&gt;0%, "Rigging",
IF(modeling[[#This Row],[Progress]]&gt;0%, "Modeling",
IF(design[[#This Row],[Progress]]&gt;=0%, "Design"))))</f>
        <v>Surfacing</v>
      </c>
      <c r="F69" s="2">
        <f>SUM(design[[#This Row],[Estimated]], modeling[[#This Row],[Estimated]], rigging[[#This Row],[Estimated]], surfacing[[#This Row],[Estimated]])</f>
        <v>4.5</v>
      </c>
      <c r="G69" s="172">
        <f>design[[#This Row],[Progress]]</f>
        <v>1</v>
      </c>
      <c r="H69" s="172">
        <f>modeling[[#This Row],[Progress]]</f>
        <v>1</v>
      </c>
      <c r="I69" s="172">
        <f>rigging[[#This Row],[Progress]]</f>
        <v>0.99999999999999989</v>
      </c>
      <c r="J69" s="172">
        <f>surfacing[[#This Row],[Progress]]</f>
        <v>1</v>
      </c>
      <c r="K69" s="16" cm="1">
        <f t="array" ref="K69">SUM(assets[[#This Row],[design]:[surfacing]]*ASSETS_ponderation)</f>
        <v>1</v>
      </c>
      <c r="L69" s="84">
        <f>(1-assets[[#This Row],[Progress]])*assets[[#This Row],[Estimated]]</f>
        <v>0</v>
      </c>
      <c r="M69" s="223"/>
    </row>
    <row r="70" spans="1:13" ht="23.25" customHeight="1" x14ac:dyDescent="0.25">
      <c r="A70" s="175" t="str">
        <f>metaASSETS[[#This Row],[Asset Name]]</f>
        <v>shield</v>
      </c>
      <c r="B70" s="8" t="str">
        <f>metaASSETS[[#This Row],[Type]]</f>
        <v>Prop</v>
      </c>
      <c r="D70" s="92">
        <f>SUM(LEN(design[[#This Row],[Priority]]),LEN(modeling[[#This Row],[Priority]]),LEN(surfacing[[#This Row],[Priority]]),LEN(rigging[[#This Row],[Priority]]))</f>
        <v>8</v>
      </c>
      <c r="E70" s="8" t="str">
        <f>IF(surfacing[[#This Row],[Progress]]&gt;0%, "Surfacing",
IF(rigging[[#This Row],[Progress]]&gt;0%, "Rigging",
IF(modeling[[#This Row],[Progress]]&gt;0%, "Modeling",
IF(design[[#This Row],[Progress]]&gt;=0%, "Design"))))</f>
        <v>Surfacing</v>
      </c>
      <c r="F70" s="2">
        <f>SUM(design[[#This Row],[Estimated]], modeling[[#This Row],[Estimated]], rigging[[#This Row],[Estimated]], surfacing[[#This Row],[Estimated]])</f>
        <v>10</v>
      </c>
      <c r="G70" s="172">
        <f>design[[#This Row],[Progress]]</f>
        <v>1</v>
      </c>
      <c r="H70" s="172">
        <f>modeling[[#This Row],[Progress]]</f>
        <v>1</v>
      </c>
      <c r="I70" s="172">
        <f>rigging[[#This Row],[Progress]]</f>
        <v>0.99999999999999989</v>
      </c>
      <c r="J70" s="172">
        <f>surfacing[[#This Row],[Progress]]</f>
        <v>1</v>
      </c>
      <c r="K70" s="16" cm="1">
        <f t="array" ref="K70">SUM(assets[[#This Row],[design]:[surfacing]]*ASSETS_ponderation)</f>
        <v>1</v>
      </c>
      <c r="L70" s="84">
        <f>(1-assets[[#This Row],[Progress]])*assets[[#This Row],[Estimated]]</f>
        <v>0</v>
      </c>
      <c r="M70" s="223"/>
    </row>
    <row r="71" spans="1:13" ht="23.25" customHeight="1" x14ac:dyDescent="0.25">
      <c r="A71" s="175" t="str">
        <f>metaASSETS[[#This Row],[Asset Name]]</f>
        <v>swrd</v>
      </c>
      <c r="B71" s="8" t="str">
        <f>metaASSETS[[#This Row],[Type]]</f>
        <v>Prop</v>
      </c>
      <c r="D71" s="92">
        <f>SUM(LEN(design[[#This Row],[Priority]]),LEN(modeling[[#This Row],[Priority]]),LEN(surfacing[[#This Row],[Priority]]),LEN(rigging[[#This Row],[Priority]]))</f>
        <v>8</v>
      </c>
      <c r="E71" s="8" t="str">
        <f>IF(surfacing[[#This Row],[Progress]]&gt;0%, "Surfacing",
IF(rigging[[#This Row],[Progress]]&gt;0%, "Rigging",
IF(modeling[[#This Row],[Progress]]&gt;0%, "Modeling",
IF(design[[#This Row],[Progress]]&gt;=0%, "Design"))))</f>
        <v>Surfacing</v>
      </c>
      <c r="F71" s="2">
        <f>SUM(design[[#This Row],[Estimated]], modeling[[#This Row],[Estimated]], rigging[[#This Row],[Estimated]], surfacing[[#This Row],[Estimated]])</f>
        <v>6</v>
      </c>
      <c r="G71" s="172">
        <f>design[[#This Row],[Progress]]</f>
        <v>1</v>
      </c>
      <c r="H71" s="172">
        <f>modeling[[#This Row],[Progress]]</f>
        <v>1</v>
      </c>
      <c r="I71" s="172">
        <f>rigging[[#This Row],[Progress]]</f>
        <v>0.99999999999999989</v>
      </c>
      <c r="J71" s="172">
        <f>surfacing[[#This Row],[Progress]]</f>
        <v>1</v>
      </c>
      <c r="K71" s="16" cm="1">
        <f t="array" ref="K71">SUM(assets[[#This Row],[design]:[surfacing]]*ASSETS_ponderation)</f>
        <v>1</v>
      </c>
      <c r="L71" s="84">
        <f>(1-assets[[#This Row],[Progress]])*assets[[#This Row],[Estimated]]</f>
        <v>0</v>
      </c>
      <c r="M71" s="223"/>
    </row>
    <row r="72" spans="1:13" ht="23.25" customHeight="1" x14ac:dyDescent="0.25">
      <c r="A72" s="175" t="str">
        <f>metaASSETS[[#This Row],[Asset Name]]</f>
        <v>swrd_01</v>
      </c>
      <c r="B72" s="8" t="str">
        <f>metaASSETS[[#This Row],[Type]]</f>
        <v>Prop</v>
      </c>
      <c r="D72" s="92">
        <f>SUM(LEN(design[[#This Row],[Priority]]),LEN(modeling[[#This Row],[Priority]]),LEN(surfacing[[#This Row],[Priority]]),LEN(rigging[[#This Row],[Priority]]))</f>
        <v>8</v>
      </c>
      <c r="E72" s="8" t="str">
        <f>IF(surfacing[[#This Row],[Progress]]&gt;0%, "Surfacing",
IF(rigging[[#This Row],[Progress]]&gt;0%, "Rigging",
IF(modeling[[#This Row],[Progress]]&gt;0%, "Modeling",
IF(design[[#This Row],[Progress]]&gt;=0%, "Design"))))</f>
        <v>Surfacing</v>
      </c>
      <c r="F72" s="2">
        <f>SUM(design[[#This Row],[Estimated]], modeling[[#This Row],[Estimated]], rigging[[#This Row],[Estimated]], surfacing[[#This Row],[Estimated]])</f>
        <v>5</v>
      </c>
      <c r="G72" s="172">
        <f>design[[#This Row],[Progress]]</f>
        <v>1</v>
      </c>
      <c r="H72" s="172">
        <f>modeling[[#This Row],[Progress]]</f>
        <v>1</v>
      </c>
      <c r="I72" s="172">
        <f>rigging[[#This Row],[Progress]]</f>
        <v>0.99999999999999989</v>
      </c>
      <c r="J72" s="172">
        <f>surfacing[[#This Row],[Progress]]</f>
        <v>1</v>
      </c>
      <c r="K72" s="16" cm="1">
        <f t="array" ref="K72">SUM(assets[[#This Row],[design]:[surfacing]]*ASSETS_ponderation)</f>
        <v>1</v>
      </c>
      <c r="L72" s="84">
        <f>(1-assets[[#This Row],[Progress]])*assets[[#This Row],[Estimated]]</f>
        <v>0</v>
      </c>
      <c r="M72" s="223"/>
    </row>
    <row r="73" spans="1:13" ht="23.25" customHeight="1" x14ac:dyDescent="0.25">
      <c r="A73" s="175" t="str">
        <f>metaASSETS[[#This Row],[Asset Name]]</f>
        <v>weapon_01</v>
      </c>
      <c r="B73" s="8" t="str">
        <f>metaASSETS[[#This Row],[Type]]</f>
        <v>Prop</v>
      </c>
      <c r="D73" s="92">
        <f>SUM(LEN(design[[#This Row],[Priority]]),LEN(modeling[[#This Row],[Priority]]),LEN(surfacing[[#This Row],[Priority]]),LEN(rigging[[#This Row],[Priority]]))</f>
        <v>8</v>
      </c>
      <c r="E73" s="8" t="str">
        <f>IF(surfacing[[#This Row],[Progress]]&gt;0%, "Surfacing",
IF(rigging[[#This Row],[Progress]]&gt;0%, "Rigging",
IF(modeling[[#This Row],[Progress]]&gt;0%, "Modeling",
IF(design[[#This Row],[Progress]]&gt;=0%, "Design"))))</f>
        <v>Surfacing</v>
      </c>
      <c r="F73" s="2">
        <f>SUM(design[[#This Row],[Estimated]], modeling[[#This Row],[Estimated]], rigging[[#This Row],[Estimated]], surfacing[[#This Row],[Estimated]])</f>
        <v>4.5</v>
      </c>
      <c r="G73" s="172">
        <f>design[[#This Row],[Progress]]</f>
        <v>1</v>
      </c>
      <c r="H73" s="172">
        <f>modeling[[#This Row],[Progress]]</f>
        <v>1</v>
      </c>
      <c r="I73" s="172">
        <f>rigging[[#This Row],[Progress]]</f>
        <v>0.99999999999999989</v>
      </c>
      <c r="J73" s="172">
        <f>surfacing[[#This Row],[Progress]]</f>
        <v>1</v>
      </c>
      <c r="K73" s="16" cm="1">
        <f t="array" ref="K73">SUM(assets[[#This Row],[design]:[surfacing]]*ASSETS_ponderation)</f>
        <v>1</v>
      </c>
      <c r="L73" s="84">
        <f>(1-assets[[#This Row],[Progress]])*assets[[#This Row],[Estimated]]</f>
        <v>0</v>
      </c>
      <c r="M73" s="223"/>
    </row>
    <row r="74" spans="1:13" ht="23.25" customHeight="1" x14ac:dyDescent="0.25">
      <c r="A74" s="175" t="str">
        <f>metaASSETS[[#This Row],[Asset Name]]</f>
        <v>weapon_02</v>
      </c>
      <c r="B74" s="8" t="str">
        <f>metaASSETS[[#This Row],[Type]]</f>
        <v>Prop</v>
      </c>
      <c r="D74" s="92">
        <f>SUM(LEN(design[[#This Row],[Priority]]),LEN(modeling[[#This Row],[Priority]]),LEN(surfacing[[#This Row],[Priority]]),LEN(rigging[[#This Row],[Priority]]))</f>
        <v>8</v>
      </c>
      <c r="E74" s="8" t="str">
        <f>IF(surfacing[[#This Row],[Progress]]&gt;0%, "Surfacing",
IF(rigging[[#This Row],[Progress]]&gt;0%, "Rigging",
IF(modeling[[#This Row],[Progress]]&gt;0%, "Modeling",
IF(design[[#This Row],[Progress]]&gt;=0%, "Design"))))</f>
        <v>Surfacing</v>
      </c>
      <c r="F74" s="2">
        <f>SUM(design[[#This Row],[Estimated]], modeling[[#This Row],[Estimated]], rigging[[#This Row],[Estimated]], surfacing[[#This Row],[Estimated]])</f>
        <v>4</v>
      </c>
      <c r="G74" s="172">
        <f>design[[#This Row],[Progress]]</f>
        <v>1</v>
      </c>
      <c r="H74" s="172">
        <f>modeling[[#This Row],[Progress]]</f>
        <v>1</v>
      </c>
      <c r="I74" s="172">
        <f>rigging[[#This Row],[Progress]]</f>
        <v>0.99999999999999989</v>
      </c>
      <c r="J74" s="172">
        <f>surfacing[[#This Row],[Progress]]</f>
        <v>1</v>
      </c>
      <c r="K74" s="16" cm="1">
        <f t="array" ref="K74">SUM(assets[[#This Row],[design]:[surfacing]]*ASSETS_ponderation)</f>
        <v>1</v>
      </c>
      <c r="L74" s="84">
        <f>(1-assets[[#This Row],[Progress]])*assets[[#This Row],[Estimated]]</f>
        <v>0</v>
      </c>
      <c r="M74" s="223"/>
    </row>
    <row r="75" spans="1:13" ht="23.25" customHeight="1" x14ac:dyDescent="0.25">
      <c r="A75" s="175" t="str">
        <f>metaASSETS[[#This Row],[Asset Name]]</f>
        <v>weapon_03</v>
      </c>
      <c r="B75" s="8" t="str">
        <f>metaASSETS[[#This Row],[Type]]</f>
        <v>Prop</v>
      </c>
      <c r="D75" s="92">
        <f>SUM(LEN(design[[#This Row],[Priority]]),LEN(modeling[[#This Row],[Priority]]),LEN(surfacing[[#This Row],[Priority]]),LEN(rigging[[#This Row],[Priority]]))</f>
        <v>8</v>
      </c>
      <c r="E75" s="8" t="str">
        <f>IF(surfacing[[#This Row],[Progress]]&gt;0%, "Surfacing",
IF(rigging[[#This Row],[Progress]]&gt;0%, "Rigging",
IF(modeling[[#This Row],[Progress]]&gt;0%, "Modeling",
IF(design[[#This Row],[Progress]]&gt;=0%, "Design"))))</f>
        <v>Surfacing</v>
      </c>
      <c r="F75" s="2">
        <f>SUM(design[[#This Row],[Estimated]], modeling[[#This Row],[Estimated]], rigging[[#This Row],[Estimated]], surfacing[[#This Row],[Estimated]])</f>
        <v>4</v>
      </c>
      <c r="G75" s="172">
        <f>design[[#This Row],[Progress]]</f>
        <v>1</v>
      </c>
      <c r="H75" s="172">
        <f>modeling[[#This Row],[Progress]]</f>
        <v>1</v>
      </c>
      <c r="I75" s="172">
        <f>rigging[[#This Row],[Progress]]</f>
        <v>0.99999999999999989</v>
      </c>
      <c r="J75" s="172">
        <f>surfacing[[#This Row],[Progress]]</f>
        <v>1</v>
      </c>
      <c r="K75" s="16" cm="1">
        <f t="array" ref="K75">SUM(assets[[#This Row],[design]:[surfacing]]*ASSETS_ponderation)</f>
        <v>1</v>
      </c>
      <c r="L75" s="84">
        <f>(1-assets[[#This Row],[Progress]])*assets[[#This Row],[Estimated]]</f>
        <v>0</v>
      </c>
      <c r="M75" s="223"/>
    </row>
    <row r="76" spans="1:13" ht="23.25" customHeight="1" x14ac:dyDescent="0.25">
      <c r="A76" s="175" t="str">
        <f>metaASSETS[[#This Row],[Asset Name]]</f>
        <v>weapon_04</v>
      </c>
      <c r="B76" s="8" t="str">
        <f>metaASSETS[[#This Row],[Type]]</f>
        <v>Prop</v>
      </c>
      <c r="D76" s="92">
        <f>SUM(LEN(design[[#This Row],[Priority]]),LEN(modeling[[#This Row],[Priority]]),LEN(surfacing[[#This Row],[Priority]]),LEN(rigging[[#This Row],[Priority]]))</f>
        <v>8</v>
      </c>
      <c r="E76" s="8" t="str">
        <f>IF(surfacing[[#This Row],[Progress]]&gt;0%, "Surfacing",
IF(rigging[[#This Row],[Progress]]&gt;0%, "Rigging",
IF(modeling[[#This Row],[Progress]]&gt;0%, "Modeling",
IF(design[[#This Row],[Progress]]&gt;=0%, "Design"))))</f>
        <v>Surfacing</v>
      </c>
      <c r="F76" s="2">
        <f>SUM(design[[#This Row],[Estimated]], modeling[[#This Row],[Estimated]], rigging[[#This Row],[Estimated]], surfacing[[#This Row],[Estimated]])</f>
        <v>4</v>
      </c>
      <c r="G76" s="172">
        <f>design[[#This Row],[Progress]]</f>
        <v>1</v>
      </c>
      <c r="H76" s="172">
        <f>modeling[[#This Row],[Progress]]</f>
        <v>1</v>
      </c>
      <c r="I76" s="172">
        <f>rigging[[#This Row],[Progress]]</f>
        <v>0.99999999999999989</v>
      </c>
      <c r="J76" s="172">
        <f>surfacing[[#This Row],[Progress]]</f>
        <v>1</v>
      </c>
      <c r="K76" s="16" cm="1">
        <f t="array" ref="K76">SUM(assets[[#This Row],[design]:[surfacing]]*ASSETS_ponderation)</f>
        <v>1</v>
      </c>
      <c r="L76" s="84">
        <f>(1-assets[[#This Row],[Progress]])*assets[[#This Row],[Estimated]]</f>
        <v>0</v>
      </c>
      <c r="M76" s="223"/>
    </row>
    <row r="77" spans="1:13" ht="23.25" customHeight="1" x14ac:dyDescent="0.25">
      <c r="A77" s="175" t="str">
        <f>metaASSETS[[#This Row],[Asset Name]]</f>
        <v>weapon_05</v>
      </c>
      <c r="B77" s="8" t="str">
        <f>metaASSETS[[#This Row],[Type]]</f>
        <v>Prop</v>
      </c>
      <c r="D77" s="92">
        <f>SUM(LEN(design[[#This Row],[Priority]]),LEN(modeling[[#This Row],[Priority]]),LEN(surfacing[[#This Row],[Priority]]),LEN(rigging[[#This Row],[Priority]]))</f>
        <v>4</v>
      </c>
      <c r="E77" s="8" t="str">
        <f>IF(surfacing[[#This Row],[Progress]]&gt;0%, "Surfacing",
IF(rigging[[#This Row],[Progress]]&gt;0%, "Rigging",
IF(modeling[[#This Row],[Progress]]&gt;0%, "Modeling",
IF(design[[#This Row],[Progress]]&gt;=0%, "Design"))))</f>
        <v>Surfacing</v>
      </c>
      <c r="F77" s="2">
        <f>SUM(design[[#This Row],[Estimated]], modeling[[#This Row],[Estimated]], rigging[[#This Row],[Estimated]], surfacing[[#This Row],[Estimated]])</f>
        <v>5</v>
      </c>
      <c r="G77" s="172">
        <f>design[[#This Row],[Progress]]</f>
        <v>1</v>
      </c>
      <c r="H77" s="172">
        <f>modeling[[#This Row],[Progress]]</f>
        <v>1</v>
      </c>
      <c r="I77" s="172">
        <f>rigging[[#This Row],[Progress]]</f>
        <v>0.99999999999999989</v>
      </c>
      <c r="J77" s="172">
        <f>surfacing[[#This Row],[Progress]]</f>
        <v>1</v>
      </c>
      <c r="K77" s="16" cm="1">
        <f t="array" ref="K77">SUM(assets[[#This Row],[design]:[surfacing]]*ASSETS_ponderation)</f>
        <v>1</v>
      </c>
      <c r="L77" s="84">
        <f>(1-assets[[#This Row],[Progress]])*assets[[#This Row],[Estimated]]</f>
        <v>0</v>
      </c>
      <c r="M77" s="223"/>
    </row>
    <row r="78" spans="1:13" ht="23.25" customHeight="1" x14ac:dyDescent="0.25">
      <c r="A78" s="175" t="str">
        <f>metaASSETS[[#This Row],[Asset Name]]</f>
        <v>broken_vitrail</v>
      </c>
      <c r="B78" s="8" t="str">
        <f>metaASSETS[[#This Row],[Type]]</f>
        <v>Prop</v>
      </c>
      <c r="D78" s="92">
        <f>SUM(LEN(design[[#This Row],[Priority]]),LEN(modeling[[#This Row],[Priority]]),LEN(surfacing[[#This Row],[Priority]]),LEN(rigging[[#This Row],[Priority]]))</f>
        <v>6</v>
      </c>
      <c r="E78" s="8" t="str">
        <f>IF(surfacing[[#This Row],[Progress]]&gt;0%, "Surfacing",
IF(rigging[[#This Row],[Progress]]&gt;0%, "Rigging",
IF(modeling[[#This Row],[Progress]]&gt;0%, "Modeling",
IF(design[[#This Row],[Progress]]&gt;=0%, "Design"))))</f>
        <v>Surfacing</v>
      </c>
      <c r="F78" s="2">
        <f>SUM(design[[#This Row],[Estimated]], modeling[[#This Row],[Estimated]], rigging[[#This Row],[Estimated]], surfacing[[#This Row],[Estimated]])</f>
        <v>3</v>
      </c>
      <c r="G78" s="172">
        <f>design[[#This Row],[Progress]]</f>
        <v>1</v>
      </c>
      <c r="H78" s="172">
        <f>modeling[[#This Row],[Progress]]</f>
        <v>1</v>
      </c>
      <c r="I78" s="172">
        <f>rigging[[#This Row],[Progress]]</f>
        <v>0.99999999999999989</v>
      </c>
      <c r="J78" s="172">
        <f>surfacing[[#This Row],[Progress]]</f>
        <v>0.8</v>
      </c>
      <c r="K78" s="16" cm="1">
        <f t="array" ref="K78">SUM(assets[[#This Row],[design]:[surfacing]]*ASSETS_ponderation)</f>
        <v>0.95</v>
      </c>
      <c r="L78" s="84">
        <f>(1-assets[[#This Row],[Progress]])*assets[[#This Row],[Estimated]]</f>
        <v>0.15000000000000013</v>
      </c>
      <c r="M78" s="223"/>
    </row>
    <row r="79" spans="1:13" ht="23.25" customHeight="1" x14ac:dyDescent="0.25">
      <c r="A79" s="2" t="s">
        <v>22</v>
      </c>
      <c r="B79" s="10"/>
      <c r="F79" s="2">
        <f>SUBTOTAL(109,assets[Estimated])</f>
        <v>1057</v>
      </c>
      <c r="G79" s="16" cm="1">
        <f t="array" ref="G79">designProgress</f>
        <v>1</v>
      </c>
      <c r="H79" s="16">
        <f>modelingProgress</f>
        <v>0.99037433155080212</v>
      </c>
      <c r="I79" s="16">
        <f>riggingProgress</f>
        <v>0.98691860465116277</v>
      </c>
      <c r="J79" s="16">
        <f>surfacingProgress</f>
        <v>0.99035087719298243</v>
      </c>
      <c r="K79" s="16">
        <f>(assets[[#Totals],[Estimated]]-assets[[#Totals],[Hours to do]])/assets[[#Totals],[Estimated]]</f>
        <v>0.98914333017975398</v>
      </c>
      <c r="L79" s="84">
        <f>SUBTOTAL(109,assets[Hours to do])</f>
        <v>11.475499999999981</v>
      </c>
      <c r="M79" s="8"/>
    </row>
  </sheetData>
  <sheetProtection algorithmName="SHA-512" hashValue="2j6zc8m7k6Q4ipmk/XqvxwzlzroTsRaF1cL8o/0vKvG2L6Qdm3rT8Q7hfDQ8onuTO8XNVWgl3PhUGnXdjIEAXg==" saltValue="d0euBXwEHsV5kZu/q1MU4g==" spinCount="100000" sheet="1" selectLockedCells="1" autoFilter="0"/>
  <mergeCells count="1">
    <mergeCell ref="A1:E2"/>
  </mergeCells>
  <phoneticPr fontId="3" type="noConversion"/>
  <conditionalFormatting sqref="D4:D78">
    <cfRule type="dataBar" priority="224">
      <dataBar>
        <cfvo type="min"/>
        <cfvo type="max"/>
        <color rgb="FFFFB628"/>
      </dataBar>
      <extLst>
        <ext xmlns:x14="http://schemas.microsoft.com/office/spreadsheetml/2009/9/main" uri="{B025F937-C7B1-47D3-B67F-A62EFF666E3E}">
          <x14:id>{55865D75-087D-4ACA-A0F0-38165CA46898}</x14:id>
        </ext>
      </extLst>
    </cfRule>
  </conditionalFormatting>
  <conditionalFormatting sqref="G4:K78">
    <cfRule type="colorScale" priority="3">
      <colorScale>
        <cfvo type="num" val="0"/>
        <cfvo type="num" val="0.5"/>
        <cfvo type="num" val="1"/>
        <color rgb="FFFF0000"/>
        <color rgb="FFFFFF00"/>
        <color theme="9" tint="-0.249977111117893"/>
      </colorScale>
    </cfRule>
  </conditionalFormatting>
  <conditionalFormatting sqref="L4:L78">
    <cfRule type="dataBar" priority="225">
      <dataBar>
        <cfvo type="min"/>
        <cfvo type="max"/>
        <color rgb="FF008AEF"/>
      </dataBar>
      <extLst>
        <ext xmlns:x14="http://schemas.microsoft.com/office/spreadsheetml/2009/9/main" uri="{B025F937-C7B1-47D3-B67F-A62EFF666E3E}">
          <x14:id>{F898FB75-C350-4C60-AB73-B7AEB2715067}</x14:id>
        </ext>
      </extLst>
    </cfRule>
  </conditionalFormatting>
  <conditionalFormatting sqref="M4:M78">
    <cfRule type="dataBar" priority="226">
      <dataBar>
        <cfvo type="min"/>
        <cfvo type="max"/>
        <color rgb="FF008AEF"/>
      </dataBar>
      <extLst>
        <ext xmlns:x14="http://schemas.microsoft.com/office/spreadsheetml/2009/9/main" uri="{B025F937-C7B1-47D3-B67F-A62EFF666E3E}">
          <x14:id>{94F83E20-B144-48EF-86BE-F64B1E1A4DE8}</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5865D75-087D-4ACA-A0F0-38165CA46898}">
            <x14:dataBar minLength="0" maxLength="100" border="1" negativeBarBorderColorSameAsPositive="0">
              <x14:cfvo type="autoMin"/>
              <x14:cfvo type="autoMax"/>
              <x14:borderColor rgb="FFFFB628"/>
              <x14:negativeFillColor rgb="FFFF0000"/>
              <x14:negativeBorderColor rgb="FFFF0000"/>
              <x14:axisColor rgb="FF000000"/>
            </x14:dataBar>
          </x14:cfRule>
          <xm:sqref>D4:D78</xm:sqref>
        </x14:conditionalFormatting>
        <x14:conditionalFormatting xmlns:xm="http://schemas.microsoft.com/office/excel/2006/main">
          <x14:cfRule type="dataBar" id="{F898FB75-C350-4C60-AB73-B7AEB2715067}">
            <x14:dataBar minLength="0" maxLength="100" border="1" negativeBarBorderColorSameAsPositive="0">
              <x14:cfvo type="autoMin"/>
              <x14:cfvo type="autoMax"/>
              <x14:borderColor rgb="FF008AEF"/>
              <x14:negativeFillColor rgb="FFFF0000"/>
              <x14:negativeBorderColor rgb="FFFF0000"/>
              <x14:axisColor rgb="FF000000"/>
            </x14:dataBar>
          </x14:cfRule>
          <xm:sqref>L4:L78</xm:sqref>
        </x14:conditionalFormatting>
        <x14:conditionalFormatting xmlns:xm="http://schemas.microsoft.com/office/excel/2006/main">
          <x14:cfRule type="dataBar" id="{94F83E20-B144-48EF-86BE-F64B1E1A4DE8}">
            <x14:dataBar minLength="0" maxLength="100" border="1" negativeBarBorderColorSameAsPositive="0">
              <x14:cfvo type="autoMin"/>
              <x14:cfvo type="autoMax"/>
              <x14:borderColor rgb="FF008AEF"/>
              <x14:negativeFillColor rgb="FFFF0000"/>
              <x14:negativeBorderColor rgb="FFFF0000"/>
              <x14:axisColor rgb="FF000000"/>
            </x14:dataBar>
          </x14:cfRule>
          <xm:sqref>M4:M78</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E29E5-A8AA-4F99-BFFA-55346D4F33A2}">
  <sheetPr codeName="Feuil22"/>
  <dimension ref="A1:K104"/>
  <sheetViews>
    <sheetView showRowColHeaders="0" workbookViewId="0">
      <pane ySplit="3" topLeftCell="A4" activePane="bottomLeft" state="frozen"/>
      <selection pane="bottomLeft" activeCell="G15" sqref="G14:G15"/>
    </sheetView>
  </sheetViews>
  <sheetFormatPr baseColWidth="10" defaultColWidth="11.42578125" defaultRowHeight="22.5" customHeight="1" x14ac:dyDescent="0.25"/>
  <cols>
    <col min="1" max="1" width="18.5703125" style="9" customWidth="1"/>
    <col min="2" max="2" width="15.7109375" style="9" customWidth="1"/>
    <col min="3" max="3" width="14.28515625" style="9" customWidth="1"/>
    <col min="4" max="4" width="37.7109375" style="9" customWidth="1"/>
    <col min="5" max="5" width="25.7109375" style="9" customWidth="1"/>
    <col min="6" max="6" width="33.5703125" style="9" customWidth="1"/>
    <col min="7" max="7" width="27.140625" style="9" customWidth="1"/>
    <col min="8" max="8" width="18.42578125" style="9" customWidth="1"/>
    <col min="9" max="9" width="29.7109375" style="9" customWidth="1"/>
    <col min="10" max="10" width="24.7109375" style="9" customWidth="1"/>
    <col min="11" max="11" width="16.28515625" style="9" customWidth="1"/>
    <col min="12" max="16384" width="11.42578125" style="9"/>
  </cols>
  <sheetData>
    <row r="1" spans="1:11" s="190" customFormat="1" ht="41.25" customHeight="1" x14ac:dyDescent="0.25">
      <c r="A1" s="290" t="s">
        <v>332</v>
      </c>
      <c r="B1" s="290"/>
      <c r="C1" s="290"/>
      <c r="D1" s="290"/>
    </row>
    <row r="2" spans="1:11" s="59" customFormat="1" ht="41.25" customHeight="1" x14ac:dyDescent="0.25">
      <c r="A2" s="290"/>
      <c r="B2" s="290"/>
      <c r="C2" s="290"/>
      <c r="D2" s="290"/>
    </row>
    <row r="3" spans="1:11" s="191" customFormat="1" ht="22.5" customHeight="1" x14ac:dyDescent="0.25">
      <c r="A3" s="93" t="s">
        <v>299</v>
      </c>
      <c r="B3" s="93" t="s">
        <v>23</v>
      </c>
      <c r="C3" s="192" t="s">
        <v>333</v>
      </c>
      <c r="D3" s="192" t="s">
        <v>334</v>
      </c>
      <c r="E3" s="192" t="s">
        <v>335</v>
      </c>
      <c r="F3" s="192" t="s">
        <v>336</v>
      </c>
      <c r="G3" s="192" t="s">
        <v>337</v>
      </c>
      <c r="H3" s="192" t="s">
        <v>338</v>
      </c>
      <c r="I3" s="192" t="s">
        <v>339</v>
      </c>
      <c r="J3" s="192" t="s">
        <v>340</v>
      </c>
      <c r="K3" s="93" t="s">
        <v>269</v>
      </c>
    </row>
    <row r="4" spans="1:11" ht="22.5" customHeight="1" x14ac:dyDescent="0.25">
      <c r="A4" s="8" t="str">
        <f>metaASSETS[[#This Row],[Asset Name]]</f>
        <v>vitrail_00</v>
      </c>
      <c r="B4" s="8" t="str">
        <f>metaASSETS[[#This Row],[Type]]</f>
        <v>Asset</v>
      </c>
      <c r="C4" s="193"/>
      <c r="D4" s="193"/>
      <c r="E4" s="193"/>
      <c r="F4" s="193"/>
      <c r="G4" s="193"/>
      <c r="H4" s="193"/>
      <c r="I4" s="193"/>
      <c r="J4" s="193"/>
      <c r="K4" s="193"/>
    </row>
    <row r="5" spans="1:11" ht="22.5" customHeight="1" x14ac:dyDescent="0.25">
      <c r="A5" s="8" t="str">
        <f>metaASSETS[[#This Row],[Asset Name]]</f>
        <v>vitrail_01</v>
      </c>
      <c r="B5" s="8" t="str">
        <f>metaASSETS[[#This Row],[Type]]</f>
        <v>Asset</v>
      </c>
      <c r="C5" s="193"/>
      <c r="D5" s="193"/>
      <c r="E5" s="193"/>
      <c r="F5" s="193"/>
      <c r="G5" s="193"/>
      <c r="H5" s="193"/>
      <c r="I5" s="193"/>
      <c r="J5" s="193"/>
      <c r="K5" s="193"/>
    </row>
    <row r="6" spans="1:11" ht="22.5" customHeight="1" x14ac:dyDescent="0.25">
      <c r="A6" s="8" t="str">
        <f>metaASSETS[[#This Row],[Asset Name]]</f>
        <v>vitrail_02</v>
      </c>
      <c r="B6" s="8" t="str">
        <f>metaASSETS[[#This Row],[Type]]</f>
        <v>Asset</v>
      </c>
      <c r="C6" s="193"/>
      <c r="D6" s="193"/>
      <c r="E6" s="193"/>
      <c r="F6" s="193"/>
      <c r="G6" s="193"/>
      <c r="H6" s="193"/>
      <c r="I6" s="193"/>
      <c r="J6" s="193"/>
      <c r="K6" s="193"/>
    </row>
    <row r="7" spans="1:11" ht="22.5" customHeight="1" x14ac:dyDescent="0.25">
      <c r="A7" s="8" t="str">
        <f>metaASSETS[[#This Row],[Asset Name]]</f>
        <v>joan</v>
      </c>
      <c r="B7" s="8" t="str">
        <f>metaASSETS[[#This Row],[Type]]</f>
        <v>Character</v>
      </c>
      <c r="C7" s="193"/>
      <c r="D7" s="193" t="s">
        <v>341</v>
      </c>
      <c r="E7" s="193" t="s">
        <v>341</v>
      </c>
      <c r="F7" s="193" t="s">
        <v>341</v>
      </c>
      <c r="G7" s="193" t="s">
        <v>341</v>
      </c>
      <c r="H7" s="193"/>
      <c r="I7" s="193"/>
      <c r="J7" s="193"/>
      <c r="K7" s="193"/>
    </row>
    <row r="8" spans="1:11" ht="22.5" customHeight="1" x14ac:dyDescent="0.25">
      <c r="A8" s="8" t="str">
        <f>metaASSETS[[#This Row],[Asset Name]]</f>
        <v>joan_01</v>
      </c>
      <c r="B8" s="8" t="str">
        <f>metaASSETS[[#This Row],[Type]]</f>
        <v>Character</v>
      </c>
      <c r="C8" s="193"/>
      <c r="D8" s="193"/>
      <c r="E8" s="193"/>
      <c r="F8" s="193"/>
      <c r="G8" s="193"/>
      <c r="H8" s="193"/>
      <c r="I8" s="193"/>
      <c r="J8" s="193"/>
      <c r="K8" s="193"/>
    </row>
    <row r="9" spans="1:11" ht="22.5" customHeight="1" x14ac:dyDescent="0.25">
      <c r="A9" s="8" t="str">
        <f>metaASSETS[[#This Row],[Asset Name]]</f>
        <v>joan_dlbr</v>
      </c>
      <c r="B9" s="8" t="str">
        <f>metaASSETS[[#This Row],[Type]]</f>
        <v>Character</v>
      </c>
      <c r="C9" s="193"/>
      <c r="D9" s="193"/>
      <c r="E9" s="193"/>
      <c r="F9" s="193"/>
      <c r="G9" s="193"/>
      <c r="H9" s="193"/>
      <c r="I9" s="193"/>
      <c r="J9" s="193"/>
      <c r="K9" s="193"/>
    </row>
    <row r="10" spans="1:11" ht="22.5" customHeight="1" x14ac:dyDescent="0.25">
      <c r="A10" s="8" t="str">
        <f>metaASSETS[[#This Row],[Asset Name]]</f>
        <v>knight</v>
      </c>
      <c r="B10" s="8" t="str">
        <f>metaASSETS[[#This Row],[Type]]</f>
        <v>Character</v>
      </c>
      <c r="C10" s="193"/>
      <c r="D10" s="193" t="s">
        <v>341</v>
      </c>
      <c r="E10" s="193" t="s">
        <v>341</v>
      </c>
      <c r="F10" s="193"/>
      <c r="G10" s="193"/>
      <c r="H10" s="193"/>
      <c r="I10" s="193"/>
      <c r="J10" s="193"/>
      <c r="K10" s="193"/>
    </row>
    <row r="11" spans="1:11" ht="22.5" customHeight="1" x14ac:dyDescent="0.25">
      <c r="A11" s="8" t="str">
        <f>metaASSETS[[#This Row],[Asset Name]]</f>
        <v>L_arm</v>
      </c>
      <c r="B11" s="8" t="str">
        <f>metaASSETS[[#This Row],[Type]]</f>
        <v>Character</v>
      </c>
      <c r="C11" s="193"/>
      <c r="D11" s="193"/>
      <c r="E11" s="193"/>
      <c r="F11" s="193"/>
      <c r="G11" s="193"/>
      <c r="H11" s="193"/>
      <c r="I11" s="193"/>
      <c r="J11" s="193"/>
      <c r="K11" s="193"/>
    </row>
    <row r="12" spans="1:11" ht="22.5" customHeight="1" x14ac:dyDescent="0.25">
      <c r="A12" s="8" t="str">
        <f>metaASSETS[[#This Row],[Asset Name]]</f>
        <v>L_leg</v>
      </c>
      <c r="B12" s="8" t="str">
        <f>metaASSETS[[#This Row],[Type]]</f>
        <v>Character</v>
      </c>
      <c r="C12" s="193"/>
      <c r="D12" s="193"/>
      <c r="E12" s="193"/>
      <c r="F12" s="193"/>
      <c r="G12" s="193"/>
      <c r="H12" s="193"/>
      <c r="I12" s="193"/>
      <c r="J12" s="193"/>
      <c r="K12" s="193"/>
    </row>
    <row r="13" spans="1:11" ht="22.5" customHeight="1" x14ac:dyDescent="0.25">
      <c r="A13" s="8" t="str">
        <f>metaASSETS[[#This Row],[Asset Name]]</f>
        <v>R_arm</v>
      </c>
      <c r="B13" s="8" t="str">
        <f>metaASSETS[[#This Row],[Type]]</f>
        <v>Character</v>
      </c>
      <c r="C13" s="193"/>
      <c r="D13" s="193"/>
      <c r="E13" s="193"/>
      <c r="F13" s="193"/>
      <c r="G13" s="193"/>
      <c r="H13" s="193"/>
      <c r="I13" s="193"/>
      <c r="J13" s="193"/>
      <c r="K13" s="193"/>
    </row>
    <row r="14" spans="1:11" ht="22.5" customHeight="1" x14ac:dyDescent="0.25">
      <c r="A14" s="8" t="str">
        <f>metaASSETS[[#This Row],[Asset Name]]</f>
        <v>R_leg</v>
      </c>
      <c r="B14" s="8" t="str">
        <f>metaASSETS[[#This Row],[Type]]</f>
        <v>Character</v>
      </c>
      <c r="C14" s="193"/>
      <c r="D14" s="193"/>
      <c r="E14" s="193"/>
      <c r="F14" s="193"/>
      <c r="G14" s="193"/>
      <c r="H14" s="193"/>
      <c r="I14" s="193"/>
      <c r="J14" s="193"/>
      <c r="K14" s="193"/>
    </row>
    <row r="15" spans="1:11" ht="22.5" customHeight="1" x14ac:dyDescent="0.25">
      <c r="A15" s="8" t="str">
        <f>metaASSETS[[#This Row],[Asset Name]]</f>
        <v>soldier_01</v>
      </c>
      <c r="B15" s="8" t="str">
        <f>metaASSETS[[#This Row],[Type]]</f>
        <v>Character</v>
      </c>
      <c r="C15" s="193"/>
      <c r="D15" s="193"/>
      <c r="E15" s="193"/>
      <c r="F15" s="193"/>
      <c r="G15" s="193"/>
      <c r="H15" s="193"/>
      <c r="I15" s="193"/>
      <c r="J15" s="193"/>
      <c r="K15" s="193"/>
    </row>
    <row r="16" spans="1:11" ht="22.5" customHeight="1" x14ac:dyDescent="0.25">
      <c r="A16" s="8" t="str">
        <f>metaASSETS[[#This Row],[Asset Name]]</f>
        <v>soldier_02</v>
      </c>
      <c r="B16" s="8" t="str">
        <f>metaASSETS[[#This Row],[Type]]</f>
        <v>Character</v>
      </c>
      <c r="C16" s="193"/>
      <c r="D16" s="193"/>
      <c r="E16" s="193"/>
      <c r="F16" s="193"/>
      <c r="G16" s="193"/>
      <c r="H16" s="193"/>
      <c r="I16" s="193"/>
      <c r="J16" s="193"/>
      <c r="K16" s="193"/>
    </row>
    <row r="17" spans="1:11" ht="22.5" customHeight="1" x14ac:dyDescent="0.25">
      <c r="A17" s="8" t="str">
        <f>metaASSETS[[#This Row],[Asset Name]]</f>
        <v>soldier_03</v>
      </c>
      <c r="B17" s="8" t="str">
        <f>metaASSETS[[#This Row],[Type]]</f>
        <v>Character</v>
      </c>
      <c r="C17" s="193"/>
      <c r="D17" s="193"/>
      <c r="E17" s="193"/>
      <c r="F17" s="193"/>
      <c r="G17" s="193"/>
      <c r="H17" s="193"/>
      <c r="I17" s="193"/>
      <c r="J17" s="193"/>
      <c r="K17" s="193"/>
    </row>
    <row r="18" spans="1:11" ht="22.5" customHeight="1" x14ac:dyDescent="0.25">
      <c r="A18" s="8" t="str">
        <f>metaASSETS[[#This Row],[Asset Name]]</f>
        <v>villager_01</v>
      </c>
      <c r="B18" s="8" t="str">
        <f>metaASSETS[[#This Row],[Type]]</f>
        <v>Character</v>
      </c>
      <c r="C18" s="193"/>
      <c r="D18" s="193"/>
      <c r="E18" s="193"/>
      <c r="F18" s="193"/>
      <c r="G18" s="193"/>
      <c r="H18" s="193"/>
      <c r="I18" s="193"/>
      <c r="J18" s="193"/>
      <c r="K18" s="193"/>
    </row>
    <row r="19" spans="1:11" ht="22.5" customHeight="1" x14ac:dyDescent="0.25">
      <c r="A19" s="8" t="str">
        <f>metaASSETS[[#This Row],[Asset Name]]</f>
        <v>villager_02</v>
      </c>
      <c r="B19" s="8" t="str">
        <f>metaASSETS[[#This Row],[Type]]</f>
        <v>Character</v>
      </c>
      <c r="C19" s="193"/>
      <c r="D19" s="193"/>
      <c r="E19" s="193"/>
      <c r="F19" s="193"/>
      <c r="G19" s="193"/>
      <c r="H19" s="193"/>
      <c r="I19" s="193"/>
      <c r="J19" s="193"/>
      <c r="K19" s="193"/>
    </row>
    <row r="20" spans="1:11" ht="22.5" customHeight="1" x14ac:dyDescent="0.25">
      <c r="A20" s="8" t="str">
        <f>metaASSETS[[#This Row],[Asset Name]]</f>
        <v>villager_03</v>
      </c>
      <c r="B20" s="8" t="str">
        <f>metaASSETS[[#This Row],[Type]]</f>
        <v>Character</v>
      </c>
      <c r="C20" s="193"/>
      <c r="D20" s="193"/>
      <c r="E20" s="193"/>
      <c r="F20" s="193"/>
      <c r="G20" s="193"/>
      <c r="H20" s="193"/>
      <c r="I20" s="193"/>
      <c r="J20" s="193"/>
      <c r="K20" s="193"/>
    </row>
    <row r="21" spans="1:11" ht="22.5" customHeight="1" x14ac:dyDescent="0.25">
      <c r="A21" s="8" t="str">
        <f>metaASSETS[[#This Row],[Asset Name]]</f>
        <v>villager_04</v>
      </c>
      <c r="B21" s="8" t="str">
        <f>metaASSETS[[#This Row],[Type]]</f>
        <v>Character</v>
      </c>
      <c r="C21" s="193"/>
      <c r="D21" s="193"/>
      <c r="E21" s="193"/>
      <c r="F21" s="193"/>
      <c r="G21" s="193"/>
      <c r="H21" s="193"/>
      <c r="I21" s="193"/>
      <c r="J21" s="193"/>
      <c r="K21" s="193"/>
    </row>
    <row r="22" spans="1:11" ht="22.5" customHeight="1" x14ac:dyDescent="0.25">
      <c r="A22" s="8" t="str">
        <f>metaASSETS[[#This Row],[Asset Name]]</f>
        <v>villager_05</v>
      </c>
      <c r="B22" s="8" t="str">
        <f>metaASSETS[[#This Row],[Type]]</f>
        <v>Character</v>
      </c>
      <c r="C22" s="193"/>
      <c r="D22" s="193"/>
      <c r="E22" s="193"/>
      <c r="F22" s="193"/>
      <c r="G22" s="193"/>
      <c r="H22" s="193"/>
      <c r="I22" s="193"/>
      <c r="J22" s="193"/>
      <c r="K22" s="193"/>
    </row>
    <row r="23" spans="1:11" ht="22.5" customHeight="1" x14ac:dyDescent="0.25">
      <c r="A23" s="8" t="str">
        <f>metaASSETS[[#This Row],[Asset Name]]</f>
        <v>villager_06</v>
      </c>
      <c r="B23" s="8" t="str">
        <f>metaASSETS[[#This Row],[Type]]</f>
        <v>Character</v>
      </c>
      <c r="C23" s="193"/>
      <c r="D23" s="193"/>
      <c r="E23" s="193"/>
      <c r="F23" s="193"/>
      <c r="G23" s="193"/>
      <c r="H23" s="193"/>
      <c r="I23" s="193"/>
      <c r="J23" s="193"/>
      <c r="K23" s="193"/>
    </row>
    <row r="24" spans="1:11" ht="22.5" customHeight="1" x14ac:dyDescent="0.25">
      <c r="A24" s="8" t="str">
        <f>metaASSETS[[#This Row],[Asset Name]]</f>
        <v>villager_07</v>
      </c>
      <c r="B24" s="8" t="str">
        <f>metaASSETS[[#This Row],[Type]]</f>
        <v>Character</v>
      </c>
      <c r="C24" s="193"/>
      <c r="D24" s="193"/>
      <c r="E24" s="193"/>
      <c r="F24" s="193"/>
      <c r="G24" s="193"/>
      <c r="H24" s="193"/>
      <c r="I24" s="193"/>
      <c r="J24" s="193"/>
      <c r="K24" s="193"/>
    </row>
    <row r="25" spans="1:11" ht="22.5" customHeight="1" x14ac:dyDescent="0.25">
      <c r="A25" s="8" t="str">
        <f>metaASSETS[[#This Row],[Asset Name]]</f>
        <v>army_eng</v>
      </c>
      <c r="B25" s="8" t="str">
        <f>metaASSETS[[#This Row],[Type]]</f>
        <v>Crowd</v>
      </c>
      <c r="C25" s="193"/>
      <c r="D25" s="193"/>
      <c r="E25" s="193"/>
      <c r="F25" s="193"/>
      <c r="G25" s="193"/>
      <c r="H25" s="193"/>
      <c r="I25" s="193"/>
      <c r="J25" s="193"/>
      <c r="K25" s="193"/>
    </row>
    <row r="26" spans="1:11" ht="22.5" customHeight="1" x14ac:dyDescent="0.25">
      <c r="A26" s="8" t="str">
        <f>metaASSETS[[#This Row],[Asset Name]]</f>
        <v>army_fr</v>
      </c>
      <c r="B26" s="8" t="str">
        <f>metaASSETS[[#This Row],[Type]]</f>
        <v>Crowd</v>
      </c>
      <c r="C26" s="193"/>
      <c r="D26" s="193"/>
      <c r="E26" s="193"/>
      <c r="F26" s="193"/>
      <c r="G26" s="193"/>
      <c r="H26" s="193"/>
      <c r="I26" s="193"/>
      <c r="J26" s="193"/>
      <c r="K26" s="193"/>
    </row>
    <row r="27" spans="1:11" ht="22.5" customHeight="1" x14ac:dyDescent="0.25">
      <c r="A27" s="8" t="str">
        <f>metaASSETS[[#This Row],[Asset Name]]</f>
        <v>crowd_01</v>
      </c>
      <c r="B27" s="8" t="str">
        <f>metaASSETS[[#This Row],[Type]]</f>
        <v>Crowd</v>
      </c>
      <c r="C27" s="193"/>
      <c r="D27" s="193"/>
      <c r="E27" s="193"/>
      <c r="F27" s="193"/>
      <c r="G27" s="193"/>
      <c r="H27" s="193"/>
      <c r="I27" s="193"/>
      <c r="J27" s="193"/>
      <c r="K27" s="193"/>
    </row>
    <row r="28" spans="1:11" ht="22.5" customHeight="1" x14ac:dyDescent="0.25">
      <c r="A28" s="8" t="str">
        <f>metaASSETS[[#This Row],[Asset Name]]</f>
        <v>crowd_02</v>
      </c>
      <c r="B28" s="8" t="str">
        <f>metaASSETS[[#This Row],[Type]]</f>
        <v>Crowd</v>
      </c>
      <c r="C28" s="193"/>
      <c r="D28" s="193"/>
      <c r="E28" s="193"/>
      <c r="F28" s="193"/>
      <c r="G28" s="193"/>
      <c r="H28" s="193"/>
      <c r="I28" s="193"/>
      <c r="J28" s="193"/>
      <c r="K28" s="193"/>
    </row>
    <row r="29" spans="1:11" ht="22.5" customHeight="1" x14ac:dyDescent="0.25">
      <c r="A29" s="8" t="str">
        <f>metaASSETS[[#This Row],[Asset Name]]</f>
        <v>crowd_03</v>
      </c>
      <c r="B29" s="8" t="str">
        <f>metaASSETS[[#This Row],[Type]]</f>
        <v>Crowd</v>
      </c>
      <c r="C29" s="193"/>
      <c r="D29" s="193"/>
      <c r="E29" s="193"/>
      <c r="F29" s="193"/>
      <c r="G29" s="193"/>
      <c r="H29" s="193"/>
      <c r="I29" s="193"/>
      <c r="J29" s="193"/>
      <c r="K29" s="193"/>
    </row>
    <row r="30" spans="1:11" ht="22.5" customHeight="1" x14ac:dyDescent="0.25">
      <c r="A30" s="8" t="str">
        <f>metaASSETS[[#This Row],[Asset Name]]</f>
        <v>bucher</v>
      </c>
      <c r="B30" s="8" t="str">
        <f>metaASSETS[[#This Row],[Type]]</f>
        <v>Environment</v>
      </c>
      <c r="C30" s="193"/>
      <c r="D30" s="193"/>
      <c r="E30" s="193"/>
      <c r="F30" s="193"/>
      <c r="G30" s="193"/>
      <c r="H30" s="193"/>
      <c r="I30" s="193"/>
      <c r="J30" s="193"/>
      <c r="K30" s="193"/>
    </row>
    <row r="31" spans="1:11" ht="22.5" customHeight="1" x14ac:dyDescent="0.25">
      <c r="A31" s="8" t="str">
        <f>metaASSETS[[#This Row],[Asset Name]]</f>
        <v>church_ext</v>
      </c>
      <c r="B31" s="8" t="str">
        <f>metaASSETS[[#This Row],[Type]]</f>
        <v>Environment</v>
      </c>
      <c r="C31" s="193"/>
      <c r="D31" s="193"/>
      <c r="E31" s="193"/>
      <c r="F31" s="193"/>
      <c r="G31" s="193"/>
      <c r="H31" s="193"/>
      <c r="I31" s="193"/>
      <c r="J31" s="193"/>
      <c r="K31" s="193"/>
    </row>
    <row r="32" spans="1:11" ht="22.5" customHeight="1" x14ac:dyDescent="0.25">
      <c r="A32" s="8" t="str">
        <f>metaASSETS[[#This Row],[Asset Name]]</f>
        <v>church_int</v>
      </c>
      <c r="B32" s="8" t="str">
        <f>metaASSETS[[#This Row],[Type]]</f>
        <v>Environment</v>
      </c>
      <c r="C32" s="193"/>
      <c r="D32" s="193"/>
      <c r="E32" s="193"/>
      <c r="F32" s="193"/>
      <c r="G32" s="193"/>
      <c r="H32" s="193"/>
      <c r="I32" s="193"/>
      <c r="J32" s="193"/>
      <c r="K32" s="193"/>
    </row>
    <row r="33" spans="1:11" ht="22.5" customHeight="1" x14ac:dyDescent="0.25">
      <c r="A33" s="8" t="str">
        <f>metaASSETS[[#This Row],[Asset Name]]</f>
        <v>door_01</v>
      </c>
      <c r="B33" s="8" t="str">
        <f>metaASSETS[[#This Row],[Type]]</f>
        <v>Environment</v>
      </c>
      <c r="C33" s="193"/>
      <c r="D33" s="193"/>
      <c r="E33" s="193"/>
      <c r="F33" s="193"/>
      <c r="G33" s="193"/>
      <c r="H33" s="193"/>
      <c r="I33" s="193"/>
      <c r="J33" s="193"/>
      <c r="K33" s="193"/>
    </row>
    <row r="34" spans="1:11" ht="22.5" customHeight="1" x14ac:dyDescent="0.25">
      <c r="A34" s="8" t="str">
        <f>metaASSETS[[#This Row],[Asset Name]]</f>
        <v>door_02</v>
      </c>
      <c r="B34" s="8" t="str">
        <f>metaASSETS[[#This Row],[Type]]</f>
        <v>Environment</v>
      </c>
      <c r="C34" s="193"/>
      <c r="D34" s="193"/>
      <c r="E34" s="193"/>
      <c r="F34" s="193"/>
      <c r="G34" s="193"/>
      <c r="H34" s="193"/>
      <c r="I34" s="193"/>
      <c r="J34" s="193"/>
      <c r="K34" s="193"/>
    </row>
    <row r="35" spans="1:11" ht="22.5" customHeight="1" x14ac:dyDescent="0.25">
      <c r="A35" s="8" t="str">
        <f>metaASSETS[[#This Row],[Asset Name]]</f>
        <v>door_03</v>
      </c>
      <c r="B35" s="8" t="str">
        <f>metaASSETS[[#This Row],[Type]]</f>
        <v>Environment</v>
      </c>
      <c r="C35" s="193"/>
      <c r="D35" s="193"/>
      <c r="E35" s="193"/>
      <c r="F35" s="193"/>
      <c r="G35" s="193"/>
      <c r="H35" s="193"/>
      <c r="I35" s="193"/>
      <c r="J35" s="193"/>
      <c r="K35" s="193"/>
    </row>
    <row r="36" spans="1:11" ht="22.5" customHeight="1" x14ac:dyDescent="0.25">
      <c r="A36" s="8" t="str">
        <f>metaASSETS[[#This Row],[Asset Name]]</f>
        <v>door_04</v>
      </c>
      <c r="B36" s="8" t="str">
        <f>metaASSETS[[#This Row],[Type]]</f>
        <v>Environment</v>
      </c>
      <c r="C36" s="193"/>
      <c r="D36" s="193"/>
      <c r="E36" s="193"/>
      <c r="F36" s="193"/>
      <c r="G36" s="193"/>
      <c r="H36" s="193"/>
      <c r="I36" s="193"/>
      <c r="J36" s="193"/>
      <c r="K36" s="193"/>
    </row>
    <row r="37" spans="1:11" ht="22.5" customHeight="1" x14ac:dyDescent="0.25">
      <c r="A37" s="8" t="str">
        <f>metaASSETS[[#This Row],[Asset Name]]</f>
        <v>door_05</v>
      </c>
      <c r="B37" s="8" t="str">
        <f>metaASSETS[[#This Row],[Type]]</f>
        <v>Environment</v>
      </c>
      <c r="C37" s="193"/>
      <c r="D37" s="193"/>
      <c r="E37" s="193"/>
      <c r="F37" s="193"/>
      <c r="G37" s="193"/>
      <c r="H37" s="193"/>
      <c r="I37" s="193"/>
      <c r="J37" s="193"/>
      <c r="K37" s="193"/>
    </row>
    <row r="38" spans="1:11" ht="22.5" customHeight="1" x14ac:dyDescent="0.25">
      <c r="A38" s="8" t="str">
        <f>metaASSETS[[#This Row],[Asset Name]]</f>
        <v>fake_int</v>
      </c>
      <c r="B38" s="8" t="str">
        <f>metaASSETS[[#This Row],[Type]]</f>
        <v>Environment</v>
      </c>
      <c r="C38" s="193"/>
      <c r="D38" s="193"/>
      <c r="E38" s="193"/>
      <c r="F38" s="193"/>
      <c r="G38" s="193"/>
      <c r="H38" s="193"/>
      <c r="I38" s="193"/>
      <c r="J38" s="193"/>
      <c r="K38" s="193"/>
    </row>
    <row r="39" spans="1:11" ht="22.5" customHeight="1" x14ac:dyDescent="0.25">
      <c r="A39" s="8" t="str">
        <f>metaASSETS[[#This Row],[Asset Name]]</f>
        <v>flr_01</v>
      </c>
      <c r="B39" s="8" t="str">
        <f>metaASSETS[[#This Row],[Type]]</f>
        <v>Environment</v>
      </c>
      <c r="C39" s="193"/>
      <c r="D39" s="193"/>
      <c r="E39" s="193"/>
      <c r="F39" s="193"/>
      <c r="G39" s="193"/>
      <c r="H39" s="193"/>
      <c r="I39" s="193"/>
      <c r="J39" s="193"/>
      <c r="K39" s="193"/>
    </row>
    <row r="40" spans="1:11" ht="22.5" customHeight="1" x14ac:dyDescent="0.25">
      <c r="A40" s="8" t="str">
        <f>metaASSETS[[#This Row],[Asset Name]]</f>
        <v>flr_02</v>
      </c>
      <c r="B40" s="8" t="str">
        <f>metaASSETS[[#This Row],[Type]]</f>
        <v>Environment</v>
      </c>
      <c r="C40" s="193"/>
      <c r="D40" s="193"/>
      <c r="E40" s="193"/>
      <c r="F40" s="193"/>
      <c r="G40" s="193"/>
      <c r="H40" s="193"/>
      <c r="I40" s="193"/>
      <c r="J40" s="193"/>
      <c r="K40" s="193"/>
    </row>
    <row r="41" spans="1:11" ht="22.5" customHeight="1" x14ac:dyDescent="0.25">
      <c r="A41" s="8" t="str">
        <f>metaASSETS[[#This Row],[Asset Name]]</f>
        <v>hill</v>
      </c>
      <c r="B41" s="8" t="str">
        <f>metaASSETS[[#This Row],[Type]]</f>
        <v>Environment</v>
      </c>
      <c r="C41" s="193"/>
      <c r="D41" s="193"/>
      <c r="E41" s="193"/>
      <c r="F41" s="193"/>
      <c r="G41" s="193"/>
      <c r="H41" s="193"/>
      <c r="I41" s="193"/>
      <c r="J41" s="193"/>
      <c r="K41" s="193"/>
    </row>
    <row r="42" spans="1:11" ht="22.5" customHeight="1" x14ac:dyDescent="0.25">
      <c r="A42" s="8" t="str">
        <f>metaASSETS[[#This Row],[Asset Name]]</f>
        <v>house_01</v>
      </c>
      <c r="B42" s="8" t="str">
        <f>metaASSETS[[#This Row],[Type]]</f>
        <v>Environment</v>
      </c>
      <c r="C42" s="193"/>
      <c r="D42" s="193"/>
      <c r="E42" s="193"/>
      <c r="F42" s="193"/>
      <c r="G42" s="193"/>
      <c r="H42" s="193"/>
      <c r="I42" s="193"/>
      <c r="J42" s="193"/>
      <c r="K42" s="193"/>
    </row>
    <row r="43" spans="1:11" ht="22.5" customHeight="1" x14ac:dyDescent="0.25">
      <c r="A43" s="8" t="str">
        <f>metaASSETS[[#This Row],[Asset Name]]</f>
        <v>house_02</v>
      </c>
      <c r="B43" s="8" t="str">
        <f>metaASSETS[[#This Row],[Type]]</f>
        <v>Environment</v>
      </c>
      <c r="C43" s="193"/>
      <c r="D43" s="193"/>
      <c r="E43" s="193"/>
      <c r="F43" s="193"/>
      <c r="G43" s="193"/>
      <c r="H43" s="193"/>
      <c r="I43" s="193"/>
      <c r="J43" s="193"/>
      <c r="K43" s="193"/>
    </row>
    <row r="44" spans="1:11" ht="22.5" customHeight="1" x14ac:dyDescent="0.25">
      <c r="A44" s="8" t="str">
        <f>metaASSETS[[#This Row],[Asset Name]]</f>
        <v>house_03</v>
      </c>
      <c r="B44" s="8" t="str">
        <f>metaASSETS[[#This Row],[Type]]</f>
        <v>Environment</v>
      </c>
      <c r="C44" s="193"/>
      <c r="D44" s="193"/>
      <c r="E44" s="193"/>
      <c r="F44" s="193"/>
      <c r="G44" s="193"/>
      <c r="H44" s="193"/>
      <c r="I44" s="193"/>
      <c r="J44" s="193"/>
      <c r="K44" s="193"/>
    </row>
    <row r="45" spans="1:11" ht="22.5" customHeight="1" x14ac:dyDescent="0.25">
      <c r="A45" s="8" t="str">
        <f>metaASSETS[[#This Row],[Asset Name]]</f>
        <v>house_04</v>
      </c>
      <c r="B45" s="8" t="str">
        <f>metaASSETS[[#This Row],[Type]]</f>
        <v>Environment</v>
      </c>
      <c r="C45" s="193"/>
      <c r="D45" s="193"/>
      <c r="E45" s="193"/>
      <c r="F45" s="193"/>
      <c r="G45" s="193"/>
      <c r="H45" s="193"/>
      <c r="I45" s="193"/>
      <c r="J45" s="193"/>
      <c r="K45" s="193"/>
    </row>
    <row r="46" spans="1:11" ht="22.5" customHeight="1" x14ac:dyDescent="0.25">
      <c r="A46" s="8" t="str">
        <f>metaASSETS[[#This Row],[Asset Name]]</f>
        <v>house_05</v>
      </c>
      <c r="B46" s="8" t="str">
        <f>metaASSETS[[#This Row],[Type]]</f>
        <v>Environment</v>
      </c>
      <c r="C46" s="193"/>
      <c r="D46" s="193"/>
      <c r="E46" s="193"/>
      <c r="F46" s="193"/>
      <c r="G46" s="193"/>
      <c r="H46" s="193"/>
      <c r="I46" s="193"/>
      <c r="J46" s="193"/>
      <c r="K46" s="193"/>
    </row>
    <row r="47" spans="1:11" ht="22.5" customHeight="1" x14ac:dyDescent="0.25">
      <c r="A47" s="8" t="str">
        <f>metaASSETS[[#This Row],[Asset Name]]</f>
        <v>house_06</v>
      </c>
      <c r="B47" s="8" t="str">
        <f>metaASSETS[[#This Row],[Type]]</f>
        <v>Environment</v>
      </c>
      <c r="C47" s="193"/>
      <c r="D47" s="193"/>
      <c r="E47" s="193"/>
      <c r="F47" s="193"/>
      <c r="G47" s="193"/>
      <c r="H47" s="193"/>
      <c r="I47" s="193"/>
      <c r="J47" s="193"/>
      <c r="K47" s="193"/>
    </row>
    <row r="48" spans="1:11" ht="22.5" customHeight="1" x14ac:dyDescent="0.25">
      <c r="A48" s="8" t="str">
        <f>metaASSETS[[#This Row],[Asset Name]]</f>
        <v>house_07</v>
      </c>
      <c r="B48" s="8" t="str">
        <f>metaASSETS[[#This Row],[Type]]</f>
        <v>Environment</v>
      </c>
      <c r="C48" s="193"/>
      <c r="D48" s="193"/>
      <c r="E48" s="193"/>
      <c r="F48" s="193"/>
      <c r="G48" s="193"/>
      <c r="H48" s="193"/>
      <c r="I48" s="193"/>
      <c r="J48" s="193"/>
      <c r="K48" s="193"/>
    </row>
    <row r="49" spans="1:11" ht="22.5" customHeight="1" x14ac:dyDescent="0.25">
      <c r="A49" s="8" t="str">
        <f>metaASSETS[[#This Row],[Asset Name]]</f>
        <v>house_08</v>
      </c>
      <c r="B49" s="8" t="str">
        <f>metaASSETS[[#This Row],[Type]]</f>
        <v>Environment</v>
      </c>
      <c r="C49" s="193"/>
      <c r="D49" s="193"/>
      <c r="E49" s="193"/>
      <c r="F49" s="193"/>
      <c r="G49" s="193"/>
      <c r="H49" s="193"/>
      <c r="I49" s="193"/>
      <c r="J49" s="193"/>
      <c r="K49" s="193"/>
    </row>
    <row r="50" spans="1:11" ht="22.5" customHeight="1" x14ac:dyDescent="0.25">
      <c r="A50" s="8" t="str">
        <f>metaASSETS[[#This Row],[Asset Name]]</f>
        <v>arrows</v>
      </c>
      <c r="B50" s="8" t="str">
        <f>metaASSETS[[#This Row],[Type]]</f>
        <v>FX</v>
      </c>
      <c r="C50" s="193"/>
      <c r="D50" s="193"/>
      <c r="E50" s="193"/>
      <c r="F50" s="193"/>
      <c r="G50" s="193"/>
      <c r="H50" s="193"/>
      <c r="I50" s="193"/>
      <c r="J50" s="193"/>
      <c r="K50" s="193"/>
    </row>
    <row r="51" spans="1:11" ht="22.5" customHeight="1" x14ac:dyDescent="0.25">
      <c r="A51" s="8" t="str">
        <f>metaASSETS[[#This Row],[Asset Name]]</f>
        <v>plaines_01</v>
      </c>
      <c r="B51" s="8" t="str">
        <f>metaASSETS[[#This Row],[Type]]</f>
        <v>Matte Painting</v>
      </c>
      <c r="C51" s="193"/>
      <c r="D51" s="193"/>
      <c r="E51" s="193"/>
      <c r="F51" s="193"/>
      <c r="G51" s="193"/>
      <c r="H51" s="193"/>
      <c r="I51" s="193"/>
      <c r="J51" s="193"/>
      <c r="K51" s="193"/>
    </row>
    <row r="52" spans="1:11" ht="22.5" customHeight="1" x14ac:dyDescent="0.25">
      <c r="A52" s="8" t="str">
        <f>metaASSETS[[#This Row],[Asset Name]]</f>
        <v>plaines_02</v>
      </c>
      <c r="B52" s="8" t="str">
        <f>metaASSETS[[#This Row],[Type]]</f>
        <v>Matte Painting</v>
      </c>
      <c r="C52" s="193"/>
      <c r="D52" s="193"/>
      <c r="E52" s="193"/>
      <c r="F52" s="193"/>
      <c r="G52" s="193"/>
      <c r="H52" s="193"/>
      <c r="I52" s="193"/>
      <c r="J52" s="193"/>
      <c r="K52" s="193"/>
    </row>
    <row r="53" spans="1:11" ht="22.5" customHeight="1" x14ac:dyDescent="0.25">
      <c r="A53" s="8" t="str">
        <f>metaASSETS[[#This Row],[Asset Name]]</f>
        <v>plaines_03</v>
      </c>
      <c r="B53" s="8" t="str">
        <f>metaASSETS[[#This Row],[Type]]</f>
        <v>Matte Painting</v>
      </c>
      <c r="C53" s="193"/>
      <c r="D53" s="193"/>
      <c r="E53" s="193"/>
      <c r="F53" s="193"/>
      <c r="G53" s="193"/>
      <c r="H53" s="193"/>
      <c r="I53" s="193"/>
      <c r="J53" s="193"/>
      <c r="K53" s="193"/>
    </row>
    <row r="54" spans="1:11" ht="22.5" customHeight="1" x14ac:dyDescent="0.25">
      <c r="A54" s="8" t="str">
        <f>metaASSETS[[#This Row],[Asset Name]]</f>
        <v>accessory_01</v>
      </c>
      <c r="B54" s="8" t="str">
        <f>metaASSETS[[#This Row],[Type]]</f>
        <v>Prop</v>
      </c>
      <c r="C54" s="193"/>
      <c r="D54" s="193"/>
      <c r="E54" s="193"/>
      <c r="F54" s="193"/>
      <c r="G54" s="193"/>
      <c r="H54" s="193"/>
      <c r="I54" s="193"/>
      <c r="J54" s="193"/>
      <c r="K54" s="193"/>
    </row>
    <row r="55" spans="1:11" ht="22.5" customHeight="1" x14ac:dyDescent="0.25">
      <c r="A55" s="8" t="str">
        <f>metaASSETS[[#This Row],[Asset Name]]</f>
        <v>accessory_02</v>
      </c>
      <c r="B55" s="8" t="str">
        <f>metaASSETS[[#This Row],[Type]]</f>
        <v>Prop</v>
      </c>
      <c r="C55" s="193"/>
      <c r="D55" s="193"/>
      <c r="E55" s="193"/>
      <c r="F55" s="193"/>
      <c r="G55" s="193"/>
      <c r="H55" s="193"/>
      <c r="I55" s="193"/>
      <c r="J55" s="193"/>
      <c r="K55" s="193"/>
    </row>
    <row r="56" spans="1:11" ht="22.5" customHeight="1" x14ac:dyDescent="0.25">
      <c r="A56" s="8" t="str">
        <f>metaASSETS[[#This Row],[Asset Name]]</f>
        <v>accessory_03</v>
      </c>
      <c r="B56" s="8" t="str">
        <f>metaASSETS[[#This Row],[Type]]</f>
        <v>Prop</v>
      </c>
      <c r="C56" s="193"/>
      <c r="D56" s="193"/>
      <c r="E56" s="193"/>
      <c r="F56" s="193"/>
      <c r="G56" s="193"/>
      <c r="H56" s="193"/>
      <c r="I56" s="193"/>
      <c r="J56" s="193"/>
      <c r="K56" s="193"/>
    </row>
    <row r="57" spans="1:11" ht="22.5" customHeight="1" x14ac:dyDescent="0.25">
      <c r="A57" s="8" t="str">
        <f>metaASSETS[[#This Row],[Asset Name]]</f>
        <v>accessory_04</v>
      </c>
      <c r="B57" s="8" t="str">
        <f>metaASSETS[[#This Row],[Type]]</f>
        <v>Prop</v>
      </c>
      <c r="C57" s="193"/>
      <c r="D57" s="193"/>
      <c r="E57" s="193"/>
      <c r="F57" s="193"/>
      <c r="G57" s="193"/>
      <c r="H57" s="193"/>
      <c r="I57" s="193"/>
      <c r="J57" s="193"/>
      <c r="K57" s="193"/>
    </row>
    <row r="58" spans="1:11" ht="22.5" customHeight="1" x14ac:dyDescent="0.25">
      <c r="A58" s="8" t="str">
        <f>metaASSETS[[#This Row],[Asset Name]]</f>
        <v>arrow</v>
      </c>
      <c r="B58" s="8" t="str">
        <f>metaASSETS[[#This Row],[Type]]</f>
        <v>Prop</v>
      </c>
      <c r="C58" s="193"/>
      <c r="D58" s="193"/>
      <c r="E58" s="193"/>
      <c r="F58" s="193"/>
      <c r="G58" s="193"/>
      <c r="H58" s="193"/>
      <c r="I58" s="193"/>
      <c r="J58" s="193"/>
      <c r="K58" s="193"/>
    </row>
    <row r="59" spans="1:11" ht="22.5" customHeight="1" x14ac:dyDescent="0.25">
      <c r="A59" s="8" t="str">
        <f>metaASSETS[[#This Row],[Asset Name]]</f>
        <v>banner</v>
      </c>
      <c r="B59" s="8" t="str">
        <f>metaASSETS[[#This Row],[Type]]</f>
        <v>Prop</v>
      </c>
      <c r="C59" s="193"/>
      <c r="D59" s="193"/>
      <c r="E59" s="193"/>
      <c r="F59" s="193"/>
      <c r="G59" s="193"/>
      <c r="H59" s="193"/>
      <c r="I59" s="193"/>
      <c r="J59" s="193"/>
      <c r="K59" s="193"/>
    </row>
    <row r="60" spans="1:11" ht="22.5" customHeight="1" x14ac:dyDescent="0.25">
      <c r="A60" s="8" t="str">
        <f>metaASSETS[[#This Row],[Asset Name]]</f>
        <v>bow</v>
      </c>
      <c r="B60" s="8" t="str">
        <f>metaASSETS[[#This Row],[Type]]</f>
        <v>Prop</v>
      </c>
      <c r="C60" s="193"/>
      <c r="D60" s="193"/>
      <c r="E60" s="193"/>
      <c r="F60" s="193"/>
      <c r="G60" s="193"/>
      <c r="H60" s="193"/>
      <c r="I60" s="193"/>
      <c r="J60" s="193"/>
      <c r="K60" s="193"/>
    </row>
    <row r="61" spans="1:11" ht="22.5" customHeight="1" x14ac:dyDescent="0.25">
      <c r="A61" s="8" t="str">
        <f>metaASSETS[[#This Row],[Asset Name]]</f>
        <v>chains_01</v>
      </c>
      <c r="B61" s="8" t="str">
        <f>metaASSETS[[#This Row],[Type]]</f>
        <v>Prop</v>
      </c>
      <c r="C61" s="193"/>
      <c r="D61" s="193"/>
      <c r="E61" s="193"/>
      <c r="F61" s="193"/>
      <c r="G61" s="193"/>
      <c r="H61" s="193"/>
      <c r="I61" s="193"/>
      <c r="J61" s="193"/>
      <c r="K61" s="193"/>
    </row>
    <row r="62" spans="1:11" ht="22.5" customHeight="1" x14ac:dyDescent="0.25">
      <c r="A62" s="8" t="str">
        <f>metaASSETS[[#This Row],[Asset Name]]</f>
        <v>chains_02</v>
      </c>
      <c r="B62" s="8" t="str">
        <f>metaASSETS[[#This Row],[Type]]</f>
        <v>Prop</v>
      </c>
      <c r="C62" s="193"/>
      <c r="D62" s="193"/>
      <c r="E62" s="193"/>
      <c r="F62" s="193"/>
      <c r="G62" s="193"/>
      <c r="H62" s="193"/>
      <c r="I62" s="193"/>
      <c r="J62" s="193"/>
      <c r="K62" s="193"/>
    </row>
    <row r="63" spans="1:11" ht="22.5" customHeight="1" x14ac:dyDescent="0.25">
      <c r="A63" s="8" t="str">
        <f>metaASSETS[[#This Row],[Asset Name]]</f>
        <v>chains_break</v>
      </c>
      <c r="B63" s="8" t="str">
        <f>metaASSETS[[#This Row],[Type]]</f>
        <v>Prop</v>
      </c>
      <c r="C63" s="193"/>
      <c r="D63" s="193"/>
      <c r="E63" s="193"/>
      <c r="F63" s="193"/>
      <c r="G63" s="193"/>
      <c r="H63" s="193"/>
      <c r="I63" s="193"/>
      <c r="J63" s="193"/>
      <c r="K63" s="193"/>
    </row>
    <row r="64" spans="1:11" ht="22.5" customHeight="1" x14ac:dyDescent="0.25">
      <c r="A64" s="8" t="str">
        <f>metaASSETS[[#This Row],[Asset Name]]</f>
        <v>helmet_eng_01</v>
      </c>
      <c r="B64" s="8" t="str">
        <f>metaASSETS[[#This Row],[Type]]</f>
        <v>Prop</v>
      </c>
      <c r="C64" s="193"/>
      <c r="D64" s="193"/>
      <c r="E64" s="193"/>
      <c r="F64" s="193"/>
      <c r="G64" s="193"/>
      <c r="H64" s="193"/>
      <c r="I64" s="193"/>
      <c r="J64" s="193"/>
      <c r="K64" s="193"/>
    </row>
    <row r="65" spans="1:11" ht="22.5" customHeight="1" x14ac:dyDescent="0.25">
      <c r="A65" s="8" t="str">
        <f>metaASSETS[[#This Row],[Asset Name]]</f>
        <v>helmet_eng_02</v>
      </c>
      <c r="B65" s="8" t="str">
        <f>metaASSETS[[#This Row],[Type]]</f>
        <v>Prop</v>
      </c>
      <c r="C65" s="193"/>
      <c r="D65" s="193"/>
      <c r="E65" s="193"/>
      <c r="F65" s="193"/>
      <c r="G65" s="193"/>
      <c r="H65" s="193"/>
      <c r="I65" s="193"/>
      <c r="J65" s="193"/>
      <c r="K65" s="193"/>
    </row>
    <row r="66" spans="1:11" ht="22.5" customHeight="1" x14ac:dyDescent="0.25">
      <c r="A66" s="8" t="str">
        <f>metaASSETS[[#This Row],[Asset Name]]</f>
        <v>helmet_fr_01</v>
      </c>
      <c r="B66" s="8" t="str">
        <f>metaASSETS[[#This Row],[Type]]</f>
        <v>Prop</v>
      </c>
      <c r="C66" s="193"/>
      <c r="D66" s="193"/>
      <c r="E66" s="193"/>
      <c r="F66" s="193"/>
      <c r="G66" s="193"/>
      <c r="H66" s="193"/>
      <c r="I66" s="193"/>
      <c r="J66" s="193"/>
      <c r="K66" s="193"/>
    </row>
    <row r="67" spans="1:11" ht="22.5" customHeight="1" x14ac:dyDescent="0.25">
      <c r="A67" s="8" t="str">
        <f>metaASSETS[[#This Row],[Asset Name]]</f>
        <v>helmet_fr_02</v>
      </c>
      <c r="B67" s="8" t="str">
        <f>metaASSETS[[#This Row],[Type]]</f>
        <v>Prop</v>
      </c>
      <c r="C67" s="193"/>
      <c r="D67" s="193"/>
      <c r="E67" s="193"/>
      <c r="F67" s="193"/>
      <c r="G67" s="193"/>
      <c r="H67" s="193"/>
      <c r="I67" s="193"/>
      <c r="J67" s="193"/>
      <c r="K67" s="193"/>
    </row>
    <row r="68" spans="1:11" ht="22.5" customHeight="1" x14ac:dyDescent="0.25">
      <c r="A68" s="8" t="str">
        <f>metaASSETS[[#This Row],[Asset Name]]</f>
        <v>helmet_fr_03</v>
      </c>
      <c r="B68" s="8" t="str">
        <f>metaASSETS[[#This Row],[Type]]</f>
        <v>Prop</v>
      </c>
      <c r="C68" s="193"/>
      <c r="D68" s="193"/>
      <c r="E68" s="193"/>
      <c r="F68" s="193"/>
      <c r="G68" s="193"/>
      <c r="H68" s="193"/>
      <c r="I68" s="193"/>
      <c r="J68" s="193"/>
      <c r="K68" s="193"/>
    </row>
    <row r="69" spans="1:11" ht="22.5" customHeight="1" x14ac:dyDescent="0.25">
      <c r="A69" s="8" t="str">
        <f>metaASSETS[[#This Row],[Asset Name]]</f>
        <v>mace</v>
      </c>
      <c r="B69" s="8" t="str">
        <f>metaASSETS[[#This Row],[Type]]</f>
        <v>Prop</v>
      </c>
      <c r="C69" s="193"/>
      <c r="D69" s="193"/>
      <c r="E69" s="193"/>
      <c r="F69" s="193"/>
      <c r="G69" s="193"/>
      <c r="H69" s="193"/>
      <c r="I69" s="193"/>
      <c r="J69" s="193"/>
      <c r="K69" s="193"/>
    </row>
    <row r="70" spans="1:11" ht="22.5" customHeight="1" x14ac:dyDescent="0.25">
      <c r="A70" s="8" t="str">
        <f>metaASSETS[[#This Row],[Asset Name]]</f>
        <v>shield</v>
      </c>
      <c r="B70" s="8" t="str">
        <f>metaASSETS[[#This Row],[Type]]</f>
        <v>Prop</v>
      </c>
      <c r="C70" s="193"/>
      <c r="D70" s="193"/>
      <c r="E70" s="193"/>
      <c r="F70" s="193"/>
      <c r="G70" s="193"/>
      <c r="H70" s="193"/>
      <c r="I70" s="193"/>
      <c r="J70" s="193"/>
      <c r="K70" s="193"/>
    </row>
    <row r="71" spans="1:11" ht="22.5" customHeight="1" x14ac:dyDescent="0.25">
      <c r="A71" s="8" t="str">
        <f>metaASSETS[[#This Row],[Asset Name]]</f>
        <v>swrd</v>
      </c>
      <c r="B71" s="8" t="str">
        <f>metaASSETS[[#This Row],[Type]]</f>
        <v>Prop</v>
      </c>
      <c r="C71" s="193"/>
      <c r="D71" s="193"/>
      <c r="E71" s="193"/>
      <c r="F71" s="193"/>
      <c r="G71" s="193"/>
      <c r="H71" s="193"/>
      <c r="I71" s="193"/>
      <c r="J71" s="193"/>
      <c r="K71" s="193"/>
    </row>
    <row r="72" spans="1:11" ht="22.5" customHeight="1" x14ac:dyDescent="0.25">
      <c r="A72" s="8" t="str">
        <f>metaASSETS[[#This Row],[Asset Name]]</f>
        <v>swrd_01</v>
      </c>
      <c r="B72" s="8" t="str">
        <f>metaASSETS[[#This Row],[Type]]</f>
        <v>Prop</v>
      </c>
      <c r="C72" s="193"/>
      <c r="D72" s="193"/>
      <c r="E72" s="193"/>
      <c r="F72" s="193"/>
      <c r="G72" s="193"/>
      <c r="H72" s="193"/>
      <c r="I72" s="193"/>
      <c r="J72" s="193"/>
      <c r="K72" s="193"/>
    </row>
    <row r="73" spans="1:11" ht="22.5" customHeight="1" x14ac:dyDescent="0.25">
      <c r="A73" s="8" t="str">
        <f>metaASSETS[[#This Row],[Asset Name]]</f>
        <v>weapon_01</v>
      </c>
      <c r="B73" s="8" t="str">
        <f>metaASSETS[[#This Row],[Type]]</f>
        <v>Prop</v>
      </c>
      <c r="C73" s="193"/>
      <c r="D73" s="193"/>
      <c r="E73" s="193"/>
      <c r="F73" s="193"/>
      <c r="G73" s="193"/>
      <c r="H73" s="193"/>
      <c r="I73" s="193"/>
      <c r="J73" s="193"/>
      <c r="K73" s="193"/>
    </row>
    <row r="74" spans="1:11" ht="22.5" customHeight="1" x14ac:dyDescent="0.25">
      <c r="A74" s="8" t="str">
        <f>metaASSETS[[#This Row],[Asset Name]]</f>
        <v>weapon_02</v>
      </c>
      <c r="B74" s="8" t="str">
        <f>metaASSETS[[#This Row],[Type]]</f>
        <v>Prop</v>
      </c>
      <c r="C74" s="193"/>
      <c r="D74" s="193"/>
      <c r="E74" s="193"/>
      <c r="F74" s="193"/>
      <c r="G74" s="193"/>
      <c r="H74" s="193"/>
      <c r="I74" s="193"/>
      <c r="J74" s="193"/>
      <c r="K74" s="193"/>
    </row>
    <row r="75" spans="1:11" ht="22.5" customHeight="1" x14ac:dyDescent="0.25">
      <c r="A75" s="8" t="str">
        <f>metaASSETS[[#This Row],[Asset Name]]</f>
        <v>weapon_03</v>
      </c>
      <c r="B75" s="8" t="str">
        <f>metaASSETS[[#This Row],[Type]]</f>
        <v>Prop</v>
      </c>
      <c r="C75" s="193"/>
      <c r="D75" s="193"/>
      <c r="E75" s="193"/>
      <c r="F75" s="193"/>
      <c r="G75" s="193"/>
      <c r="H75" s="193"/>
      <c r="I75" s="193"/>
      <c r="J75" s="193"/>
      <c r="K75" s="193"/>
    </row>
    <row r="76" spans="1:11" ht="22.5" customHeight="1" x14ac:dyDescent="0.25">
      <c r="A76" s="8" t="str">
        <f>metaASSETS[[#This Row],[Asset Name]]</f>
        <v>weapon_04</v>
      </c>
      <c r="B76" s="8" t="str">
        <f>metaASSETS[[#This Row],[Type]]</f>
        <v>Prop</v>
      </c>
      <c r="C76" s="193"/>
      <c r="D76" s="193"/>
      <c r="E76" s="193"/>
      <c r="F76" s="193"/>
      <c r="G76" s="193"/>
      <c r="H76" s="193"/>
      <c r="I76" s="193"/>
      <c r="J76" s="193"/>
      <c r="K76" s="193"/>
    </row>
    <row r="77" spans="1:11" ht="22.5" customHeight="1" x14ac:dyDescent="0.25">
      <c r="A77" s="8" t="str">
        <f>metaASSETS[[#This Row],[Asset Name]]</f>
        <v>weapon_05</v>
      </c>
      <c r="B77" s="8" t="str">
        <f>metaASSETS[[#This Row],[Type]]</f>
        <v>Prop</v>
      </c>
      <c r="C77" s="193"/>
      <c r="D77" s="193"/>
      <c r="E77" s="193"/>
      <c r="F77" s="193"/>
      <c r="G77" s="193"/>
      <c r="H77" s="193"/>
      <c r="I77" s="193"/>
      <c r="J77" s="193"/>
      <c r="K77" s="193"/>
    </row>
    <row r="78" spans="1:11" ht="22.5" customHeight="1" x14ac:dyDescent="0.25">
      <c r="A78" s="8" t="str">
        <f>metaASSETS[[#This Row],[Asset Name]]</f>
        <v>broken_vitrail</v>
      </c>
      <c r="B78" s="8" t="str">
        <f>metaASSETS[[#This Row],[Type]]</f>
        <v>Prop</v>
      </c>
      <c r="C78" s="193"/>
      <c r="D78" s="193"/>
      <c r="E78" s="193"/>
      <c r="F78" s="193"/>
      <c r="G78" s="193"/>
      <c r="H78" s="193"/>
      <c r="I78" s="193"/>
      <c r="J78" s="193"/>
      <c r="K78" s="193"/>
    </row>
    <row r="79" spans="1:11" ht="22.5" customHeight="1" x14ac:dyDescent="0.25">
      <c r="A79" s="8" t="e">
        <f>metaASSETS[[#This Row],[Asset Name]]</f>
        <v>#VALUE!</v>
      </c>
      <c r="B79" s="8" t="e">
        <f>metaASSETS[[#This Row],[Type]]</f>
        <v>#VALUE!</v>
      </c>
      <c r="C79" s="193"/>
      <c r="D79" s="193"/>
      <c r="E79" s="193"/>
      <c r="F79" s="193"/>
      <c r="G79" s="193"/>
      <c r="H79" s="193"/>
      <c r="I79" s="193"/>
      <c r="J79" s="193"/>
      <c r="K79" s="193"/>
    </row>
    <row r="80" spans="1:11" ht="22.5" customHeight="1" x14ac:dyDescent="0.25">
      <c r="A80" s="8" t="e">
        <f>metaASSETS[[#This Row],[Asset Name]]</f>
        <v>#VALUE!</v>
      </c>
      <c r="B80" s="8" t="e">
        <f>metaASSETS[[#This Row],[Type]]</f>
        <v>#VALUE!</v>
      </c>
      <c r="C80" s="193"/>
      <c r="D80" s="193"/>
      <c r="E80" s="193"/>
      <c r="F80" s="193"/>
      <c r="G80" s="193"/>
      <c r="H80" s="193"/>
      <c r="I80" s="193"/>
      <c r="J80" s="193"/>
      <c r="K80" s="193"/>
    </row>
    <row r="81" spans="1:11" ht="22.5" customHeight="1" x14ac:dyDescent="0.25">
      <c r="A81" s="8" t="e">
        <f>metaASSETS[[#This Row],[Asset Name]]</f>
        <v>#VALUE!</v>
      </c>
      <c r="B81" s="8" t="e">
        <f>metaASSETS[[#This Row],[Type]]</f>
        <v>#VALUE!</v>
      </c>
      <c r="C81" s="193"/>
      <c r="D81" s="193"/>
      <c r="E81" s="193"/>
      <c r="F81" s="193"/>
      <c r="G81" s="193"/>
      <c r="H81" s="193"/>
      <c r="I81" s="193"/>
      <c r="J81" s="193"/>
      <c r="K81" s="193"/>
    </row>
    <row r="82" spans="1:11" ht="22.5" customHeight="1" x14ac:dyDescent="0.25">
      <c r="A82" s="8" t="e">
        <f>metaASSETS[[#This Row],[Asset Name]]</f>
        <v>#VALUE!</v>
      </c>
      <c r="B82" s="8" t="e">
        <f>metaASSETS[[#This Row],[Type]]</f>
        <v>#VALUE!</v>
      </c>
      <c r="C82" s="193"/>
      <c r="D82" s="193"/>
      <c r="E82" s="193"/>
      <c r="F82" s="193"/>
      <c r="G82" s="193"/>
      <c r="H82" s="193"/>
      <c r="I82" s="193"/>
      <c r="J82" s="193"/>
      <c r="K82" s="193"/>
    </row>
    <row r="83" spans="1:11" ht="22.5" customHeight="1" x14ac:dyDescent="0.25">
      <c r="A83" s="8" t="e">
        <f>metaASSETS[[#This Row],[Asset Name]]</f>
        <v>#VALUE!</v>
      </c>
      <c r="B83" s="8" t="e">
        <f>metaASSETS[[#This Row],[Type]]</f>
        <v>#VALUE!</v>
      </c>
      <c r="C83" s="193"/>
      <c r="D83" s="193"/>
      <c r="E83" s="193"/>
      <c r="F83" s="193"/>
      <c r="G83" s="193"/>
      <c r="H83" s="193"/>
      <c r="I83" s="193"/>
      <c r="J83" s="193"/>
      <c r="K83" s="193"/>
    </row>
    <row r="84" spans="1:11" ht="22.5" customHeight="1" x14ac:dyDescent="0.25">
      <c r="A84" s="8" t="e">
        <f>metaASSETS[[#This Row],[Asset Name]]</f>
        <v>#VALUE!</v>
      </c>
      <c r="B84" s="8" t="e">
        <f>metaASSETS[[#This Row],[Type]]</f>
        <v>#VALUE!</v>
      </c>
      <c r="C84" s="193"/>
      <c r="D84" s="193"/>
      <c r="E84" s="193"/>
      <c r="F84" s="193"/>
      <c r="G84" s="193"/>
      <c r="H84" s="193"/>
      <c r="I84" s="193"/>
      <c r="J84" s="193"/>
      <c r="K84" s="193"/>
    </row>
    <row r="85" spans="1:11" ht="22.5" customHeight="1" x14ac:dyDescent="0.25">
      <c r="A85" s="8" t="e">
        <f>metaASSETS[[#This Row],[Asset Name]]</f>
        <v>#VALUE!</v>
      </c>
      <c r="B85" s="8" t="e">
        <f>metaASSETS[[#This Row],[Type]]</f>
        <v>#VALUE!</v>
      </c>
      <c r="C85" s="193"/>
      <c r="D85" s="193"/>
      <c r="E85" s="193"/>
      <c r="F85" s="193"/>
      <c r="G85" s="193"/>
      <c r="H85" s="193"/>
      <c r="I85" s="193"/>
      <c r="J85" s="193"/>
      <c r="K85" s="193"/>
    </row>
    <row r="86" spans="1:11" ht="22.5" customHeight="1" x14ac:dyDescent="0.25">
      <c r="A86" s="8" t="e">
        <f>metaASSETS[[#This Row],[Asset Name]]</f>
        <v>#VALUE!</v>
      </c>
      <c r="B86" s="8" t="e">
        <f>metaASSETS[[#This Row],[Type]]</f>
        <v>#VALUE!</v>
      </c>
      <c r="C86" s="193"/>
      <c r="D86" s="193"/>
      <c r="E86" s="193"/>
      <c r="F86" s="193"/>
      <c r="G86" s="193"/>
      <c r="H86" s="193"/>
      <c r="I86" s="193"/>
      <c r="J86" s="193"/>
      <c r="K86" s="193"/>
    </row>
    <row r="87" spans="1:11" ht="22.5" customHeight="1" x14ac:dyDescent="0.25">
      <c r="A87" s="8" t="e">
        <f>metaASSETS[[#This Row],[Asset Name]]</f>
        <v>#VALUE!</v>
      </c>
      <c r="B87" s="8" t="e">
        <f>metaASSETS[[#This Row],[Type]]</f>
        <v>#VALUE!</v>
      </c>
      <c r="C87" s="193"/>
      <c r="D87" s="193"/>
      <c r="E87" s="193"/>
      <c r="F87" s="193"/>
      <c r="G87" s="193"/>
      <c r="H87" s="193"/>
      <c r="I87" s="193"/>
      <c r="J87" s="193"/>
      <c r="K87" s="193"/>
    </row>
    <row r="88" spans="1:11" ht="22.5" customHeight="1" x14ac:dyDescent="0.25">
      <c r="A88" s="8" t="e">
        <f>metaASSETS[[#This Row],[Asset Name]]</f>
        <v>#VALUE!</v>
      </c>
      <c r="B88" s="8" t="e">
        <f>metaASSETS[[#This Row],[Type]]</f>
        <v>#VALUE!</v>
      </c>
      <c r="C88" s="193"/>
      <c r="D88" s="193"/>
      <c r="E88" s="193"/>
      <c r="F88" s="193"/>
      <c r="G88" s="193"/>
      <c r="H88" s="193"/>
      <c r="I88" s="193"/>
      <c r="J88" s="193"/>
      <c r="K88" s="193"/>
    </row>
    <row r="89" spans="1:11" ht="22.5" customHeight="1" x14ac:dyDescent="0.25">
      <c r="A89" s="8" t="e">
        <f>metaASSETS[[#This Row],[Asset Name]]</f>
        <v>#VALUE!</v>
      </c>
      <c r="B89" s="8" t="e">
        <f>metaASSETS[[#This Row],[Type]]</f>
        <v>#VALUE!</v>
      </c>
      <c r="C89" s="193"/>
      <c r="D89" s="193"/>
      <c r="E89" s="193"/>
      <c r="F89" s="193"/>
      <c r="G89" s="193"/>
      <c r="H89" s="193"/>
      <c r="I89" s="193"/>
      <c r="J89" s="193"/>
      <c r="K89" s="193"/>
    </row>
    <row r="90" spans="1:11" ht="22.5" customHeight="1" x14ac:dyDescent="0.25">
      <c r="A90" s="8" t="e">
        <f>metaASSETS[[#This Row],[Asset Name]]</f>
        <v>#VALUE!</v>
      </c>
      <c r="B90" s="8" t="e">
        <f>metaASSETS[[#This Row],[Type]]</f>
        <v>#VALUE!</v>
      </c>
      <c r="C90" s="193"/>
      <c r="D90" s="193"/>
      <c r="E90" s="193"/>
      <c r="F90" s="193"/>
      <c r="G90" s="193"/>
      <c r="H90" s="193"/>
      <c r="I90" s="193"/>
      <c r="J90" s="193"/>
      <c r="K90" s="193"/>
    </row>
    <row r="91" spans="1:11" ht="22.5" customHeight="1" x14ac:dyDescent="0.25">
      <c r="A91" s="8" t="e">
        <f>metaASSETS[[#This Row],[Asset Name]]</f>
        <v>#VALUE!</v>
      </c>
      <c r="B91" s="8" t="e">
        <f>metaASSETS[[#This Row],[Type]]</f>
        <v>#VALUE!</v>
      </c>
      <c r="C91" s="193"/>
      <c r="D91" s="193"/>
      <c r="E91" s="193"/>
      <c r="F91" s="193"/>
      <c r="G91" s="193"/>
      <c r="H91" s="193"/>
      <c r="I91" s="193"/>
      <c r="J91" s="193"/>
      <c r="K91" s="193"/>
    </row>
    <row r="92" spans="1:11" ht="22.5" customHeight="1" x14ac:dyDescent="0.25">
      <c r="A92" s="8" t="e">
        <f>metaASSETS[[#This Row],[Asset Name]]</f>
        <v>#VALUE!</v>
      </c>
      <c r="B92" s="8" t="e">
        <f>metaASSETS[[#This Row],[Type]]</f>
        <v>#VALUE!</v>
      </c>
      <c r="C92" s="193"/>
      <c r="D92" s="193"/>
      <c r="E92" s="193"/>
      <c r="F92" s="193"/>
      <c r="G92" s="193"/>
      <c r="H92" s="193"/>
      <c r="I92" s="193"/>
      <c r="J92" s="193"/>
      <c r="K92" s="193"/>
    </row>
    <row r="93" spans="1:11" ht="22.5" customHeight="1" x14ac:dyDescent="0.25">
      <c r="A93" s="8" t="e">
        <f>metaASSETS[[#This Row],[Asset Name]]</f>
        <v>#VALUE!</v>
      </c>
      <c r="B93" s="8" t="e">
        <f>metaASSETS[[#This Row],[Type]]</f>
        <v>#VALUE!</v>
      </c>
      <c r="C93" s="193"/>
      <c r="D93" s="193"/>
      <c r="E93" s="193"/>
      <c r="F93" s="193"/>
      <c r="G93" s="193"/>
      <c r="H93" s="193"/>
      <c r="I93" s="193"/>
      <c r="J93" s="193"/>
      <c r="K93" s="193"/>
    </row>
    <row r="94" spans="1:11" ht="22.5" customHeight="1" x14ac:dyDescent="0.25">
      <c r="A94" s="8" t="e">
        <f>metaASSETS[[#This Row],[Asset Name]]</f>
        <v>#VALUE!</v>
      </c>
      <c r="B94" s="8" t="e">
        <f>metaASSETS[[#This Row],[Type]]</f>
        <v>#VALUE!</v>
      </c>
      <c r="C94" s="193"/>
      <c r="D94" s="193"/>
      <c r="E94" s="193"/>
      <c r="F94" s="193"/>
      <c r="G94" s="193"/>
      <c r="H94" s="193"/>
      <c r="I94" s="193"/>
      <c r="J94" s="193"/>
      <c r="K94" s="193"/>
    </row>
    <row r="95" spans="1:11" ht="22.5" customHeight="1" x14ac:dyDescent="0.25">
      <c r="A95" s="8" t="e">
        <f>metaASSETS[[#This Row],[Asset Name]]</f>
        <v>#VALUE!</v>
      </c>
      <c r="B95" s="8" t="e">
        <f>metaASSETS[[#This Row],[Type]]</f>
        <v>#VALUE!</v>
      </c>
      <c r="C95" s="193"/>
      <c r="D95" s="193"/>
      <c r="E95" s="193"/>
      <c r="F95" s="193"/>
      <c r="G95" s="193"/>
      <c r="H95" s="193"/>
      <c r="I95" s="193"/>
      <c r="J95" s="193"/>
      <c r="K95" s="193"/>
    </row>
    <row r="96" spans="1:11" ht="22.5" customHeight="1" x14ac:dyDescent="0.25">
      <c r="A96" s="8" t="e">
        <f>metaASSETS[[#This Row],[Asset Name]]</f>
        <v>#VALUE!</v>
      </c>
      <c r="B96" s="8" t="e">
        <f>metaASSETS[[#This Row],[Type]]</f>
        <v>#VALUE!</v>
      </c>
      <c r="C96" s="193"/>
      <c r="D96" s="193"/>
      <c r="E96" s="193"/>
      <c r="F96" s="193"/>
      <c r="G96" s="193"/>
      <c r="H96" s="193"/>
      <c r="I96" s="193"/>
      <c r="J96" s="193"/>
      <c r="K96" s="193"/>
    </row>
    <row r="97" spans="1:11" ht="22.5" customHeight="1" x14ac:dyDescent="0.25">
      <c r="A97" s="8" t="e">
        <f>metaASSETS[[#This Row],[Asset Name]]</f>
        <v>#VALUE!</v>
      </c>
      <c r="B97" s="8" t="e">
        <f>metaASSETS[[#This Row],[Type]]</f>
        <v>#VALUE!</v>
      </c>
      <c r="C97" s="193"/>
      <c r="D97" s="193"/>
      <c r="E97" s="193"/>
      <c r="F97" s="193"/>
      <c r="G97" s="193" t="s">
        <v>341</v>
      </c>
      <c r="H97" s="193"/>
      <c r="I97" s="193"/>
      <c r="J97" s="193"/>
      <c r="K97" s="193"/>
    </row>
    <row r="98" spans="1:11" ht="22.5" customHeight="1" x14ac:dyDescent="0.25">
      <c r="A98" s="8" t="e">
        <f>metaASSETS[[#This Row],[Asset Name]]</f>
        <v>#VALUE!</v>
      </c>
      <c r="B98" s="8" t="e">
        <f>metaASSETS[[#This Row],[Type]]</f>
        <v>#VALUE!</v>
      </c>
      <c r="C98" s="193"/>
      <c r="D98" s="193"/>
      <c r="E98" s="193"/>
      <c r="F98" s="193"/>
      <c r="G98" s="193"/>
      <c r="H98" s="193"/>
      <c r="I98" s="193"/>
      <c r="J98" s="193"/>
      <c r="K98" s="193"/>
    </row>
    <row r="99" spans="1:11" ht="22.5" customHeight="1" x14ac:dyDescent="0.25">
      <c r="A99" s="8" t="e">
        <f>metaASSETS[[#This Row],[Asset Name]]</f>
        <v>#VALUE!</v>
      </c>
      <c r="B99" s="8" t="e">
        <f>metaASSETS[[#This Row],[Type]]</f>
        <v>#VALUE!</v>
      </c>
      <c r="C99" s="193"/>
      <c r="D99" s="193"/>
      <c r="E99" s="193"/>
      <c r="F99" s="193"/>
      <c r="G99" s="193"/>
      <c r="H99" s="193"/>
      <c r="I99" s="193"/>
      <c r="J99" s="193"/>
      <c r="K99" s="193"/>
    </row>
    <row r="100" spans="1:11" ht="22.5" customHeight="1" x14ac:dyDescent="0.25">
      <c r="A100" s="8" t="e">
        <f>metaASSETS[[#This Row],[Asset Name]]</f>
        <v>#VALUE!</v>
      </c>
      <c r="B100" s="8" t="e">
        <f>metaASSETS[[#This Row],[Type]]</f>
        <v>#VALUE!</v>
      </c>
      <c r="C100" s="193"/>
      <c r="D100" s="193"/>
      <c r="E100" s="193"/>
      <c r="F100" s="193"/>
      <c r="G100" s="193"/>
      <c r="H100" s="193"/>
      <c r="I100" s="193"/>
      <c r="J100" s="193"/>
      <c r="K100" s="193"/>
    </row>
    <row r="101" spans="1:11" ht="22.5" customHeight="1" x14ac:dyDescent="0.25">
      <c r="A101" s="8" t="e">
        <f>metaASSETS[[#This Row],[Asset Name]]</f>
        <v>#VALUE!</v>
      </c>
      <c r="B101" s="8" t="e">
        <f>metaASSETS[[#This Row],[Type]]</f>
        <v>#VALUE!</v>
      </c>
      <c r="C101" s="193"/>
      <c r="D101" s="193"/>
      <c r="E101" s="193"/>
      <c r="F101" s="193"/>
      <c r="G101" s="193"/>
      <c r="H101" s="193"/>
      <c r="I101" s="193"/>
      <c r="J101" s="193"/>
      <c r="K101" s="193"/>
    </row>
    <row r="102" spans="1:11" ht="22.5" customHeight="1" x14ac:dyDescent="0.25">
      <c r="A102" s="8" t="e">
        <f>metaASSETS[[#This Row],[Asset Name]]</f>
        <v>#VALUE!</v>
      </c>
      <c r="B102" s="8" t="e">
        <f>metaASSETS[[#This Row],[Type]]</f>
        <v>#VALUE!</v>
      </c>
      <c r="C102" s="193"/>
      <c r="D102" s="193"/>
      <c r="E102" s="193"/>
      <c r="F102" s="193"/>
      <c r="G102" s="193"/>
      <c r="H102" s="193"/>
      <c r="I102" s="193"/>
      <c r="J102" s="193"/>
      <c r="K102" s="193"/>
    </row>
    <row r="103" spans="1:11" ht="22.5" customHeight="1" x14ac:dyDescent="0.25">
      <c r="A103" s="8"/>
      <c r="B103" s="8"/>
      <c r="C103" s="2"/>
      <c r="D103" s="2"/>
      <c r="E103" s="2"/>
      <c r="F103" s="2"/>
      <c r="G103" s="2"/>
      <c r="H103" s="2"/>
      <c r="I103" s="2"/>
      <c r="J103" s="2"/>
    </row>
    <row r="104" spans="1:11" ht="22.5" customHeight="1" x14ac:dyDescent="0.25">
      <c r="A104" s="8"/>
      <c r="B104" s="8"/>
      <c r="C104" s="2"/>
      <c r="D104" s="2"/>
      <c r="E104" s="2"/>
      <c r="F104" s="2"/>
      <c r="G104" s="2"/>
      <c r="H104" s="2"/>
      <c r="I104" s="2"/>
      <c r="J104" s="2"/>
    </row>
  </sheetData>
  <sheetProtection algorithmName="SHA-512" hashValue="mLUWYNCheP0ryOv3GPNTYH2fC+PZAq9TZZ2fTUPubQopzIEqKpFdlrovB/1XTDlLDMrbiM0UXk6GRBKD5cuXkg==" saltValue="05plLhfpRopzSUxok4iP4g==" spinCount="100000" sheet="1" scenarios="1" selectLockedCells="1" autoFilter="0"/>
  <mergeCells count="1">
    <mergeCell ref="A1:D2"/>
  </mergeCells>
  <conditionalFormatting sqref="C4:J102">
    <cfRule type="cellIs" dxfId="66" priority="2" operator="equal">
      <formula>"ok"</formula>
    </cfRule>
  </conditionalFormatting>
  <conditionalFormatting sqref="K4:K102">
    <cfRule type="cellIs" dxfId="65" priority="1" operator="equal">
      <formula>"done"</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D5D4F-1315-4CF2-91AF-D80941AA5287}">
  <sheetPr codeName="Feuil9">
    <tabColor rgb="FFF45E52"/>
  </sheetPr>
  <dimension ref="A1:T52"/>
  <sheetViews>
    <sheetView showGridLines="0" showRowColHeaders="0" zoomScaleNormal="100" workbookViewId="0">
      <pane ySplit="3" topLeftCell="A34" activePane="bottomLeft" state="frozen"/>
      <selection activeCell="L41" sqref="L41"/>
      <selection pane="bottomLeft" activeCell="R48" sqref="R48"/>
    </sheetView>
  </sheetViews>
  <sheetFormatPr baseColWidth="10" defaultColWidth="16" defaultRowHeight="30" customHeight="1" x14ac:dyDescent="0.25"/>
  <cols>
    <col min="1" max="16" width="14.28515625" style="2" customWidth="1"/>
    <col min="17" max="17" width="51.28515625" style="2" customWidth="1"/>
    <col min="18" max="18" width="17.28515625" style="2" bestFit="1" customWidth="1"/>
    <col min="19" max="19" width="24.28515625" style="2" customWidth="1"/>
    <col min="20" max="16384" width="16" style="2"/>
  </cols>
  <sheetData>
    <row r="1" spans="1:20" s="107" customFormat="1" ht="41.25" customHeight="1" x14ac:dyDescent="0.25">
      <c r="A1" s="291" t="s">
        <v>342</v>
      </c>
      <c r="B1" s="291"/>
      <c r="C1" s="291"/>
      <c r="D1" s="291"/>
      <c r="E1" s="291"/>
      <c r="F1" s="291"/>
      <c r="G1" s="291"/>
      <c r="H1" s="291"/>
      <c r="I1" s="291"/>
      <c r="K1" s="108" t="s">
        <v>297</v>
      </c>
      <c r="L1" s="109">
        <v>0.3</v>
      </c>
      <c r="M1" s="109">
        <v>0.5</v>
      </c>
      <c r="N1" s="109">
        <v>0.2</v>
      </c>
      <c r="O1" s="110"/>
    </row>
    <row r="2" spans="1:20" s="107" customFormat="1" ht="41.25" customHeight="1" x14ac:dyDescent="0.25">
      <c r="A2" s="291"/>
      <c r="B2" s="291"/>
      <c r="C2" s="291"/>
      <c r="D2" s="291"/>
      <c r="E2" s="291"/>
      <c r="F2" s="291"/>
      <c r="G2" s="291"/>
      <c r="H2" s="291"/>
      <c r="I2" s="291"/>
      <c r="K2" s="111" t="s">
        <v>298</v>
      </c>
      <c r="L2" s="112" cm="1">
        <f t="array" ref="L2">IF(L52="Done", "Done",L1*SUM(layout[[Estimated]:[Estimated]]*(1-layout[previz])))</f>
        <v>0</v>
      </c>
      <c r="M2" s="112" cm="1">
        <f t="array" ref="M2">IF(M52="Done", "Done",M1*SUM(layout[[Estimated]:[Estimated]]*(1-layout[rough])))</f>
        <v>0</v>
      </c>
      <c r="N2" s="112" cm="1">
        <f t="array" ref="N2">IF(N52="Done", "Done",N1*SUM(layout[[Estimated]:[Estimated]]*(1-layout[final])))</f>
        <v>4.8500000000000005</v>
      </c>
    </row>
    <row r="3" spans="1:20" ht="23.25" customHeight="1" x14ac:dyDescent="0.25">
      <c r="A3" s="2" t="s">
        <v>343</v>
      </c>
      <c r="B3" s="2" t="s">
        <v>300</v>
      </c>
      <c r="C3" s="2" t="s">
        <v>301</v>
      </c>
      <c r="D3" s="2" t="s">
        <v>302</v>
      </c>
      <c r="E3" s="2" t="s">
        <v>344</v>
      </c>
      <c r="F3" s="2" t="s">
        <v>345</v>
      </c>
      <c r="G3" s="2" t="s">
        <v>346</v>
      </c>
      <c r="H3" s="2" t="s">
        <v>303</v>
      </c>
      <c r="I3" s="2" t="s">
        <v>6</v>
      </c>
      <c r="J3" s="2" t="s">
        <v>269</v>
      </c>
      <c r="K3" s="2" t="s">
        <v>304</v>
      </c>
      <c r="L3" s="171" t="s">
        <v>347</v>
      </c>
      <c r="M3" s="171" t="s">
        <v>306</v>
      </c>
      <c r="N3" s="171" t="s">
        <v>348</v>
      </c>
      <c r="O3" s="2" t="s">
        <v>295</v>
      </c>
      <c r="P3" s="2" t="s">
        <v>308</v>
      </c>
      <c r="Q3" s="2" t="s">
        <v>270</v>
      </c>
      <c r="R3" s="3" t="s">
        <v>349</v>
      </c>
      <c r="S3" s="3" t="s">
        <v>350</v>
      </c>
    </row>
    <row r="4" spans="1:20" ht="30" customHeight="1" x14ac:dyDescent="0.25">
      <c r="A4" s="217" t="str">
        <f>metaSHOTS[[#This Row],[Shot]]</f>
        <v>000_010</v>
      </c>
      <c r="B4" s="2" t="e" vm="1">
        <f>metaSHOTS[[#This Row],[Thumbnail]]</f>
        <v>#VALUE!</v>
      </c>
      <c r="C4" s="86" t="b">
        <v>1</v>
      </c>
      <c r="D4" s="186" t="s">
        <v>309</v>
      </c>
      <c r="E4" s="2">
        <f>metaSHOTS[[#This Row],[Start]]</f>
        <v>1</v>
      </c>
      <c r="F4" s="2">
        <f>metaSHOTS[[#This Row],[End]]</f>
        <v>339</v>
      </c>
      <c r="G4" s="2">
        <f>metaSHOTS[[#This Row],[Duration]]</f>
        <v>339</v>
      </c>
      <c r="H4" s="8" t="s">
        <v>312</v>
      </c>
      <c r="I4" s="180" t="s">
        <v>18</v>
      </c>
      <c r="J4" s="2" t="str" cm="1">
        <f t="array" aca="1" ref="J4"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4" s="2">
        <v>2</v>
      </c>
      <c r="L4" s="185">
        <v>1</v>
      </c>
      <c r="M4" s="185">
        <v>1</v>
      </c>
      <c r="N4" s="185">
        <v>1</v>
      </c>
      <c r="O4" s="91" cm="1">
        <f t="array" ref="O4">SUM(layout[[#This Row],[previz]:[final]]*layout_ponderation)</f>
        <v>1</v>
      </c>
      <c r="P4" s="84">
        <f>(1-layout[[#This Row],[Progress]])*layout[[#This Row],[Estimated]]</f>
        <v>0</v>
      </c>
      <c r="Q4" s="215"/>
      <c r="R4" s="225">
        <v>45351.713888888888</v>
      </c>
      <c r="S4" s="2">
        <f ca="1">IF(NOT(ISNUMBER(layout[[#This Row],[Cam Published]])), "", _xlfn.DAYS(TODAY(), layout[[#This Row],[Cam Published]]))</f>
        <v>19</v>
      </c>
    </row>
    <row r="5" spans="1:20" ht="30" customHeight="1" x14ac:dyDescent="0.25">
      <c r="A5" s="217" t="str">
        <f>metaSHOTS[[#This Row],[Shot]]</f>
        <v>010_010</v>
      </c>
      <c r="B5" s="2" t="e" vm="2">
        <f>metaSHOTS[[#This Row],[Thumbnail]]</f>
        <v>#VALUE!</v>
      </c>
      <c r="C5" s="86" t="b">
        <v>0</v>
      </c>
      <c r="D5" s="186" t="s">
        <v>309</v>
      </c>
      <c r="E5" s="2">
        <f>metaSHOTS[[#This Row],[Start]]</f>
        <v>1</v>
      </c>
      <c r="F5" s="2">
        <f>metaSHOTS[[#This Row],[End]]</f>
        <v>93</v>
      </c>
      <c r="G5" s="2">
        <f>metaSHOTS[[#This Row],[Duration]]</f>
        <v>93</v>
      </c>
      <c r="H5" s="8" t="s">
        <v>312</v>
      </c>
      <c r="I5" s="180" t="s">
        <v>18</v>
      </c>
      <c r="J5" s="2" t="str" cm="1">
        <f t="array" aca="1" ref="J5"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5" s="2">
        <v>2.5</v>
      </c>
      <c r="L5" s="185">
        <v>1</v>
      </c>
      <c r="M5" s="185">
        <v>1</v>
      </c>
      <c r="N5" s="185">
        <v>1</v>
      </c>
      <c r="O5" s="91" cm="1">
        <f t="array" ref="O5">SUM(layout[[#This Row],[previz]:[final]]*layout_ponderation)</f>
        <v>1</v>
      </c>
      <c r="P5" s="84">
        <f>(1-layout[[#This Row],[Progress]])*layout[[#This Row],[Estimated]]</f>
        <v>0</v>
      </c>
      <c r="Q5" s="215"/>
      <c r="R5" s="225">
        <v>45369.415277777778</v>
      </c>
      <c r="S5" s="2">
        <f ca="1">IF(NOT(ISNUMBER(layout[[#This Row],[Cam Published]])), "", _xlfn.DAYS(TODAY(), layout[[#This Row],[Cam Published]]))</f>
        <v>1</v>
      </c>
      <c r="T5" s="15"/>
    </row>
    <row r="6" spans="1:20" ht="30" customHeight="1" x14ac:dyDescent="0.25">
      <c r="A6" s="217" t="str">
        <f>metaSHOTS[[#This Row],[Shot]]</f>
        <v>010_040</v>
      </c>
      <c r="B6" s="2" t="e" vm="3">
        <f>metaSHOTS[[#This Row],[Thumbnail]]</f>
        <v>#VALUE!</v>
      </c>
      <c r="C6" s="86" t="b">
        <v>0</v>
      </c>
      <c r="D6" s="186" t="s">
        <v>309</v>
      </c>
      <c r="E6" s="2">
        <f>metaSHOTS[[#This Row],[Start]]</f>
        <v>1</v>
      </c>
      <c r="F6" s="2">
        <f>metaSHOTS[[#This Row],[End]]</f>
        <v>111</v>
      </c>
      <c r="G6" s="2">
        <f>metaSHOTS[[#This Row],[Duration]]</f>
        <v>111</v>
      </c>
      <c r="H6" s="8" t="s">
        <v>312</v>
      </c>
      <c r="I6" s="180" t="s">
        <v>16</v>
      </c>
      <c r="J6" s="2" t="str" cm="1">
        <f t="array" aca="1" ref="J6"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6" s="2">
        <v>2</v>
      </c>
      <c r="L6" s="185">
        <v>1</v>
      </c>
      <c r="M6" s="185">
        <v>1</v>
      </c>
      <c r="N6" s="185">
        <v>1</v>
      </c>
      <c r="O6" s="91" cm="1">
        <f t="array" ref="O6">SUM(layout[[#This Row],[previz]:[final]]*layout_ponderation)</f>
        <v>1</v>
      </c>
      <c r="P6" s="84">
        <f>(1-layout[[#This Row],[Progress]])*layout[[#This Row],[Estimated]]</f>
        <v>0</v>
      </c>
      <c r="Q6" s="215"/>
      <c r="R6" s="225">
        <v>45327.661111111112</v>
      </c>
      <c r="S6" s="2">
        <f ca="1">IF(NOT(ISNUMBER(layout[[#This Row],[Cam Published]])), "", _xlfn.DAYS(TODAY(), layout[[#This Row],[Cam Published]]))</f>
        <v>43</v>
      </c>
      <c r="T6" s="15"/>
    </row>
    <row r="7" spans="1:20" ht="30" customHeight="1" x14ac:dyDescent="0.25">
      <c r="A7" s="217" t="str">
        <f>metaSHOTS[[#This Row],[Shot]]</f>
        <v>010_050</v>
      </c>
      <c r="B7" s="2" t="e" vm="4">
        <f>metaSHOTS[[#This Row],[Thumbnail]]</f>
        <v>#VALUE!</v>
      </c>
      <c r="C7" s="86" t="b">
        <v>0</v>
      </c>
      <c r="D7" s="186" t="s">
        <v>309</v>
      </c>
      <c r="E7" s="2">
        <f>metaSHOTS[[#This Row],[Start]]</f>
        <v>1</v>
      </c>
      <c r="F7" s="2">
        <f>metaSHOTS[[#This Row],[End]]</f>
        <v>65</v>
      </c>
      <c r="G7" s="2">
        <f>metaSHOTS[[#This Row],[Duration]]</f>
        <v>65</v>
      </c>
      <c r="H7" s="8" t="s">
        <v>312</v>
      </c>
      <c r="I7" s="180" t="s">
        <v>18</v>
      </c>
      <c r="J7" s="2" t="str" cm="1">
        <f t="array" aca="1" ref="J7"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7" s="2">
        <v>2</v>
      </c>
      <c r="L7" s="185">
        <v>1</v>
      </c>
      <c r="M7" s="185">
        <v>1</v>
      </c>
      <c r="N7" s="185">
        <v>1</v>
      </c>
      <c r="O7" s="91" cm="1">
        <f t="array" ref="O7">SUM(layout[[#This Row],[previz]:[final]]*layout_ponderation)</f>
        <v>1</v>
      </c>
      <c r="P7" s="84">
        <f>(1-layout[[#This Row],[Progress]])*layout[[#This Row],[Estimated]]</f>
        <v>0</v>
      </c>
      <c r="Q7" s="215"/>
      <c r="R7" s="225">
        <v>45369.415277777778</v>
      </c>
      <c r="S7" s="2">
        <f ca="1">IF(NOT(ISNUMBER(layout[[#This Row],[Cam Published]])), "", _xlfn.DAYS(TODAY(), layout[[#This Row],[Cam Published]]))</f>
        <v>1</v>
      </c>
      <c r="T7" s="15"/>
    </row>
    <row r="8" spans="1:20" ht="30" customHeight="1" x14ac:dyDescent="0.25">
      <c r="A8" s="217" t="str">
        <f>metaSHOTS[[#This Row],[Shot]]</f>
        <v>010_060</v>
      </c>
      <c r="B8" s="2" t="e" vm="5">
        <f>metaSHOTS[[#This Row],[Thumbnail]]</f>
        <v>#VALUE!</v>
      </c>
      <c r="C8" s="86" t="b">
        <v>0</v>
      </c>
      <c r="D8" s="186" t="s">
        <v>309</v>
      </c>
      <c r="E8" s="2">
        <f>metaSHOTS[[#This Row],[Start]]</f>
        <v>1</v>
      </c>
      <c r="F8" s="2">
        <f>metaSHOTS[[#This Row],[End]]</f>
        <v>76</v>
      </c>
      <c r="G8" s="2">
        <f>metaSHOTS[[#This Row],[Duration]]</f>
        <v>76</v>
      </c>
      <c r="H8" s="8" t="s">
        <v>312</v>
      </c>
      <c r="I8" s="180" t="s">
        <v>18</v>
      </c>
      <c r="J8" s="2" t="str" cm="1">
        <f t="array" aca="1" ref="J8"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8" s="2">
        <v>3</v>
      </c>
      <c r="L8" s="185">
        <v>1</v>
      </c>
      <c r="M8" s="185">
        <v>1</v>
      </c>
      <c r="N8" s="185">
        <v>1</v>
      </c>
      <c r="O8" s="91" cm="1">
        <f t="array" ref="O8">SUM(layout[[#This Row],[previz]:[final]]*layout_ponderation)</f>
        <v>1</v>
      </c>
      <c r="P8" s="84">
        <f>(1-layout[[#This Row],[Progress]])*layout[[#This Row],[Estimated]]</f>
        <v>0</v>
      </c>
      <c r="Q8" s="215"/>
      <c r="R8" s="225">
        <v>45370.415277777778</v>
      </c>
      <c r="S8" s="2">
        <f ca="1">IF(NOT(ISNUMBER(layout[[#This Row],[Cam Published]])), "", _xlfn.DAYS(TODAY(), layout[[#This Row],[Cam Published]]))</f>
        <v>0</v>
      </c>
      <c r="T8" s="15"/>
    </row>
    <row r="9" spans="1:20" ht="30" customHeight="1" x14ac:dyDescent="0.25">
      <c r="A9" s="217" t="str">
        <f>metaSHOTS[[#This Row],[Shot]]</f>
        <v>010_070</v>
      </c>
      <c r="B9" s="2" t="e" vm="6">
        <f>metaSHOTS[[#This Row],[Thumbnail]]</f>
        <v>#VALUE!</v>
      </c>
      <c r="C9" s="86" t="b">
        <v>0</v>
      </c>
      <c r="D9" s="186" t="s">
        <v>309</v>
      </c>
      <c r="E9" s="2">
        <f>metaSHOTS[[#This Row],[Start]]</f>
        <v>1</v>
      </c>
      <c r="F9" s="2">
        <f>metaSHOTS[[#This Row],[End]]</f>
        <v>41</v>
      </c>
      <c r="G9" s="2">
        <f>metaSHOTS[[#This Row],[Duration]]</f>
        <v>41</v>
      </c>
      <c r="H9" s="8" t="s">
        <v>312</v>
      </c>
      <c r="I9" s="180" t="s">
        <v>18</v>
      </c>
      <c r="J9" s="2" t="str" cm="1">
        <f t="array" aca="1" ref="J9"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9" s="2">
        <v>2</v>
      </c>
      <c r="L9" s="185">
        <v>1</v>
      </c>
      <c r="M9" s="185">
        <v>1</v>
      </c>
      <c r="N9" s="185">
        <v>1</v>
      </c>
      <c r="O9" s="91" cm="1">
        <f t="array" ref="O9">SUM(layout[[#This Row],[previz]:[final]]*layout_ponderation)</f>
        <v>1</v>
      </c>
      <c r="P9" s="84">
        <f>(1-layout[[#This Row],[Progress]])*layout[[#This Row],[Estimated]]</f>
        <v>0</v>
      </c>
      <c r="Q9" s="215"/>
      <c r="R9" s="225">
        <v>45371.415277777778</v>
      </c>
      <c r="S9" s="2">
        <f ca="1">IF(NOT(ISNUMBER(layout[[#This Row],[Cam Published]])), "", _xlfn.DAYS(TODAY(), layout[[#This Row],[Cam Published]]))</f>
        <v>-1</v>
      </c>
      <c r="T9" s="15"/>
    </row>
    <row r="10" spans="1:20" ht="30" customHeight="1" x14ac:dyDescent="0.25">
      <c r="A10" s="217" t="str">
        <f>metaSHOTS[[#This Row],[Shot]]</f>
        <v>010_080</v>
      </c>
      <c r="B10" s="2" t="e" vm="7">
        <f>metaSHOTS[[#This Row],[Thumbnail]]</f>
        <v>#VALUE!</v>
      </c>
      <c r="C10" s="86" t="b">
        <v>0</v>
      </c>
      <c r="D10" s="186" t="s">
        <v>309</v>
      </c>
      <c r="E10" s="2">
        <f>metaSHOTS[[#This Row],[Start]]</f>
        <v>1</v>
      </c>
      <c r="F10" s="2">
        <f>metaSHOTS[[#This Row],[End]]</f>
        <v>18</v>
      </c>
      <c r="G10" s="2">
        <f>metaSHOTS[[#This Row],[Duration]]</f>
        <v>18</v>
      </c>
      <c r="H10" s="8" t="s">
        <v>312</v>
      </c>
      <c r="I10" s="180" t="s">
        <v>18</v>
      </c>
      <c r="J10" s="2" t="str" cm="1">
        <f t="array" aca="1" ref="J10"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0" s="2">
        <v>1.5</v>
      </c>
      <c r="L10" s="185">
        <v>1</v>
      </c>
      <c r="M10" s="185">
        <v>1</v>
      </c>
      <c r="N10" s="185">
        <v>1</v>
      </c>
      <c r="O10" s="91" cm="1">
        <f t="array" ref="O10">SUM(layout[[#This Row],[previz]:[final]]*layout_ponderation)</f>
        <v>1</v>
      </c>
      <c r="P10" s="84">
        <f>(1-layout[[#This Row],[Progress]])*layout[[#This Row],[Estimated]]</f>
        <v>0</v>
      </c>
      <c r="Q10" s="215"/>
      <c r="R10" s="225">
        <v>45372.415277777778</v>
      </c>
      <c r="S10" s="2">
        <f ca="1">IF(NOT(ISNUMBER(layout[[#This Row],[Cam Published]])), "", _xlfn.DAYS(TODAY(), layout[[#This Row],[Cam Published]]))</f>
        <v>-2</v>
      </c>
    </row>
    <row r="11" spans="1:20" ht="30" customHeight="1" x14ac:dyDescent="0.25">
      <c r="A11" s="217" t="str">
        <f>metaSHOTS[[#This Row],[Shot]]</f>
        <v>010_090</v>
      </c>
      <c r="B11" s="2" t="e" vm="8">
        <f>metaSHOTS[[#This Row],[Thumbnail]]</f>
        <v>#VALUE!</v>
      </c>
      <c r="C11" s="86" t="b">
        <v>0</v>
      </c>
      <c r="D11" s="186" t="s">
        <v>309</v>
      </c>
      <c r="E11" s="2">
        <f>metaSHOTS[[#This Row],[Start]]</f>
        <v>2</v>
      </c>
      <c r="F11" s="2">
        <f>metaSHOTS[[#This Row],[End]]</f>
        <v>9</v>
      </c>
      <c r="G11" s="2">
        <f>metaSHOTS[[#This Row],[Duration]]</f>
        <v>8</v>
      </c>
      <c r="H11" s="8" t="s">
        <v>312</v>
      </c>
      <c r="I11" s="180" t="s">
        <v>16</v>
      </c>
      <c r="J11" s="2" t="str" cm="1">
        <f t="array" aca="1" ref="J11"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1" s="2">
        <v>1.5</v>
      </c>
      <c r="L11" s="185">
        <v>1</v>
      </c>
      <c r="M11" s="185">
        <v>1</v>
      </c>
      <c r="N11" s="185">
        <v>1</v>
      </c>
      <c r="O11" s="91" cm="1">
        <f t="array" ref="O11">SUM(layout[[#This Row],[previz]:[final]]*layout_ponderation)</f>
        <v>1</v>
      </c>
      <c r="P11" s="84">
        <f>(1-layout[[#This Row],[Progress]])*layout[[#This Row],[Estimated]]</f>
        <v>0</v>
      </c>
      <c r="Q11" s="215"/>
      <c r="R11" s="225">
        <v>45373.415277777778</v>
      </c>
      <c r="S11" s="2">
        <f ca="1">IF(NOT(ISNUMBER(layout[[#This Row],[Cam Published]])), "", _xlfn.DAYS(TODAY(), layout[[#This Row],[Cam Published]]))</f>
        <v>-3</v>
      </c>
    </row>
    <row r="12" spans="1:20" ht="30" customHeight="1" x14ac:dyDescent="0.25">
      <c r="A12" s="217" t="str">
        <f>metaSHOTS[[#This Row],[Shot]]</f>
        <v>010_100</v>
      </c>
      <c r="B12" s="2" t="e" vm="9">
        <f>metaSHOTS[[#This Row],[Thumbnail]]</f>
        <v>#VALUE!</v>
      </c>
      <c r="C12" s="86" t="b">
        <v>0</v>
      </c>
      <c r="D12" s="186" t="s">
        <v>309</v>
      </c>
      <c r="E12" s="2">
        <f>metaSHOTS[[#This Row],[Start]]</f>
        <v>1</v>
      </c>
      <c r="F12" s="2">
        <f>metaSHOTS[[#This Row],[End]]</f>
        <v>75</v>
      </c>
      <c r="G12" s="2">
        <f>metaSHOTS[[#This Row],[Duration]]</f>
        <v>75</v>
      </c>
      <c r="H12" s="8" t="s">
        <v>312</v>
      </c>
      <c r="I12" s="180" t="s">
        <v>18</v>
      </c>
      <c r="J12" s="2" t="str" cm="1">
        <f t="array" aca="1" ref="J12"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2" s="2">
        <v>4</v>
      </c>
      <c r="L12" s="185">
        <v>1</v>
      </c>
      <c r="M12" s="185">
        <v>1</v>
      </c>
      <c r="N12" s="185">
        <v>1</v>
      </c>
      <c r="O12" s="91" cm="1">
        <f t="array" ref="O12">SUM(layout[[#This Row],[previz]:[final]]*layout_ponderation)</f>
        <v>1</v>
      </c>
      <c r="P12" s="84">
        <f>(1-layout[[#This Row],[Progress]])*layout[[#This Row],[Estimated]]</f>
        <v>0</v>
      </c>
      <c r="Q12" s="215"/>
      <c r="R12" s="225">
        <v>45342.414583333331</v>
      </c>
      <c r="S12" s="2">
        <f ca="1">IF(NOT(ISNUMBER(layout[[#This Row],[Cam Published]])), "", _xlfn.DAYS(TODAY(), layout[[#This Row],[Cam Published]]))</f>
        <v>28</v>
      </c>
    </row>
    <row r="13" spans="1:20" ht="30" customHeight="1" x14ac:dyDescent="0.25">
      <c r="A13" s="217" t="str">
        <f>metaSHOTS[[#This Row],[Shot]]</f>
        <v>010_110</v>
      </c>
      <c r="B13" s="2" t="e" vm="10">
        <f>metaSHOTS[[#This Row],[Thumbnail]]</f>
        <v>#VALUE!</v>
      </c>
      <c r="C13" s="86" t="b">
        <v>0</v>
      </c>
      <c r="D13" s="186" t="s">
        <v>309</v>
      </c>
      <c r="E13" s="2">
        <f>metaSHOTS[[#This Row],[Start]]</f>
        <v>1</v>
      </c>
      <c r="F13" s="2">
        <f>metaSHOTS[[#This Row],[End]]</f>
        <v>52</v>
      </c>
      <c r="G13" s="2">
        <f>metaSHOTS[[#This Row],[Duration]]</f>
        <v>52</v>
      </c>
      <c r="H13" s="8" t="s">
        <v>312</v>
      </c>
      <c r="I13" s="180" t="s">
        <v>18</v>
      </c>
      <c r="J13" s="2" t="str" cm="1">
        <f t="array" aca="1" ref="J13"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3" s="2">
        <v>4</v>
      </c>
      <c r="L13" s="185">
        <v>1</v>
      </c>
      <c r="M13" s="185">
        <v>1</v>
      </c>
      <c r="N13" s="185">
        <v>1</v>
      </c>
      <c r="O13" s="91" cm="1">
        <f t="array" ref="O13">SUM(layout[[#This Row],[previz]:[final]]*layout_ponderation)</f>
        <v>1</v>
      </c>
      <c r="P13" s="84">
        <f>(1-layout[[#This Row],[Progress]])*layout[[#This Row],[Estimated]]</f>
        <v>0</v>
      </c>
      <c r="Q13" s="215"/>
      <c r="R13" s="225">
        <v>45373.415277777778</v>
      </c>
      <c r="S13" s="2">
        <f ca="1">IF(NOT(ISNUMBER(layout[[#This Row],[Cam Published]])), "", _xlfn.DAYS(TODAY(), layout[[#This Row],[Cam Published]]))</f>
        <v>-3</v>
      </c>
    </row>
    <row r="14" spans="1:20" ht="30" customHeight="1" x14ac:dyDescent="0.25">
      <c r="A14" s="217" t="str">
        <f>metaSHOTS[[#This Row],[Shot]]</f>
        <v>010_160</v>
      </c>
      <c r="B14" s="2" t="e" vm="11">
        <f>metaSHOTS[[#This Row],[Thumbnail]]</f>
        <v>#VALUE!</v>
      </c>
      <c r="C14" s="86" t="b">
        <v>0</v>
      </c>
      <c r="D14" s="186" t="s">
        <v>309</v>
      </c>
      <c r="E14" s="2">
        <f>metaSHOTS[[#This Row],[Start]]</f>
        <v>1</v>
      </c>
      <c r="F14" s="2">
        <f>metaSHOTS[[#This Row],[End]]</f>
        <v>21</v>
      </c>
      <c r="G14" s="2">
        <f>metaSHOTS[[#This Row],[Duration]]</f>
        <v>21</v>
      </c>
      <c r="H14" s="8" t="s">
        <v>312</v>
      </c>
      <c r="I14" s="180" t="s">
        <v>18</v>
      </c>
      <c r="J14" s="2" t="str" cm="1">
        <f t="array" aca="1" ref="J14"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4" s="2">
        <v>2.5</v>
      </c>
      <c r="L14" s="185">
        <v>1</v>
      </c>
      <c r="M14" s="185">
        <v>1</v>
      </c>
      <c r="N14" s="185">
        <v>1</v>
      </c>
      <c r="O14" s="91" cm="1">
        <f t="array" ref="O14">SUM(layout[[#This Row],[previz]:[final]]*layout_ponderation)</f>
        <v>1</v>
      </c>
      <c r="P14" s="84">
        <f>(1-layout[[#This Row],[Progress]])*layout[[#This Row],[Estimated]]</f>
        <v>0</v>
      </c>
      <c r="Q14" s="215"/>
      <c r="R14" s="225">
        <v>45374.415277777778</v>
      </c>
      <c r="S14" s="2">
        <f ca="1">IF(NOT(ISNUMBER(layout[[#This Row],[Cam Published]])), "", _xlfn.DAYS(TODAY(), layout[[#This Row],[Cam Published]]))</f>
        <v>-4</v>
      </c>
    </row>
    <row r="15" spans="1:20" ht="30" customHeight="1" x14ac:dyDescent="0.25">
      <c r="A15" s="217" t="str">
        <f>metaSHOTS[[#This Row],[Shot]]</f>
        <v>010_170</v>
      </c>
      <c r="B15" s="2" t="e" vm="12">
        <f>metaSHOTS[[#This Row],[Thumbnail]]</f>
        <v>#VALUE!</v>
      </c>
      <c r="C15" s="86" t="b">
        <v>0</v>
      </c>
      <c r="D15" s="186" t="s">
        <v>309</v>
      </c>
      <c r="E15" s="2">
        <f>metaSHOTS[[#This Row],[Start]]</f>
        <v>1</v>
      </c>
      <c r="F15" s="2">
        <f>metaSHOTS[[#This Row],[End]]</f>
        <v>17</v>
      </c>
      <c r="G15" s="2">
        <f>metaSHOTS[[#This Row],[Duration]]</f>
        <v>17</v>
      </c>
      <c r="H15" s="8" t="s">
        <v>312</v>
      </c>
      <c r="I15" s="180" t="s">
        <v>18</v>
      </c>
      <c r="J15" s="2" t="str" cm="1">
        <f t="array" aca="1" ref="J15"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5" s="2">
        <v>2.5</v>
      </c>
      <c r="L15" s="185">
        <v>1</v>
      </c>
      <c r="M15" s="185">
        <v>1</v>
      </c>
      <c r="N15" s="185">
        <v>1</v>
      </c>
      <c r="O15" s="91" cm="1">
        <f t="array" ref="O15">SUM(layout[[#This Row],[previz]:[final]]*layout_ponderation)</f>
        <v>1</v>
      </c>
      <c r="P15" s="84">
        <f>(1-layout[[#This Row],[Progress]])*layout[[#This Row],[Estimated]]</f>
        <v>0</v>
      </c>
      <c r="Q15" s="215"/>
      <c r="R15" s="225">
        <v>45375.415277777778</v>
      </c>
      <c r="S15" s="2">
        <f ca="1">IF(NOT(ISNUMBER(layout[[#This Row],[Cam Published]])), "", _xlfn.DAYS(TODAY(), layout[[#This Row],[Cam Published]]))</f>
        <v>-5</v>
      </c>
    </row>
    <row r="16" spans="1:20" ht="30" customHeight="1" x14ac:dyDescent="0.25">
      <c r="A16" s="217" t="str">
        <f>metaSHOTS[[#This Row],[Shot]]</f>
        <v>010_180</v>
      </c>
      <c r="B16" s="2" t="e" vm="13">
        <f>metaSHOTS[[#This Row],[Thumbnail]]</f>
        <v>#VALUE!</v>
      </c>
      <c r="C16" s="86" t="b">
        <v>0</v>
      </c>
      <c r="D16" s="186" t="s">
        <v>309</v>
      </c>
      <c r="E16" s="2">
        <f>metaSHOTS[[#This Row],[Start]]</f>
        <v>1</v>
      </c>
      <c r="F16" s="2">
        <f>metaSHOTS[[#This Row],[End]]</f>
        <v>124</v>
      </c>
      <c r="G16" s="2">
        <f>metaSHOTS[[#This Row],[Duration]]</f>
        <v>124</v>
      </c>
      <c r="H16" s="8" t="s">
        <v>312</v>
      </c>
      <c r="I16" s="180" t="s">
        <v>18</v>
      </c>
      <c r="J16" s="2" t="str" cm="1">
        <f t="array" aca="1" ref="J16"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6" s="2">
        <v>2</v>
      </c>
      <c r="L16" s="185">
        <v>1</v>
      </c>
      <c r="M16" s="185">
        <v>1</v>
      </c>
      <c r="N16" s="185">
        <v>1</v>
      </c>
      <c r="O16" s="91" cm="1">
        <f t="array" ref="O16">SUM(layout[[#This Row],[previz]:[final]]*layout_ponderation)</f>
        <v>1</v>
      </c>
      <c r="P16" s="84">
        <f>(1-layout[[#This Row],[Progress]])*layout[[#This Row],[Estimated]]</f>
        <v>0</v>
      </c>
      <c r="Q16" s="215"/>
      <c r="R16" s="225">
        <v>45376.415277777778</v>
      </c>
      <c r="S16" s="2">
        <f ca="1">IF(NOT(ISNUMBER(layout[[#This Row],[Cam Published]])), "", _xlfn.DAYS(TODAY(), layout[[#This Row],[Cam Published]]))</f>
        <v>-6</v>
      </c>
    </row>
    <row r="17" spans="1:19" ht="30" customHeight="1" x14ac:dyDescent="0.25">
      <c r="A17" s="217" t="str">
        <f>metaSHOTS[[#This Row],[Shot]]</f>
        <v>010_190</v>
      </c>
      <c r="B17" s="2" t="e" vm="14">
        <f>metaSHOTS[[#This Row],[Thumbnail]]</f>
        <v>#VALUE!</v>
      </c>
      <c r="C17" s="86" t="b">
        <v>0</v>
      </c>
      <c r="D17" s="186" t="s">
        <v>324</v>
      </c>
      <c r="E17" s="2">
        <f>metaSHOTS[[#This Row],[Start]]</f>
        <v>1</v>
      </c>
      <c r="F17" s="2">
        <f>metaSHOTS[[#This Row],[End]]</f>
        <v>121</v>
      </c>
      <c r="G17" s="2">
        <f>metaSHOTS[[#This Row],[Duration]]</f>
        <v>121</v>
      </c>
      <c r="H17" s="8" t="s">
        <v>312</v>
      </c>
      <c r="I17" s="180" t="s">
        <v>16</v>
      </c>
      <c r="J17" s="2" t="str" cm="1">
        <f t="array" aca="1" ref="J17"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Needs Fix</v>
      </c>
      <c r="K17" s="2">
        <v>2</v>
      </c>
      <c r="L17" s="185">
        <v>1</v>
      </c>
      <c r="M17" s="185">
        <v>1</v>
      </c>
      <c r="N17" s="185">
        <v>0.35</v>
      </c>
      <c r="O17" s="91" cm="1">
        <f t="array" ref="O17">SUM(layout[[#This Row],[previz]:[final]]*layout_ponderation)</f>
        <v>0.87</v>
      </c>
      <c r="P17" s="84">
        <f>(1-layout[[#This Row],[Progress]])*layout[[#This Row],[Estimated]]</f>
        <v>0.26</v>
      </c>
      <c r="Q17" s="215" t="s">
        <v>673</v>
      </c>
      <c r="R17" s="225">
        <v>45377.415277777778</v>
      </c>
      <c r="S17" s="2">
        <f ca="1">IF(NOT(ISNUMBER(layout[[#This Row],[Cam Published]])), "", _xlfn.DAYS(TODAY(), layout[[#This Row],[Cam Published]]))</f>
        <v>-7</v>
      </c>
    </row>
    <row r="18" spans="1:19" ht="30" customHeight="1" x14ac:dyDescent="0.25">
      <c r="A18" s="217" t="str">
        <f>metaSHOTS[[#This Row],[Shot]]</f>
        <v>010_200</v>
      </c>
      <c r="B18" s="2" t="e" vm="15">
        <f>metaSHOTS[[#This Row],[Thumbnail]]</f>
        <v>#VALUE!</v>
      </c>
      <c r="C18" s="86" t="b">
        <v>0</v>
      </c>
      <c r="D18" s="186" t="s">
        <v>309</v>
      </c>
      <c r="E18" s="2">
        <f>metaSHOTS[[#This Row],[Start]]</f>
        <v>1</v>
      </c>
      <c r="F18" s="2">
        <f>metaSHOTS[[#This Row],[End]]</f>
        <v>121</v>
      </c>
      <c r="G18" s="2">
        <f>metaSHOTS[[#This Row],[Duration]]</f>
        <v>121</v>
      </c>
      <c r="H18" s="8" t="s">
        <v>312</v>
      </c>
      <c r="I18" s="180" t="s">
        <v>18</v>
      </c>
      <c r="J18" s="2" t="str" cm="1">
        <f t="array" aca="1" ref="J18"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8" s="2">
        <v>2.5</v>
      </c>
      <c r="L18" s="185">
        <v>1</v>
      </c>
      <c r="M18" s="185">
        <v>1</v>
      </c>
      <c r="N18" s="185">
        <v>1</v>
      </c>
      <c r="O18" s="91" cm="1">
        <f t="array" ref="O18">SUM(layout[[#This Row],[previz]:[final]]*layout_ponderation)</f>
        <v>1</v>
      </c>
      <c r="P18" s="84">
        <f>(1-layout[[#This Row],[Progress]])*layout[[#This Row],[Estimated]]</f>
        <v>0</v>
      </c>
      <c r="Q18" s="215"/>
      <c r="R18" s="225">
        <v>45378.415277777778</v>
      </c>
      <c r="S18" s="2">
        <f ca="1">IF(NOT(ISNUMBER(layout[[#This Row],[Cam Published]])), "", _xlfn.DAYS(TODAY(), layout[[#This Row],[Cam Published]]))</f>
        <v>-8</v>
      </c>
    </row>
    <row r="19" spans="1:19" ht="30" customHeight="1" x14ac:dyDescent="0.25">
      <c r="A19" s="217" t="str">
        <f>metaSHOTS[[#This Row],[Shot]]</f>
        <v>020_020</v>
      </c>
      <c r="B19" s="2" t="e" vm="16">
        <f>metaSHOTS[[#This Row],[Thumbnail]]</f>
        <v>#VALUE!</v>
      </c>
      <c r="C19" s="86" t="b">
        <v>0</v>
      </c>
      <c r="D19" s="186" t="s">
        <v>309</v>
      </c>
      <c r="E19" s="2">
        <f>metaSHOTS[[#This Row],[Start]]</f>
        <v>1</v>
      </c>
      <c r="F19" s="2">
        <f>metaSHOTS[[#This Row],[End]]</f>
        <v>102</v>
      </c>
      <c r="G19" s="2">
        <f>metaSHOTS[[#This Row],[Duration]]</f>
        <v>102</v>
      </c>
      <c r="H19" s="8" t="s">
        <v>312</v>
      </c>
      <c r="I19" s="180" t="s">
        <v>18</v>
      </c>
      <c r="J19" s="2" t="str" cm="1">
        <f t="array" aca="1" ref="J19"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19" s="2">
        <v>2.5</v>
      </c>
      <c r="L19" s="185">
        <v>1</v>
      </c>
      <c r="M19" s="185">
        <v>1</v>
      </c>
      <c r="N19" s="185">
        <v>1</v>
      </c>
      <c r="O19" s="91" cm="1">
        <f t="array" ref="O19">SUM(layout[[#This Row],[previz]:[final]]*layout_ponderation)</f>
        <v>1</v>
      </c>
      <c r="P19" s="84">
        <f>(1-layout[[#This Row],[Progress]])*layout[[#This Row],[Estimated]]</f>
        <v>0</v>
      </c>
      <c r="Q19" s="215"/>
      <c r="R19" s="225">
        <v>45379.415277777778</v>
      </c>
      <c r="S19" s="2">
        <f ca="1">IF(NOT(ISNUMBER(layout[[#This Row],[Cam Published]])), "", _xlfn.DAYS(TODAY(), layout[[#This Row],[Cam Published]]))</f>
        <v>-9</v>
      </c>
    </row>
    <row r="20" spans="1:19" ht="30" customHeight="1" x14ac:dyDescent="0.25">
      <c r="A20" s="217" t="str">
        <f>metaSHOTS[[#This Row],[Shot]]</f>
        <v>020_030</v>
      </c>
      <c r="B20" s="2" t="e" vm="17">
        <f>metaSHOTS[[#This Row],[Thumbnail]]</f>
        <v>#VALUE!</v>
      </c>
      <c r="C20" s="86" t="b">
        <v>0</v>
      </c>
      <c r="D20" s="186" t="s">
        <v>309</v>
      </c>
      <c r="E20" s="2">
        <f>metaSHOTS[[#This Row],[Start]]</f>
        <v>1</v>
      </c>
      <c r="F20" s="2">
        <f>metaSHOTS[[#This Row],[End]]</f>
        <v>107</v>
      </c>
      <c r="G20" s="2">
        <f>metaSHOTS[[#This Row],[Duration]]</f>
        <v>107</v>
      </c>
      <c r="H20" s="8" t="s">
        <v>312</v>
      </c>
      <c r="I20" s="180" t="s">
        <v>18</v>
      </c>
      <c r="J20" s="2" t="str" cm="1">
        <f t="array" aca="1" ref="J20"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0" s="2">
        <v>2.5</v>
      </c>
      <c r="L20" s="185">
        <v>1</v>
      </c>
      <c r="M20" s="185">
        <v>1</v>
      </c>
      <c r="N20" s="185">
        <v>1</v>
      </c>
      <c r="O20" s="91" cm="1">
        <f t="array" ref="O20">SUM(layout[[#This Row],[previz]:[final]]*layout_ponderation)</f>
        <v>1</v>
      </c>
      <c r="P20" s="84">
        <f>(1-layout[[#This Row],[Progress]])*layout[[#This Row],[Estimated]]</f>
        <v>0</v>
      </c>
      <c r="Q20" s="215"/>
      <c r="R20" s="225">
        <v>45380.415277777778</v>
      </c>
      <c r="S20" s="2">
        <f ca="1">IF(NOT(ISNUMBER(layout[[#This Row],[Cam Published]])), "", _xlfn.DAYS(TODAY(), layout[[#This Row],[Cam Published]]))</f>
        <v>-10</v>
      </c>
    </row>
    <row r="21" spans="1:19" ht="30" customHeight="1" x14ac:dyDescent="0.25">
      <c r="A21" s="217" t="str">
        <f>metaSHOTS[[#This Row],[Shot]]</f>
        <v>020_040</v>
      </c>
      <c r="B21" s="2" t="e" vm="18">
        <f>metaSHOTS[[#This Row],[Thumbnail]]</f>
        <v>#VALUE!</v>
      </c>
      <c r="C21" s="86" t="b">
        <v>0</v>
      </c>
      <c r="D21" s="186" t="s">
        <v>309</v>
      </c>
      <c r="E21" s="2">
        <f>metaSHOTS[[#This Row],[Start]]</f>
        <v>1</v>
      </c>
      <c r="F21" s="2">
        <f>metaSHOTS[[#This Row],[End]]</f>
        <v>43</v>
      </c>
      <c r="G21" s="2">
        <f>metaSHOTS[[#This Row],[Duration]]</f>
        <v>43</v>
      </c>
      <c r="H21" s="8" t="s">
        <v>312</v>
      </c>
      <c r="I21" s="180" t="s">
        <v>18</v>
      </c>
      <c r="J21" s="2" t="str" cm="1">
        <f t="array" aca="1" ref="J21"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1" s="2">
        <v>3</v>
      </c>
      <c r="L21" s="185">
        <v>1</v>
      </c>
      <c r="M21" s="185">
        <v>1</v>
      </c>
      <c r="N21" s="185">
        <v>1</v>
      </c>
      <c r="O21" s="91" cm="1">
        <f t="array" ref="O21">SUM(layout[[#This Row],[previz]:[final]]*layout_ponderation)</f>
        <v>1</v>
      </c>
      <c r="P21" s="84">
        <f>(1-layout[[#This Row],[Progress]])*layout[[#This Row],[Estimated]]</f>
        <v>0</v>
      </c>
      <c r="Q21" s="215"/>
      <c r="R21" s="225">
        <v>45381.415277777778</v>
      </c>
      <c r="S21" s="2">
        <f ca="1">IF(NOT(ISNUMBER(layout[[#This Row],[Cam Published]])), "", _xlfn.DAYS(TODAY(), layout[[#This Row],[Cam Published]]))</f>
        <v>-11</v>
      </c>
    </row>
    <row r="22" spans="1:19" ht="30" customHeight="1" x14ac:dyDescent="0.25">
      <c r="A22" s="217" t="str">
        <f>metaSHOTS[[#This Row],[Shot]]</f>
        <v>020_050</v>
      </c>
      <c r="B22" s="2" t="e" vm="19">
        <f>metaSHOTS[[#This Row],[Thumbnail]]</f>
        <v>#VALUE!</v>
      </c>
      <c r="C22" s="86" t="b">
        <v>0</v>
      </c>
      <c r="D22" s="186" t="s">
        <v>309</v>
      </c>
      <c r="E22" s="2">
        <f>metaSHOTS[[#This Row],[Start]]</f>
        <v>1</v>
      </c>
      <c r="F22" s="2">
        <f>metaSHOTS[[#This Row],[End]]</f>
        <v>227</v>
      </c>
      <c r="G22" s="2">
        <f>metaSHOTS[[#This Row],[Duration]]</f>
        <v>227</v>
      </c>
      <c r="H22" s="8" t="s">
        <v>312</v>
      </c>
      <c r="I22" s="180" t="s">
        <v>18</v>
      </c>
      <c r="J22" s="2" t="str" cm="1">
        <f t="array" aca="1" ref="J22"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2" s="2">
        <v>3.5</v>
      </c>
      <c r="L22" s="185">
        <v>1</v>
      </c>
      <c r="M22" s="185">
        <v>1</v>
      </c>
      <c r="N22" s="185">
        <v>1</v>
      </c>
      <c r="O22" s="91" cm="1">
        <f t="array" ref="O22">SUM(layout[[#This Row],[previz]:[final]]*layout_ponderation)</f>
        <v>1</v>
      </c>
      <c r="P22" s="84">
        <f>(1-layout[[#This Row],[Progress]])*layout[[#This Row],[Estimated]]</f>
        <v>0</v>
      </c>
      <c r="Q22" s="215"/>
      <c r="R22" s="225">
        <v>45343.702777777777</v>
      </c>
      <c r="S22" s="2">
        <f ca="1">IF(NOT(ISNUMBER(layout[[#This Row],[Cam Published]])), "", _xlfn.DAYS(TODAY(), layout[[#This Row],[Cam Published]]))</f>
        <v>27</v>
      </c>
    </row>
    <row r="23" spans="1:19" ht="30" customHeight="1" x14ac:dyDescent="0.25">
      <c r="A23" s="217" t="str">
        <f>metaSHOTS[[#This Row],[Shot]]</f>
        <v>030_020</v>
      </c>
      <c r="B23" s="2" t="e" vm="20">
        <f>metaSHOTS[[#This Row],[Thumbnail]]</f>
        <v>#VALUE!</v>
      </c>
      <c r="C23" s="86" t="b">
        <v>0</v>
      </c>
      <c r="D23" s="186" t="s">
        <v>309</v>
      </c>
      <c r="E23" s="2">
        <f>metaSHOTS[[#This Row],[Start]]</f>
        <v>1</v>
      </c>
      <c r="F23" s="2">
        <f>metaSHOTS[[#This Row],[End]]</f>
        <v>290</v>
      </c>
      <c r="G23" s="2">
        <f>metaSHOTS[[#This Row],[Duration]]</f>
        <v>290</v>
      </c>
      <c r="H23" s="8" t="s">
        <v>312</v>
      </c>
      <c r="I23" s="180" t="s">
        <v>18</v>
      </c>
      <c r="J23" s="2" t="str" cm="1">
        <f t="array" aca="1" ref="J23"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3" s="2">
        <v>5</v>
      </c>
      <c r="L23" s="185">
        <v>1</v>
      </c>
      <c r="M23" s="185">
        <v>1</v>
      </c>
      <c r="N23" s="185">
        <v>1</v>
      </c>
      <c r="O23" s="91" cm="1">
        <f t="array" ref="O23">SUM(layout[[#This Row],[previz]:[final]]*layout_ponderation)</f>
        <v>1</v>
      </c>
      <c r="P23" s="84">
        <f>(1-layout[[#This Row],[Progress]])*layout[[#This Row],[Estimated]]</f>
        <v>0</v>
      </c>
      <c r="Q23" s="215"/>
      <c r="R23" s="225">
        <v>45330.443055555559</v>
      </c>
      <c r="S23" s="2">
        <f ca="1">IF(NOT(ISNUMBER(layout[[#This Row],[Cam Published]])), "", _xlfn.DAYS(TODAY(), layout[[#This Row],[Cam Published]]))</f>
        <v>40</v>
      </c>
    </row>
    <row r="24" spans="1:19" ht="30" customHeight="1" x14ac:dyDescent="0.25">
      <c r="A24" s="217" t="str">
        <f>metaSHOTS[[#This Row],[Shot]]</f>
        <v>030_030</v>
      </c>
      <c r="B24" s="2" t="e" vm="21">
        <f>metaSHOTS[[#This Row],[Thumbnail]]</f>
        <v>#VALUE!</v>
      </c>
      <c r="C24" s="86" t="b">
        <v>0</v>
      </c>
      <c r="D24" s="186" t="s">
        <v>309</v>
      </c>
      <c r="E24" s="2">
        <f>metaSHOTS[[#This Row],[Start]]</f>
        <v>1</v>
      </c>
      <c r="F24" s="2">
        <f>metaSHOTS[[#This Row],[End]]</f>
        <v>141</v>
      </c>
      <c r="G24" s="2">
        <f>metaSHOTS[[#This Row],[Duration]]</f>
        <v>141</v>
      </c>
      <c r="H24" s="8" t="s">
        <v>312</v>
      </c>
      <c r="I24" s="180" t="s">
        <v>18</v>
      </c>
      <c r="J24" s="2" t="str" cm="1">
        <f t="array" aca="1" ref="J24"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4" s="2">
        <v>1.5</v>
      </c>
      <c r="L24" s="185">
        <v>1</v>
      </c>
      <c r="M24" s="185">
        <v>1</v>
      </c>
      <c r="N24" s="185">
        <v>1</v>
      </c>
      <c r="O24" s="91" cm="1">
        <f t="array" ref="O24">SUM(layout[[#This Row],[previz]:[final]]*layout_ponderation)</f>
        <v>1</v>
      </c>
      <c r="P24" s="84">
        <f>(1-layout[[#This Row],[Progress]])*layout[[#This Row],[Estimated]]</f>
        <v>0</v>
      </c>
      <c r="Q24" s="215"/>
      <c r="R24" s="225">
        <v>45335.686111111114</v>
      </c>
      <c r="S24" s="2">
        <f ca="1">IF(NOT(ISNUMBER(layout[[#This Row],[Cam Published]])), "", _xlfn.DAYS(TODAY(), layout[[#This Row],[Cam Published]]))</f>
        <v>35</v>
      </c>
    </row>
    <row r="25" spans="1:19" ht="30" customHeight="1" x14ac:dyDescent="0.25">
      <c r="A25" s="217" t="str">
        <f>metaSHOTS[[#This Row],[Shot]]</f>
        <v>030_040</v>
      </c>
      <c r="B25" s="2" t="e" vm="22">
        <f>metaSHOTS[[#This Row],[Thumbnail]]</f>
        <v>#VALUE!</v>
      </c>
      <c r="C25" s="86" t="b">
        <v>0</v>
      </c>
      <c r="D25" s="186" t="s">
        <v>309</v>
      </c>
      <c r="E25" s="2">
        <f>metaSHOTS[[#This Row],[Start]]</f>
        <v>1</v>
      </c>
      <c r="F25" s="2">
        <f>metaSHOTS[[#This Row],[End]]</f>
        <v>133</v>
      </c>
      <c r="G25" s="2">
        <f>metaSHOTS[[#This Row],[Duration]]</f>
        <v>133</v>
      </c>
      <c r="H25" s="8" t="s">
        <v>312</v>
      </c>
      <c r="I25" s="180" t="s">
        <v>18</v>
      </c>
      <c r="J25" s="2" t="str" cm="1">
        <f t="array" aca="1" ref="J25"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5" s="2">
        <v>1.5</v>
      </c>
      <c r="L25" s="185">
        <v>1</v>
      </c>
      <c r="M25" s="185">
        <v>1</v>
      </c>
      <c r="N25" s="185">
        <v>1</v>
      </c>
      <c r="O25" s="91" cm="1">
        <f t="array" ref="O25">SUM(layout[[#This Row],[previz]:[final]]*layout_ponderation)</f>
        <v>1</v>
      </c>
      <c r="P25" s="84">
        <f>(1-layout[[#This Row],[Progress]])*layout[[#This Row],[Estimated]]</f>
        <v>0</v>
      </c>
      <c r="Q25" s="215"/>
      <c r="R25" s="225">
        <v>45335.686805555553</v>
      </c>
      <c r="S25" s="2">
        <f ca="1">IF(NOT(ISNUMBER(layout[[#This Row],[Cam Published]])), "", _xlfn.DAYS(TODAY(), layout[[#This Row],[Cam Published]]))</f>
        <v>35</v>
      </c>
    </row>
    <row r="26" spans="1:19" ht="30" customHeight="1" x14ac:dyDescent="0.25">
      <c r="A26" s="217" t="str">
        <f>metaSHOTS[[#This Row],[Shot]]</f>
        <v>030_060</v>
      </c>
      <c r="B26" s="2" t="e" vm="23">
        <f>metaSHOTS[[#This Row],[Thumbnail]]</f>
        <v>#VALUE!</v>
      </c>
      <c r="C26" s="86" t="b">
        <v>0</v>
      </c>
      <c r="D26" s="186" t="s">
        <v>309</v>
      </c>
      <c r="E26" s="2">
        <f>metaSHOTS[[#This Row],[Start]]</f>
        <v>1</v>
      </c>
      <c r="F26" s="2">
        <f>metaSHOTS[[#This Row],[End]]</f>
        <v>93</v>
      </c>
      <c r="G26" s="2">
        <f>metaSHOTS[[#This Row],[Duration]]</f>
        <v>93</v>
      </c>
      <c r="H26" s="8" t="s">
        <v>312</v>
      </c>
      <c r="I26" s="180" t="s">
        <v>18</v>
      </c>
      <c r="J26" s="2" t="str" cm="1">
        <f t="array" aca="1" ref="J26"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6" s="2">
        <v>3</v>
      </c>
      <c r="L26" s="185">
        <v>1</v>
      </c>
      <c r="M26" s="185">
        <v>1</v>
      </c>
      <c r="N26" s="185">
        <v>1</v>
      </c>
      <c r="O26" s="91" cm="1">
        <f t="array" ref="O26">SUM(layout[[#This Row],[previz]:[final]]*layout_ponderation)</f>
        <v>1</v>
      </c>
      <c r="P26" s="84">
        <f>(1-layout[[#This Row],[Progress]])*layout[[#This Row],[Estimated]]</f>
        <v>0</v>
      </c>
      <c r="Q26" s="215"/>
      <c r="R26" s="225">
        <v>45355.46597222222</v>
      </c>
      <c r="S26" s="2">
        <f ca="1">IF(NOT(ISNUMBER(layout[[#This Row],[Cam Published]])), "", _xlfn.DAYS(TODAY(), layout[[#This Row],[Cam Published]]))</f>
        <v>15</v>
      </c>
    </row>
    <row r="27" spans="1:19" ht="30" customHeight="1" x14ac:dyDescent="0.25">
      <c r="A27" s="217" t="str">
        <f>metaSHOTS[[#This Row],[Shot]]</f>
        <v>030_070</v>
      </c>
      <c r="B27" s="2" t="e" vm="24">
        <f>metaSHOTS[[#This Row],[Thumbnail]]</f>
        <v>#VALUE!</v>
      </c>
      <c r="C27" s="86" t="b">
        <v>0</v>
      </c>
      <c r="D27" s="186" t="s">
        <v>309</v>
      </c>
      <c r="E27" s="2">
        <f>metaSHOTS[[#This Row],[Start]]</f>
        <v>1</v>
      </c>
      <c r="F27" s="2">
        <f>metaSHOTS[[#This Row],[End]]</f>
        <v>19</v>
      </c>
      <c r="G27" s="2">
        <f>metaSHOTS[[#This Row],[Duration]]</f>
        <v>19</v>
      </c>
      <c r="H27" s="8" t="s">
        <v>312</v>
      </c>
      <c r="I27" s="180" t="s">
        <v>16</v>
      </c>
      <c r="J27" s="2" t="str" cm="1">
        <f t="array" aca="1" ref="J27"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7" s="2">
        <v>2.5</v>
      </c>
      <c r="L27" s="185">
        <v>1</v>
      </c>
      <c r="M27" s="185">
        <v>1</v>
      </c>
      <c r="N27" s="185">
        <v>1</v>
      </c>
      <c r="O27" s="91" cm="1">
        <f t="array" ref="O27">SUM(layout[[#This Row],[previz]:[final]]*layout_ponderation)</f>
        <v>1</v>
      </c>
      <c r="P27" s="84">
        <f>(1-layout[[#This Row],[Progress]])*layout[[#This Row],[Estimated]]</f>
        <v>0</v>
      </c>
      <c r="Q27" s="215"/>
      <c r="R27" s="225">
        <v>45355.46597222222</v>
      </c>
      <c r="S27" s="2">
        <f ca="1">IF(NOT(ISNUMBER(layout[[#This Row],[Cam Published]])), "", _xlfn.DAYS(TODAY(), layout[[#This Row],[Cam Published]]))</f>
        <v>15</v>
      </c>
    </row>
    <row r="28" spans="1:19" ht="30" customHeight="1" x14ac:dyDescent="0.25">
      <c r="A28" s="217" t="str">
        <f>metaSHOTS[[#This Row],[Shot]]</f>
        <v>030_080</v>
      </c>
      <c r="B28" s="2" t="e" vm="25">
        <f>metaSHOTS[[#This Row],[Thumbnail]]</f>
        <v>#VALUE!</v>
      </c>
      <c r="C28" s="86" t="b">
        <v>0</v>
      </c>
      <c r="D28" s="186" t="s">
        <v>309</v>
      </c>
      <c r="E28" s="2">
        <f>metaSHOTS[[#This Row],[Start]]</f>
        <v>1</v>
      </c>
      <c r="F28" s="2">
        <f>metaSHOTS[[#This Row],[End]]</f>
        <v>51</v>
      </c>
      <c r="G28" s="2">
        <f>metaSHOTS[[#This Row],[Duration]]</f>
        <v>51</v>
      </c>
      <c r="H28" s="8" t="s">
        <v>312</v>
      </c>
      <c r="I28" s="180" t="s">
        <v>18</v>
      </c>
      <c r="J28" s="2" t="str" cm="1">
        <f t="array" aca="1" ref="J28"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8" s="2">
        <v>3.5</v>
      </c>
      <c r="L28" s="185">
        <v>1</v>
      </c>
      <c r="M28" s="185">
        <v>1</v>
      </c>
      <c r="N28" s="185">
        <v>1</v>
      </c>
      <c r="O28" s="91" cm="1">
        <f t="array" ref="O28">SUM(layout[[#This Row],[previz]:[final]]*layout_ponderation)</f>
        <v>1</v>
      </c>
      <c r="P28" s="84">
        <f>(1-layout[[#This Row],[Progress]])*layout[[#This Row],[Estimated]]</f>
        <v>0</v>
      </c>
      <c r="Q28" s="215"/>
      <c r="R28" s="225">
        <v>45309.427083333336</v>
      </c>
      <c r="S28" s="2">
        <f ca="1">IF(NOT(ISNUMBER(layout[[#This Row],[Cam Published]])), "", _xlfn.DAYS(TODAY(), layout[[#This Row],[Cam Published]]))</f>
        <v>61</v>
      </c>
    </row>
    <row r="29" spans="1:19" ht="30" customHeight="1" x14ac:dyDescent="0.25">
      <c r="A29" s="217" t="str">
        <f>metaSHOTS[[#This Row],[Shot]]</f>
        <v>030_100</v>
      </c>
      <c r="B29" s="2" t="e" vm="26">
        <f>metaSHOTS[[#This Row],[Thumbnail]]</f>
        <v>#VALUE!</v>
      </c>
      <c r="C29" s="86" t="b">
        <v>0</v>
      </c>
      <c r="D29" s="186" t="s">
        <v>309</v>
      </c>
      <c r="E29" s="2">
        <f>metaSHOTS[[#This Row],[Start]]</f>
        <v>1</v>
      </c>
      <c r="F29" s="2">
        <f>metaSHOTS[[#This Row],[End]]</f>
        <v>87</v>
      </c>
      <c r="G29" s="2">
        <f>metaSHOTS[[#This Row],[Duration]]</f>
        <v>87</v>
      </c>
      <c r="H29" s="8" t="s">
        <v>312</v>
      </c>
      <c r="I29" s="180" t="s">
        <v>18</v>
      </c>
      <c r="J29" s="2" t="str" cm="1">
        <f t="array" aca="1" ref="J29"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29" s="2">
        <v>4</v>
      </c>
      <c r="L29" s="185">
        <v>1</v>
      </c>
      <c r="M29" s="185">
        <v>1</v>
      </c>
      <c r="N29" s="185">
        <v>1</v>
      </c>
      <c r="O29" s="91" cm="1">
        <f t="array" ref="O29">SUM(layout[[#This Row],[previz]:[final]]*layout_ponderation)</f>
        <v>1</v>
      </c>
      <c r="P29" s="84">
        <f>(1-layout[[#This Row],[Progress]])*layout[[#This Row],[Estimated]]</f>
        <v>0</v>
      </c>
      <c r="Q29" s="215"/>
      <c r="R29" s="225">
        <v>45355.46597222222</v>
      </c>
      <c r="S29" s="2">
        <f ca="1">IF(NOT(ISNUMBER(layout[[#This Row],[Cam Published]])), "", _xlfn.DAYS(TODAY(), layout[[#This Row],[Cam Published]]))</f>
        <v>15</v>
      </c>
    </row>
    <row r="30" spans="1:19" ht="30" customHeight="1" x14ac:dyDescent="0.25">
      <c r="A30" s="217" t="str">
        <f>metaSHOTS[[#This Row],[Shot]]</f>
        <v>030_110</v>
      </c>
      <c r="B30" s="2" t="e" vm="27">
        <f>metaSHOTS[[#This Row],[Thumbnail]]</f>
        <v>#VALUE!</v>
      </c>
      <c r="C30" s="86" t="b">
        <v>0</v>
      </c>
      <c r="D30" s="186" t="s">
        <v>309</v>
      </c>
      <c r="E30" s="2">
        <f>metaSHOTS[[#This Row],[Start]]</f>
        <v>1</v>
      </c>
      <c r="F30" s="2">
        <f>metaSHOTS[[#This Row],[End]]</f>
        <v>64</v>
      </c>
      <c r="G30" s="2">
        <f>metaSHOTS[[#This Row],[Duration]]</f>
        <v>64</v>
      </c>
      <c r="H30" s="8" t="s">
        <v>312</v>
      </c>
      <c r="I30" s="180" t="s">
        <v>16</v>
      </c>
      <c r="J30" s="2" t="str" cm="1">
        <f t="array" aca="1" ref="J30"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30" s="2">
        <v>5</v>
      </c>
      <c r="L30" s="185">
        <v>1</v>
      </c>
      <c r="M30" s="185">
        <v>1</v>
      </c>
      <c r="N30" s="185">
        <v>1</v>
      </c>
      <c r="O30" s="91" cm="1">
        <f t="array" ref="O30">SUM(layout[[#This Row],[previz]:[final]]*layout_ponderation)</f>
        <v>1</v>
      </c>
      <c r="P30" s="84">
        <f>(1-layout[[#This Row],[Progress]])*layout[[#This Row],[Estimated]]</f>
        <v>0</v>
      </c>
      <c r="Q30" s="215"/>
      <c r="R30" s="225">
        <v>45328.552083333336</v>
      </c>
      <c r="S30" s="2">
        <f ca="1">IF(NOT(ISNUMBER(layout[[#This Row],[Cam Published]])), "", _xlfn.DAYS(TODAY(), layout[[#This Row],[Cam Published]]))</f>
        <v>42</v>
      </c>
    </row>
    <row r="31" spans="1:19" ht="30" customHeight="1" x14ac:dyDescent="0.25">
      <c r="A31" s="217" t="str">
        <f>metaSHOTS[[#This Row],[Shot]]</f>
        <v>030_120</v>
      </c>
      <c r="B31" s="2" t="e" vm="28">
        <f>metaSHOTS[[#This Row],[Thumbnail]]</f>
        <v>#VALUE!</v>
      </c>
      <c r="C31" s="86" t="b">
        <v>0</v>
      </c>
      <c r="D31" s="186" t="s">
        <v>324</v>
      </c>
      <c r="E31" s="2">
        <f>metaSHOTS[[#This Row],[Start]]</f>
        <v>1</v>
      </c>
      <c r="F31" s="2">
        <f>metaSHOTS[[#This Row],[End]]</f>
        <v>71</v>
      </c>
      <c r="G31" s="2">
        <f>metaSHOTS[[#This Row],[Duration]]</f>
        <v>71</v>
      </c>
      <c r="H31" s="8" t="s">
        <v>312</v>
      </c>
      <c r="I31" s="180" t="s">
        <v>18</v>
      </c>
      <c r="J31" s="2" t="str" cm="1">
        <f t="array" aca="1" ref="J31"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31" s="2">
        <v>4</v>
      </c>
      <c r="L31" s="185">
        <v>1</v>
      </c>
      <c r="M31" s="185">
        <v>1</v>
      </c>
      <c r="N31" s="185">
        <v>0</v>
      </c>
      <c r="O31" s="91" cm="1">
        <f t="array" ref="O31">SUM(layout[[#This Row],[previz]:[final]]*layout_ponderation)</f>
        <v>0.8</v>
      </c>
      <c r="P31" s="84">
        <f>(1-layout[[#This Row],[Progress]])*layout[[#This Row],[Estimated]]</f>
        <v>0.79999999999999982</v>
      </c>
      <c r="Q31" s="215"/>
      <c r="R31" s="225">
        <v>45328.633333333331</v>
      </c>
      <c r="S31" s="2">
        <f ca="1">IF(NOT(ISNUMBER(layout[[#This Row],[Cam Published]])), "", _xlfn.DAYS(TODAY(), layout[[#This Row],[Cam Published]]))</f>
        <v>42</v>
      </c>
    </row>
    <row r="32" spans="1:19" ht="30" customHeight="1" x14ac:dyDescent="0.25">
      <c r="A32" s="217" t="str">
        <f>metaSHOTS[[#This Row],[Shot]]</f>
        <v>030_130</v>
      </c>
      <c r="B32" s="2" t="e" vm="29">
        <f>metaSHOTS[[#This Row],[Thumbnail]]</f>
        <v>#VALUE!</v>
      </c>
      <c r="C32" s="86" t="b">
        <v>0</v>
      </c>
      <c r="D32" s="186" t="s">
        <v>324</v>
      </c>
      <c r="E32" s="2">
        <f>metaSHOTS[[#This Row],[Start]]</f>
        <v>1</v>
      </c>
      <c r="F32" s="2">
        <f>metaSHOTS[[#This Row],[End]]</f>
        <v>46</v>
      </c>
      <c r="G32" s="2">
        <f>metaSHOTS[[#This Row],[Duration]]</f>
        <v>46</v>
      </c>
      <c r="H32" s="8" t="s">
        <v>312</v>
      </c>
      <c r="I32" s="180" t="s">
        <v>18</v>
      </c>
      <c r="J32" s="2" t="str" cm="1">
        <f t="array" aca="1" ref="J32"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32" s="2">
        <v>3</v>
      </c>
      <c r="L32" s="185">
        <v>1</v>
      </c>
      <c r="M32" s="185">
        <v>1</v>
      </c>
      <c r="N32" s="185">
        <v>0</v>
      </c>
      <c r="O32" s="91" cm="1">
        <f t="array" ref="O32">SUM(layout[[#This Row],[previz]:[final]]*layout_ponderation)</f>
        <v>0.8</v>
      </c>
      <c r="P32" s="84">
        <f>(1-layout[[#This Row],[Progress]])*layout[[#This Row],[Estimated]]</f>
        <v>0.59999999999999987</v>
      </c>
      <c r="Q32" s="215"/>
      <c r="R32" s="225">
        <v>45328.634722222225</v>
      </c>
      <c r="S32" s="2">
        <f ca="1">IF(NOT(ISNUMBER(layout[[#This Row],[Cam Published]])), "", _xlfn.DAYS(TODAY(), layout[[#This Row],[Cam Published]]))</f>
        <v>42</v>
      </c>
    </row>
    <row r="33" spans="1:19" ht="30" customHeight="1" x14ac:dyDescent="0.25">
      <c r="A33" s="217" t="str">
        <f>metaSHOTS[[#This Row],[Shot]]</f>
        <v>030_140</v>
      </c>
      <c r="B33" s="2" t="e" vm="30">
        <f>metaSHOTS[[#This Row],[Thumbnail]]</f>
        <v>#VALUE!</v>
      </c>
      <c r="C33" s="86" t="b">
        <v>0</v>
      </c>
      <c r="D33" s="186" t="s">
        <v>324</v>
      </c>
      <c r="E33" s="2">
        <f>metaSHOTS[[#This Row],[Start]]</f>
        <v>1</v>
      </c>
      <c r="F33" s="2">
        <f>metaSHOTS[[#This Row],[End]]</f>
        <v>29</v>
      </c>
      <c r="G33" s="2">
        <f>metaSHOTS[[#This Row],[Duration]]</f>
        <v>29</v>
      </c>
      <c r="H33" s="8" t="s">
        <v>312</v>
      </c>
      <c r="I33" s="180" t="s">
        <v>18</v>
      </c>
      <c r="J33" s="2" t="str" cm="1">
        <f t="array" aca="1" ref="J33"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33" s="2">
        <v>4</v>
      </c>
      <c r="L33" s="185">
        <v>1</v>
      </c>
      <c r="M33" s="185">
        <v>1</v>
      </c>
      <c r="N33" s="185">
        <v>0</v>
      </c>
      <c r="O33" s="91" cm="1">
        <f t="array" ref="O33">SUM(layout[[#This Row],[previz]:[final]]*layout_ponderation)</f>
        <v>0.8</v>
      </c>
      <c r="P33" s="84">
        <f>(1-layout[[#This Row],[Progress]])*layout[[#This Row],[Estimated]]</f>
        <v>0.79999999999999982</v>
      </c>
      <c r="Q33" s="215"/>
      <c r="R33" s="225">
        <v>45355.46597222222</v>
      </c>
      <c r="S33" s="2">
        <f ca="1">IF(NOT(ISNUMBER(layout[[#This Row],[Cam Published]])), "", _xlfn.DAYS(TODAY(), layout[[#This Row],[Cam Published]]))</f>
        <v>15</v>
      </c>
    </row>
    <row r="34" spans="1:19" ht="30" customHeight="1" x14ac:dyDescent="0.25">
      <c r="A34" s="217" t="str">
        <f>metaSHOTS[[#This Row],[Shot]]</f>
        <v>030_150</v>
      </c>
      <c r="B34" s="2" t="e" vm="31">
        <f>metaSHOTS[[#This Row],[Thumbnail]]</f>
        <v>#VALUE!</v>
      </c>
      <c r="C34" s="86" t="b">
        <v>0</v>
      </c>
      <c r="D34" s="186" t="s">
        <v>324</v>
      </c>
      <c r="E34" s="2">
        <f>metaSHOTS[[#This Row],[Start]]</f>
        <v>1</v>
      </c>
      <c r="F34" s="2">
        <f>metaSHOTS[[#This Row],[End]]</f>
        <v>19</v>
      </c>
      <c r="G34" s="2">
        <f>metaSHOTS[[#This Row],[Duration]]</f>
        <v>19</v>
      </c>
      <c r="H34" s="8" t="s">
        <v>312</v>
      </c>
      <c r="I34" s="180" t="s">
        <v>18</v>
      </c>
      <c r="J34" s="2" t="str" cm="1">
        <f t="array" aca="1" ref="J34"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34" s="2">
        <v>4</v>
      </c>
      <c r="L34" s="185">
        <v>1</v>
      </c>
      <c r="M34" s="185">
        <v>1</v>
      </c>
      <c r="N34" s="185">
        <v>0</v>
      </c>
      <c r="O34" s="91" cm="1">
        <f t="array" ref="O34">SUM(layout[[#This Row],[previz]:[final]]*layout_ponderation)</f>
        <v>0.8</v>
      </c>
      <c r="P34" s="84">
        <f>(1-layout[[#This Row],[Progress]])*layout[[#This Row],[Estimated]]</f>
        <v>0.79999999999999982</v>
      </c>
      <c r="Q34" s="215"/>
      <c r="R34" s="225">
        <v>45333.419444444444</v>
      </c>
      <c r="S34" s="2">
        <f ca="1">IF(NOT(ISNUMBER(layout[[#This Row],[Cam Published]])), "", _xlfn.DAYS(TODAY(), layout[[#This Row],[Cam Published]]))</f>
        <v>37</v>
      </c>
    </row>
    <row r="35" spans="1:19" ht="30" customHeight="1" x14ac:dyDescent="0.25">
      <c r="A35" s="217" t="str">
        <f>metaSHOTS[[#This Row],[Shot]]</f>
        <v>040_010</v>
      </c>
      <c r="B35" s="2" t="e" vm="32">
        <f>metaSHOTS[[#This Row],[Thumbnail]]</f>
        <v>#VALUE!</v>
      </c>
      <c r="C35" s="86" t="b">
        <v>0</v>
      </c>
      <c r="D35" s="186" t="s">
        <v>309</v>
      </c>
      <c r="E35" s="2">
        <f>metaSHOTS[[#This Row],[Start]]</f>
        <v>20</v>
      </c>
      <c r="F35" s="2">
        <f>metaSHOTS[[#This Row],[End]]</f>
        <v>108</v>
      </c>
      <c r="G35" s="2">
        <f>metaSHOTS[[#This Row],[Duration]]</f>
        <v>89</v>
      </c>
      <c r="H35" s="8" t="s">
        <v>312</v>
      </c>
      <c r="I35" s="180" t="s">
        <v>18</v>
      </c>
      <c r="J35" s="2" t="str" cm="1">
        <f t="array" aca="1" ref="J35"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35" s="2">
        <v>4</v>
      </c>
      <c r="L35" s="185">
        <v>1</v>
      </c>
      <c r="M35" s="185">
        <v>1</v>
      </c>
      <c r="N35" s="185">
        <v>1</v>
      </c>
      <c r="O35" s="91" cm="1">
        <f t="array" ref="O35">SUM(layout[[#This Row],[previz]:[final]]*layout_ponderation)</f>
        <v>1</v>
      </c>
      <c r="P35" s="84">
        <f>(1-layout[[#This Row],[Progress]])*layout[[#This Row],[Estimated]]</f>
        <v>0</v>
      </c>
      <c r="Q35" s="215"/>
      <c r="R35" s="225">
        <v>45367.388194444444</v>
      </c>
      <c r="S35" s="2">
        <f ca="1">IF(NOT(ISNUMBER(layout[[#This Row],[Cam Published]])), "", _xlfn.DAYS(TODAY(), layout[[#This Row],[Cam Published]]))</f>
        <v>3</v>
      </c>
    </row>
    <row r="36" spans="1:19" ht="30" customHeight="1" x14ac:dyDescent="0.25">
      <c r="A36" s="217" t="str">
        <f>metaSHOTS[[#This Row],[Shot]]</f>
        <v>040_020</v>
      </c>
      <c r="B36" s="2" t="e" vm="33">
        <f>metaSHOTS[[#This Row],[Thumbnail]]</f>
        <v>#VALUE!</v>
      </c>
      <c r="C36" s="86" t="b">
        <v>0</v>
      </c>
      <c r="D36" s="186" t="s">
        <v>309</v>
      </c>
      <c r="E36" s="2">
        <f>metaSHOTS[[#This Row],[Start]]</f>
        <v>1</v>
      </c>
      <c r="F36" s="2">
        <f>metaSHOTS[[#This Row],[End]]</f>
        <v>150</v>
      </c>
      <c r="G36" s="2">
        <f>metaSHOTS[[#This Row],[Duration]]</f>
        <v>150</v>
      </c>
      <c r="H36" s="8" t="s">
        <v>312</v>
      </c>
      <c r="I36" s="180" t="s">
        <v>18</v>
      </c>
      <c r="J36" s="2" t="str" cm="1">
        <f t="array" aca="1" ref="J36"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36" s="2">
        <v>3</v>
      </c>
      <c r="L36" s="185">
        <v>1</v>
      </c>
      <c r="M36" s="185">
        <v>1</v>
      </c>
      <c r="N36" s="185">
        <v>1</v>
      </c>
      <c r="O36" s="91" cm="1">
        <f t="array" ref="O36">SUM(layout[[#This Row],[previz]:[final]]*layout_ponderation)</f>
        <v>1</v>
      </c>
      <c r="P36" s="84">
        <f>(1-layout[[#This Row],[Progress]])*layout[[#This Row],[Estimated]]</f>
        <v>0</v>
      </c>
      <c r="Q36" s="215"/>
      <c r="R36" s="225">
        <v>45367.618055555555</v>
      </c>
      <c r="S36" s="2">
        <f ca="1">IF(NOT(ISNUMBER(layout[[#This Row],[Cam Published]])), "", _xlfn.DAYS(TODAY(), layout[[#This Row],[Cam Published]]))</f>
        <v>3</v>
      </c>
    </row>
    <row r="37" spans="1:19" ht="30" customHeight="1" x14ac:dyDescent="0.25">
      <c r="A37" s="217" t="str">
        <f>metaSHOTS[[#This Row],[Shot]]</f>
        <v>040_030</v>
      </c>
      <c r="B37" s="2" t="e" vm="34">
        <f>metaSHOTS[[#This Row],[Thumbnail]]</f>
        <v>#VALUE!</v>
      </c>
      <c r="C37" s="86" t="b">
        <v>0</v>
      </c>
      <c r="D37" s="186" t="s">
        <v>309</v>
      </c>
      <c r="E37" s="2">
        <f>metaSHOTS[[#This Row],[Start]]</f>
        <v>1</v>
      </c>
      <c r="F37" s="2">
        <f>metaSHOTS[[#This Row],[End]]</f>
        <v>115</v>
      </c>
      <c r="G37" s="2">
        <f>metaSHOTS[[#This Row],[Duration]]</f>
        <v>115</v>
      </c>
      <c r="H37" s="8" t="s">
        <v>312</v>
      </c>
      <c r="I37" s="180" t="s">
        <v>18</v>
      </c>
      <c r="J37" s="2" t="str" cm="1">
        <f t="array" aca="1" ref="J37"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37" s="2">
        <v>4</v>
      </c>
      <c r="L37" s="185">
        <v>1</v>
      </c>
      <c r="M37" s="185">
        <v>1</v>
      </c>
      <c r="N37" s="185">
        <v>1</v>
      </c>
      <c r="O37" s="91" cm="1">
        <f t="array" ref="O37">SUM(layout[[#This Row],[previz]:[final]]*layout_ponderation)</f>
        <v>1</v>
      </c>
      <c r="P37" s="84">
        <f>(1-layout[[#This Row],[Progress]])*layout[[#This Row],[Estimated]]</f>
        <v>0</v>
      </c>
      <c r="Q37" s="215"/>
      <c r="R37" s="225">
        <v>45367.513888888891</v>
      </c>
      <c r="S37" s="2">
        <f ca="1">IF(NOT(ISNUMBER(layout[[#This Row],[Cam Published]])), "", _xlfn.DAYS(TODAY(), layout[[#This Row],[Cam Published]]))</f>
        <v>3</v>
      </c>
    </row>
    <row r="38" spans="1:19" ht="30" customHeight="1" x14ac:dyDescent="0.25">
      <c r="A38" s="217" t="str">
        <f>metaSHOTS[[#This Row],[Shot]]</f>
        <v>040_040</v>
      </c>
      <c r="B38" s="2" t="e" vm="35">
        <f>metaSHOTS[[#This Row],[Thumbnail]]</f>
        <v>#VALUE!</v>
      </c>
      <c r="C38" s="86" t="b">
        <v>0</v>
      </c>
      <c r="D38" s="186" t="s">
        <v>324</v>
      </c>
      <c r="E38" s="2">
        <f>metaSHOTS[[#This Row],[Start]]</f>
        <v>1</v>
      </c>
      <c r="F38" s="2">
        <f>metaSHOTS[[#This Row],[End]]</f>
        <v>81</v>
      </c>
      <c r="G38" s="2">
        <f>metaSHOTS[[#This Row],[Duration]]</f>
        <v>81</v>
      </c>
      <c r="H38" s="8" t="s">
        <v>312</v>
      </c>
      <c r="I38" s="180" t="s">
        <v>18</v>
      </c>
      <c r="J38" s="2" t="str" cm="1">
        <f t="array" aca="1" ref="J38"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38" s="2">
        <v>2.5</v>
      </c>
      <c r="L38" s="185">
        <v>1</v>
      </c>
      <c r="M38" s="185">
        <v>1</v>
      </c>
      <c r="N38" s="185">
        <v>1</v>
      </c>
      <c r="O38" s="91" cm="1">
        <f t="array" ref="O38">SUM(layout[[#This Row],[previz]:[final]]*layout_ponderation)</f>
        <v>1</v>
      </c>
      <c r="P38" s="84">
        <f>(1-layout[[#This Row],[Progress]])*layout[[#This Row],[Estimated]]</f>
        <v>0</v>
      </c>
      <c r="Q38" s="215"/>
      <c r="R38" s="225"/>
      <c r="S38" s="2" t="str">
        <f ca="1">IF(NOT(ISNUMBER(layout[[#This Row],[Cam Published]])), "", _xlfn.DAYS(TODAY(), layout[[#This Row],[Cam Published]]))</f>
        <v/>
      </c>
    </row>
    <row r="39" spans="1:19" ht="30" customHeight="1" x14ac:dyDescent="0.25">
      <c r="A39" s="217" t="str">
        <f>metaSHOTS[[#This Row],[Shot]]</f>
        <v>040_050</v>
      </c>
      <c r="B39" s="2" t="e" vm="36">
        <f>metaSHOTS[[#This Row],[Thumbnail]]</f>
        <v>#VALUE!</v>
      </c>
      <c r="C39" s="86" t="b">
        <v>0</v>
      </c>
      <c r="D39" s="186" t="s">
        <v>309</v>
      </c>
      <c r="E39" s="2">
        <f>metaSHOTS[[#This Row],[Start]]</f>
        <v>1</v>
      </c>
      <c r="F39" s="2">
        <f>metaSHOTS[[#This Row],[End]]</f>
        <v>79</v>
      </c>
      <c r="G39" s="2">
        <f>metaSHOTS[[#This Row],[Duration]]</f>
        <v>79</v>
      </c>
      <c r="H39" s="8" t="s">
        <v>312</v>
      </c>
      <c r="I39" s="180" t="s">
        <v>18</v>
      </c>
      <c r="J39" s="2" t="str" cm="1">
        <f t="array" aca="1" ref="J39"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39" s="2">
        <v>3.5</v>
      </c>
      <c r="L39" s="185">
        <v>1</v>
      </c>
      <c r="M39" s="185">
        <v>1</v>
      </c>
      <c r="N39" s="185">
        <v>1</v>
      </c>
      <c r="O39" s="91" cm="1">
        <f t="array" ref="O39">SUM(layout[[#This Row],[previz]:[final]]*layout_ponderation)</f>
        <v>1</v>
      </c>
      <c r="P39" s="84">
        <f>(1-layout[[#This Row],[Progress]])*layout[[#This Row],[Estimated]]</f>
        <v>0</v>
      </c>
      <c r="Q39" s="215"/>
      <c r="R39" s="225">
        <v>45367.615277777775</v>
      </c>
      <c r="S39" s="2">
        <f ca="1">IF(NOT(ISNUMBER(layout[[#This Row],[Cam Published]])), "", _xlfn.DAYS(TODAY(), layout[[#This Row],[Cam Published]]))</f>
        <v>3</v>
      </c>
    </row>
    <row r="40" spans="1:19" ht="30" customHeight="1" x14ac:dyDescent="0.25">
      <c r="A40" s="217" t="str">
        <f>metaSHOTS[[#This Row],[Shot]]</f>
        <v>040_070</v>
      </c>
      <c r="B40" s="2" t="e" vm="37">
        <f>metaSHOTS[[#This Row],[Thumbnail]]</f>
        <v>#VALUE!</v>
      </c>
      <c r="C40" s="86" t="b">
        <v>0</v>
      </c>
      <c r="D40" s="186" t="s">
        <v>309</v>
      </c>
      <c r="E40" s="2">
        <f>metaSHOTS[[#This Row],[Start]]</f>
        <v>1</v>
      </c>
      <c r="F40" s="2">
        <f>metaSHOTS[[#This Row],[End]]</f>
        <v>39</v>
      </c>
      <c r="G40" s="2">
        <f>metaSHOTS[[#This Row],[Duration]]</f>
        <v>39</v>
      </c>
      <c r="H40" s="8" t="s">
        <v>312</v>
      </c>
      <c r="I40" s="180" t="s">
        <v>18</v>
      </c>
      <c r="J40" s="2" t="str" cm="1">
        <f t="array" aca="1" ref="J40"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40" s="2">
        <v>2.5</v>
      </c>
      <c r="L40" s="185">
        <v>1</v>
      </c>
      <c r="M40" s="185">
        <v>1</v>
      </c>
      <c r="N40" s="185">
        <v>1</v>
      </c>
      <c r="O40" s="91" cm="1">
        <f t="array" ref="O40">SUM(layout[[#This Row],[previz]:[final]]*layout_ponderation)</f>
        <v>1</v>
      </c>
      <c r="P40" s="84">
        <f>(1-layout[[#This Row],[Progress]])*layout[[#This Row],[Estimated]]</f>
        <v>0</v>
      </c>
      <c r="Q40" s="215"/>
      <c r="R40" s="225">
        <v>45368.370833333334</v>
      </c>
      <c r="S40" s="2">
        <f ca="1">IF(NOT(ISNUMBER(layout[[#This Row],[Cam Published]])), "", _xlfn.DAYS(TODAY(), layout[[#This Row],[Cam Published]]))</f>
        <v>2</v>
      </c>
    </row>
    <row r="41" spans="1:19" ht="30" customHeight="1" x14ac:dyDescent="0.25">
      <c r="A41" s="217" t="str">
        <f>metaSHOTS[[#This Row],[Shot]]</f>
        <v>040_090</v>
      </c>
      <c r="B41" s="2" t="e" vm="38">
        <f>metaSHOTS[[#This Row],[Thumbnail]]</f>
        <v>#VALUE!</v>
      </c>
      <c r="C41" s="86" t="b">
        <v>0</v>
      </c>
      <c r="D41" s="186" t="s">
        <v>324</v>
      </c>
      <c r="E41" s="2">
        <f>metaSHOTS[[#This Row],[Start]]</f>
        <v>1</v>
      </c>
      <c r="F41" s="2">
        <f>metaSHOTS[[#This Row],[End]]</f>
        <v>63</v>
      </c>
      <c r="G41" s="2">
        <f>metaSHOTS[[#This Row],[Duration]]</f>
        <v>63</v>
      </c>
      <c r="H41" s="8" t="s">
        <v>312</v>
      </c>
      <c r="I41" s="180" t="s">
        <v>18</v>
      </c>
      <c r="J41" s="2" t="str" cm="1">
        <f t="array" aca="1" ref="J41"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41" s="2">
        <v>3</v>
      </c>
      <c r="L41" s="185">
        <v>1</v>
      </c>
      <c r="M41" s="185">
        <v>1</v>
      </c>
      <c r="N41" s="185">
        <v>1</v>
      </c>
      <c r="O41" s="91" cm="1">
        <f t="array" ref="O41">SUM(layout[[#This Row],[previz]:[final]]*layout_ponderation)</f>
        <v>1</v>
      </c>
      <c r="P41" s="84">
        <f>(1-layout[[#This Row],[Progress]])*layout[[#This Row],[Estimated]]</f>
        <v>0</v>
      </c>
      <c r="Q41" s="215"/>
      <c r="R41" s="225">
        <v>45368.536111111112</v>
      </c>
      <c r="S41" s="2">
        <f ca="1">IF(NOT(ISNUMBER(layout[[#This Row],[Cam Published]])), "", _xlfn.DAYS(TODAY(), layout[[#This Row],[Cam Published]]))</f>
        <v>2</v>
      </c>
    </row>
    <row r="42" spans="1:19" ht="30" customHeight="1" x14ac:dyDescent="0.25">
      <c r="A42" s="217" t="str">
        <f>metaSHOTS[[#This Row],[Shot]]</f>
        <v>040_100</v>
      </c>
      <c r="B42" s="2" t="e" vm="39">
        <f>metaSHOTS[[#This Row],[Thumbnail]]</f>
        <v>#VALUE!</v>
      </c>
      <c r="C42" s="86" t="b">
        <v>0</v>
      </c>
      <c r="D42" s="186" t="s">
        <v>309</v>
      </c>
      <c r="E42" s="2">
        <f>metaSHOTS[[#This Row],[Start]]</f>
        <v>1</v>
      </c>
      <c r="F42" s="2">
        <f>metaSHOTS[[#This Row],[End]]</f>
        <v>55</v>
      </c>
      <c r="G42" s="2">
        <f>metaSHOTS[[#This Row],[Duration]]</f>
        <v>55</v>
      </c>
      <c r="H42" s="8" t="s">
        <v>312</v>
      </c>
      <c r="I42" s="180" t="s">
        <v>18</v>
      </c>
      <c r="J42" s="2" t="str" cm="1">
        <f t="array" aca="1" ref="J42"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42" s="2">
        <v>2</v>
      </c>
      <c r="L42" s="185">
        <v>1</v>
      </c>
      <c r="M42" s="185">
        <v>1</v>
      </c>
      <c r="N42" s="185">
        <v>1</v>
      </c>
      <c r="O42" s="91" cm="1">
        <f t="array" ref="O42">SUM(layout[[#This Row],[previz]:[final]]*layout_ponderation)</f>
        <v>1</v>
      </c>
      <c r="P42" s="84">
        <f>(1-layout[[#This Row],[Progress]])*layout[[#This Row],[Estimated]]</f>
        <v>0</v>
      </c>
      <c r="Q42" s="215"/>
      <c r="R42" s="225">
        <v>45369.415277777778</v>
      </c>
      <c r="S42" s="2">
        <f ca="1">IF(NOT(ISNUMBER(layout[[#This Row],[Cam Published]])), "", _xlfn.DAYS(TODAY(), layout[[#This Row],[Cam Published]]))</f>
        <v>1</v>
      </c>
    </row>
    <row r="43" spans="1:19" ht="30" customHeight="1" x14ac:dyDescent="0.25">
      <c r="A43" s="217" t="str">
        <f>metaSHOTS[[#This Row],[Shot]]</f>
        <v>040_110</v>
      </c>
      <c r="B43" s="2" t="e" vm="40">
        <f>metaSHOTS[[#This Row],[Thumbnail]]</f>
        <v>#VALUE!</v>
      </c>
      <c r="C43" s="86" t="b">
        <v>0</v>
      </c>
      <c r="D43" s="186" t="s">
        <v>324</v>
      </c>
      <c r="E43" s="2">
        <f>metaSHOTS[[#This Row],[Start]]</f>
        <v>1</v>
      </c>
      <c r="F43" s="2">
        <f>metaSHOTS[[#This Row],[End]]</f>
        <v>76</v>
      </c>
      <c r="G43" s="2">
        <f>metaSHOTS[[#This Row],[Duration]]</f>
        <v>76</v>
      </c>
      <c r="H43" s="8" t="s">
        <v>312</v>
      </c>
      <c r="I43" s="180" t="s">
        <v>18</v>
      </c>
      <c r="J43" s="2" t="str" cm="1">
        <f t="array" aca="1" ref="J43"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43" s="2">
        <v>1.5</v>
      </c>
      <c r="L43" s="185">
        <v>1</v>
      </c>
      <c r="M43" s="185">
        <v>1</v>
      </c>
      <c r="N43" s="185">
        <v>1</v>
      </c>
      <c r="O43" s="91" cm="1">
        <f t="array" ref="O43">SUM(layout[[#This Row],[previz]:[final]]*layout_ponderation)</f>
        <v>1</v>
      </c>
      <c r="P43" s="84">
        <f>(1-layout[[#This Row],[Progress]])*layout[[#This Row],[Estimated]]</f>
        <v>0</v>
      </c>
      <c r="Q43" s="215"/>
      <c r="R43" s="225"/>
      <c r="S43" s="2" t="str">
        <f ca="1">IF(NOT(ISNUMBER(layout[[#This Row],[Cam Published]])), "", _xlfn.DAYS(TODAY(), layout[[#This Row],[Cam Published]]))</f>
        <v/>
      </c>
    </row>
    <row r="44" spans="1:19" ht="30" customHeight="1" x14ac:dyDescent="0.25">
      <c r="A44" s="217" t="str">
        <f>metaSHOTS[[#This Row],[Shot]]</f>
        <v>040_120</v>
      </c>
      <c r="B44" s="2" t="e" vm="41">
        <f>metaSHOTS[[#This Row],[Thumbnail]]</f>
        <v>#VALUE!</v>
      </c>
      <c r="C44" s="86" t="b">
        <v>0</v>
      </c>
      <c r="D44" s="186" t="s">
        <v>309</v>
      </c>
      <c r="E44" s="2">
        <f>metaSHOTS[[#This Row],[Start]]</f>
        <v>1</v>
      </c>
      <c r="F44" s="2">
        <f>metaSHOTS[[#This Row],[End]]</f>
        <v>90</v>
      </c>
      <c r="G44" s="2">
        <f>metaSHOTS[[#This Row],[Duration]]</f>
        <v>90</v>
      </c>
      <c r="H44" s="8" t="s">
        <v>312</v>
      </c>
      <c r="I44" s="180" t="s">
        <v>18</v>
      </c>
      <c r="J44" s="2" t="str" cm="1">
        <f t="array" aca="1" ref="J44"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Approved</v>
      </c>
      <c r="K44" s="2">
        <v>4</v>
      </c>
      <c r="L44" s="185">
        <v>1</v>
      </c>
      <c r="M44" s="185">
        <v>1</v>
      </c>
      <c r="N44" s="185">
        <v>1</v>
      </c>
      <c r="O44" s="91" cm="1">
        <f t="array" ref="O44">SUM(layout[[#This Row],[previz]:[final]]*layout_ponderation)</f>
        <v>1</v>
      </c>
      <c r="P44" s="84">
        <f>(1-layout[[#This Row],[Progress]])*layout[[#This Row],[Estimated]]</f>
        <v>0</v>
      </c>
      <c r="Q44" s="188"/>
      <c r="R44" s="225">
        <v>45368.432638888888</v>
      </c>
      <c r="S44" s="2">
        <f ca="1">IF(NOT(ISNUMBER(layout[[#This Row],[Cam Published]])), "", _xlfn.DAYS(TODAY(), layout[[#This Row],[Cam Published]]))</f>
        <v>2</v>
      </c>
    </row>
    <row r="45" spans="1:19" ht="30" customHeight="1" x14ac:dyDescent="0.25">
      <c r="A45" s="217" t="str">
        <f>metaSHOTS[[#This Row],[Shot]]</f>
        <v>050_005</v>
      </c>
      <c r="B45" s="2" t="e" vm="42">
        <f>metaSHOTS[[#This Row],[Thumbnail]]</f>
        <v>#VALUE!</v>
      </c>
      <c r="C45" s="86" t="b">
        <v>0</v>
      </c>
      <c r="D45" s="186" t="s">
        <v>324</v>
      </c>
      <c r="E45" s="2">
        <f>metaSHOTS[[#This Row],[Start]]</f>
        <v>1</v>
      </c>
      <c r="F45" s="2">
        <f>metaSHOTS[[#This Row],[End]]</f>
        <v>137</v>
      </c>
      <c r="G45" s="2">
        <f>metaSHOTS[[#This Row],[Duration]]</f>
        <v>137</v>
      </c>
      <c r="H45" s="8" t="s">
        <v>312</v>
      </c>
      <c r="I45" s="180" t="s">
        <v>16</v>
      </c>
      <c r="J45" s="2" t="str" cm="1">
        <f t="array" aca="1" ref="J45"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45" s="2">
        <v>3</v>
      </c>
      <c r="L45" s="185">
        <v>1</v>
      </c>
      <c r="M45" s="185">
        <v>1</v>
      </c>
      <c r="N45" s="185">
        <v>0</v>
      </c>
      <c r="O45" s="91" cm="1">
        <f t="array" ref="O45">SUM(layout[[#This Row],[previz]:[final]]*layout_ponderation)</f>
        <v>0.8</v>
      </c>
      <c r="P45" s="84">
        <f>(1-layout[[#This Row],[Progress]])*layout[[#This Row],[Estimated]]</f>
        <v>0.59999999999999987</v>
      </c>
      <c r="Q45" s="215"/>
      <c r="R45" s="225">
        <v>45365.607638888891</v>
      </c>
      <c r="S45" s="2">
        <f ca="1">IF(NOT(ISNUMBER(layout[[#This Row],[Cam Published]])), "", _xlfn.DAYS(TODAY(), layout[[#This Row],[Cam Published]]))</f>
        <v>5</v>
      </c>
    </row>
    <row r="46" spans="1:19" ht="30" customHeight="1" x14ac:dyDescent="0.25">
      <c r="A46" s="217" t="str">
        <f>metaSHOTS[[#This Row],[Shot]]</f>
        <v>050_020</v>
      </c>
      <c r="B46" s="2" t="e" vm="43">
        <f>metaSHOTS[[#This Row],[Thumbnail]]</f>
        <v>#VALUE!</v>
      </c>
      <c r="C46" s="86" t="b">
        <v>0</v>
      </c>
      <c r="D46" s="186" t="s">
        <v>324</v>
      </c>
      <c r="E46" s="2">
        <f>metaSHOTS[[#This Row],[Start]]</f>
        <v>1</v>
      </c>
      <c r="F46" s="2">
        <f>metaSHOTS[[#This Row],[End]]</f>
        <v>510</v>
      </c>
      <c r="G46" s="2">
        <f>metaSHOTS[[#This Row],[Duration]]</f>
        <v>510</v>
      </c>
      <c r="H46" s="8" t="s">
        <v>312</v>
      </c>
      <c r="I46" s="180" t="s">
        <v>18</v>
      </c>
      <c r="J46" s="2" t="str" cm="1">
        <f t="array" aca="1" ref="J46"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46" s="2">
        <v>3</v>
      </c>
      <c r="L46" s="185">
        <v>1</v>
      </c>
      <c r="M46" s="185">
        <v>1</v>
      </c>
      <c r="N46" s="185">
        <v>0.35</v>
      </c>
      <c r="O46" s="91" cm="1">
        <f t="array" ref="O46">SUM(layout[[#This Row],[previz]:[final]]*layout_ponderation)</f>
        <v>0.87</v>
      </c>
      <c r="P46" s="84">
        <f>(1-layout[[#This Row],[Progress]])*layout[[#This Row],[Estimated]]</f>
        <v>0.39</v>
      </c>
      <c r="Q46" s="215"/>
      <c r="R46" s="225">
        <v>45369.57916666667</v>
      </c>
      <c r="S46" s="2">
        <f ca="1">IF(NOT(ISNUMBER(layout[[#This Row],[Cam Published]])), "", _xlfn.DAYS(TODAY(), layout[[#This Row],[Cam Published]]))</f>
        <v>1</v>
      </c>
    </row>
    <row r="47" spans="1:19" ht="30" customHeight="1" x14ac:dyDescent="0.25">
      <c r="A47" s="217" t="str">
        <f>metaSHOTS[[#This Row],[Shot]]</f>
        <v>060_010</v>
      </c>
      <c r="B47" s="2" t="e" vm="44">
        <f>metaSHOTS[[#This Row],[Thumbnail]]</f>
        <v>#VALUE!</v>
      </c>
      <c r="C47" s="86" t="b">
        <v>0</v>
      </c>
      <c r="D47" s="186" t="s">
        <v>324</v>
      </c>
      <c r="E47" s="2">
        <f>metaSHOTS[[#This Row],[Start]]</f>
        <v>1</v>
      </c>
      <c r="F47" s="2">
        <f>metaSHOTS[[#This Row],[End]]</f>
        <v>241</v>
      </c>
      <c r="G47" s="2">
        <f>metaSHOTS[[#This Row],[Duration]]</f>
        <v>241</v>
      </c>
      <c r="H47" s="8" t="s">
        <v>312</v>
      </c>
      <c r="I47" s="180" t="s">
        <v>18</v>
      </c>
      <c r="J47" s="2" t="str" cm="1">
        <f t="array" aca="1" ref="J47"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47" s="2">
        <v>2.5</v>
      </c>
      <c r="L47" s="185">
        <v>1</v>
      </c>
      <c r="M47" s="185">
        <v>1</v>
      </c>
      <c r="N47" s="185">
        <v>1</v>
      </c>
      <c r="O47" s="91" cm="1">
        <f t="array" ref="O47">SUM(layout[[#This Row],[previz]:[final]]*layout_ponderation)</f>
        <v>1</v>
      </c>
      <c r="P47" s="84">
        <f>(1-layout[[#This Row],[Progress]])*layout[[#This Row],[Estimated]]</f>
        <v>0</v>
      </c>
      <c r="Q47" s="215"/>
      <c r="R47" s="225">
        <v>45369.556250000001</v>
      </c>
      <c r="S47" s="2">
        <f ca="1">IF(NOT(ISNUMBER(layout[[#This Row],[Cam Published]])), "", _xlfn.DAYS(TODAY(), layout[[#This Row],[Cam Published]]))</f>
        <v>1</v>
      </c>
    </row>
    <row r="48" spans="1:19" ht="30" customHeight="1" x14ac:dyDescent="0.25">
      <c r="A48" s="217" t="str">
        <f>metaSHOTS[[#This Row],[Shot]]</f>
        <v>060_030</v>
      </c>
      <c r="B48" s="2" t="e" vm="45">
        <f>metaSHOTS[[#This Row],[Thumbnail]]</f>
        <v>#VALUE!</v>
      </c>
      <c r="C48" s="86" t="b">
        <v>0</v>
      </c>
      <c r="D48" s="186" t="s">
        <v>324</v>
      </c>
      <c r="E48" s="2">
        <f>metaSHOTS[[#This Row],[Start]]</f>
        <v>1</v>
      </c>
      <c r="F48" s="2">
        <f>metaSHOTS[[#This Row],[End]]</f>
        <v>511</v>
      </c>
      <c r="G48" s="2">
        <f>metaSHOTS[[#This Row],[Duration]]</f>
        <v>511</v>
      </c>
      <c r="H48" s="8" t="s">
        <v>312</v>
      </c>
      <c r="I48" s="180" t="s">
        <v>18</v>
      </c>
      <c r="J48" s="2" t="str" cm="1">
        <f t="array" aca="1" ref="J48" ca="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Pending Review</v>
      </c>
      <c r="K48" s="2">
        <v>2.5</v>
      </c>
      <c r="L48" s="185">
        <v>1</v>
      </c>
      <c r="M48" s="185">
        <v>1</v>
      </c>
      <c r="N48" s="185">
        <v>1</v>
      </c>
      <c r="O48" s="91" cm="1">
        <f t="array" ref="O48">SUM(layout[[#This Row],[previz]:[final]]*layout_ponderation)</f>
        <v>1</v>
      </c>
      <c r="P48" s="84">
        <f>(1-layout[[#This Row],[Progress]])*layout[[#This Row],[Estimated]]</f>
        <v>0</v>
      </c>
      <c r="Q48" s="215"/>
      <c r="R48" s="225">
        <v>45337.868750000001</v>
      </c>
      <c r="S48" s="2">
        <f ca="1">IF(NOT(ISNUMBER(layout[[#This Row],[Cam Published]])), "", _xlfn.DAYS(TODAY(), layout[[#This Row],[Cam Published]]))</f>
        <v>33</v>
      </c>
    </row>
    <row r="49" spans="1:19" ht="30" customHeight="1" x14ac:dyDescent="0.25">
      <c r="A49" s="217" t="str">
        <f>metaSHOTS[[#This Row],[Shot]]</f>
        <v>040_045</v>
      </c>
      <c r="B49" s="2" t="e" vm="46">
        <f>metaSHOTS[[#This Row],[Thumbnail]]</f>
        <v>#VALUE!</v>
      </c>
      <c r="C49" s="86" t="b">
        <v>0</v>
      </c>
      <c r="D49" s="186" t="s">
        <v>309</v>
      </c>
      <c r="E49" s="2">
        <f>metaSHOTS[[#This Row],[Start]]</f>
        <v>1</v>
      </c>
      <c r="F49" s="2">
        <f>metaSHOTS[[#This Row],[End]]</f>
        <v>55</v>
      </c>
      <c r="G49" s="2">
        <f>metaSHOTS[[#This Row],[Duration]]</f>
        <v>55</v>
      </c>
      <c r="H49" s="8" t="s">
        <v>312</v>
      </c>
      <c r="I49" s="180" t="s">
        <v>18</v>
      </c>
      <c r="J49" s="2" t="str" cm="1">
        <f t="array" ref="J49">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Waiting</v>
      </c>
      <c r="K49" s="2">
        <v>1</v>
      </c>
      <c r="L49" s="185">
        <v>1</v>
      </c>
      <c r="M49" s="185">
        <v>1</v>
      </c>
      <c r="N49" s="185">
        <v>1</v>
      </c>
      <c r="O49" s="91" cm="1">
        <f t="array" ref="O49">SUM(layout[[#This Row],[previz]:[final]]*layout_ponderation)</f>
        <v>1</v>
      </c>
      <c r="P49" s="84">
        <f>(1-layout[[#This Row],[Progress]])*layout[[#This Row],[Estimated]]</f>
        <v>0</v>
      </c>
      <c r="Q49" s="215"/>
      <c r="R49" s="225"/>
      <c r="S49" s="2" t="str">
        <f ca="1">IF(NOT(ISNUMBER(layout[[#This Row],[Cam Published]])), "", _xlfn.DAYS(TODAY(), layout[[#This Row],[Cam Published]]))</f>
        <v/>
      </c>
    </row>
    <row r="50" spans="1:19" ht="30" customHeight="1" x14ac:dyDescent="0.25">
      <c r="A50" s="217" t="str">
        <f>metaSHOTS[[#This Row],[Shot]]</f>
        <v>040_135</v>
      </c>
      <c r="B50" s="2" t="e" vm="47">
        <f>metaSHOTS[[#This Row],[Thumbnail]]</f>
        <v>#VALUE!</v>
      </c>
      <c r="C50" s="86" t="b">
        <v>0</v>
      </c>
      <c r="D50" s="186" t="s">
        <v>324</v>
      </c>
      <c r="E50" s="2">
        <f>metaSHOTS[[#This Row],[Start]]</f>
        <v>1</v>
      </c>
      <c r="F50" s="2">
        <f>metaSHOTS[[#This Row],[End]]</f>
        <v>126</v>
      </c>
      <c r="G50" s="2">
        <f>metaSHOTS[[#This Row],[Duration]]</f>
        <v>126</v>
      </c>
      <c r="H50" s="8" t="s">
        <v>312</v>
      </c>
      <c r="I50" s="180" t="s">
        <v>18</v>
      </c>
      <c r="J50" s="2" t="str" cm="1">
        <f t="array" ref="J50">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Waiting</v>
      </c>
      <c r="K50" s="2">
        <v>1</v>
      </c>
      <c r="L50" s="185">
        <v>1</v>
      </c>
      <c r="M50" s="185">
        <v>1</v>
      </c>
      <c r="N50" s="185">
        <v>1</v>
      </c>
      <c r="O50" s="91" cm="1">
        <f t="array" ref="O50">SUM(layout[[#This Row],[previz]:[final]]*layout_ponderation)</f>
        <v>1</v>
      </c>
      <c r="P50" s="84">
        <f>(1-layout[[#This Row],[Progress]])*layout[[#This Row],[Estimated]]</f>
        <v>0</v>
      </c>
      <c r="Q50" s="215"/>
      <c r="R50" s="225">
        <v>45369.510416666664</v>
      </c>
      <c r="S50" s="2">
        <f ca="1">IF(NOT(ISNUMBER(layout[[#This Row],[Cam Published]])), "", _xlfn.DAYS(TODAY(), layout[[#This Row],[Cam Published]]))</f>
        <v>1</v>
      </c>
    </row>
    <row r="51" spans="1:19" ht="30" customHeight="1" x14ac:dyDescent="0.25">
      <c r="A51" s="217" t="str">
        <f>metaSHOTS[[#This Row],[Shot]]</f>
        <v>050_010</v>
      </c>
      <c r="B51" s="2" t="e" vm="48">
        <f>metaSHOTS[[#This Row],[Thumbnail]]</f>
        <v>#VALUE!</v>
      </c>
      <c r="C51" s="86" t="b">
        <v>0</v>
      </c>
      <c r="D51" s="186" t="s">
        <v>324</v>
      </c>
      <c r="E51" s="2">
        <f>metaSHOTS[[#This Row],[Start]]</f>
        <v>1</v>
      </c>
      <c r="F51" s="2">
        <f>metaSHOTS[[#This Row],[End]]</f>
        <v>71</v>
      </c>
      <c r="G51" s="2">
        <f>metaSHOTS[[#This Row],[Duration]]</f>
        <v>71</v>
      </c>
      <c r="H51" s="8" t="s">
        <v>312</v>
      </c>
      <c r="I51" s="180" t="s">
        <v>18</v>
      </c>
      <c r="J51" s="2" t="str" cm="1">
        <f t="array" ref="J51">_xlfn.LET(
    _xlpm.assetList, _xlfn.TEXTSPLIT(metaSHOTS[[#This Row],[Assets (Tier 1)]], ", "),
    _xlpm.modelingEstimatedValue, SUM(_xlfn.XLOOKUP(_xlpm.assetList, modeling[Asset Name], modeling[Estimated])),
    _xlpm.modelingHoursToDoValue, SUM(_xlfn.XLOOKUP(_xlpm.assetList, modeling[Asset Name], modeling[Hours to do])),
    _xlpm.modelingProgressValue, IF(ISERROR((_xlpm.modelingEstimatedValue-_xlpm.modelingHoursToDoValue)/_xlpm.modelingEstimatedValue), "", (_xlpm.modelingEstimatedValue-_xlpm.modelingHoursToDoValue)/_xlpm.modelingEstimatedValue),
    _xlpm.isApprovedTrue, AND(EXACT(_xlfn.XLOOKUP(_xlpm.assetList, modeling[Asset Name], modeling[Status])="Approved", TRUE)),
    _xlpm.isModelingApproved, IF(ISERROR(_xlpm.isApprovedTrue), "", _xlpm.isApprovedTrue),
    IF(
        OR(ISERROR(_xlpm.modelingEstimatedValue), ISERROR(_xlpm.modelingHoursToDoValue)), "Waiting",
        IF(NOT(ISBLANK(layout[[#This Row],[Commentaires]])), "Needs Fix",
            IF(layout[[#This Row],[Review]]&lt;&gt;"inactive", layout[[#This Row],[Review]],
                IF(OR(layout[[#This Row],[rough]]=100%, layout[[#This Row],[Progress]]=100%), "Pending Review",
                    IF(
                        AND(0%&lt;layout[[#This Row],[Progress]], layout[[#This Row],[Progress]]&lt;100%),  "In Progress",
                        IF(_xlpm.isModelingApproved, "Ready",
                            IF(
                                AND(_xlpm.modelingProgressValue&gt;=upcomingThreshold, _xlpm.modelingProgressValue&lt;=100%), "Upcoming",
                                IF(layout[[#This Row],[Progress]]&lt;upcomingThreshold, "Waiting")
                            )
                        )
                    )
                )
            )
        )
    )
)</f>
        <v>Waiting</v>
      </c>
      <c r="K51" s="2">
        <v>3</v>
      </c>
      <c r="L51" s="185">
        <v>1</v>
      </c>
      <c r="M51" s="185">
        <v>1</v>
      </c>
      <c r="N51" s="185">
        <v>0</v>
      </c>
      <c r="O51" s="91" cm="1">
        <f t="array" ref="O51">SUM(layout[[#This Row],[previz]:[final]]*layout_ponderation)</f>
        <v>0.8</v>
      </c>
      <c r="P51" s="84">
        <f>(1-layout[[#This Row],[Progress]])*layout[[#This Row],[Estimated]]</f>
        <v>0.59999999999999987</v>
      </c>
      <c r="Q51" s="215"/>
      <c r="R51" s="225">
        <v>45365.607638888891</v>
      </c>
      <c r="S51" s="2">
        <f ca="1">IF(NOT(ISNUMBER(layout[[#This Row],[Cam Published]])), "", _xlfn.DAYS(TODAY(), layout[[#This Row],[Cam Published]]))</f>
        <v>5</v>
      </c>
    </row>
    <row r="52" spans="1:19" ht="30" customHeight="1" x14ac:dyDescent="0.25">
      <c r="A52" s="92" t="s">
        <v>22</v>
      </c>
      <c r="K52" s="2">
        <f>SUBTOTAL(109,layout[Estimated])</f>
        <v>134.5</v>
      </c>
      <c r="L52" s="16">
        <f>SUBTOTAL(101,layout[previz])</f>
        <v>1</v>
      </c>
      <c r="M52" s="16">
        <f>SUBTOTAL(101,layout[rough])</f>
        <v>1</v>
      </c>
      <c r="N52" s="16">
        <f>SUBTOTAL(101,layout[final])</f>
        <v>0.84791666666666676</v>
      </c>
      <c r="O52" s="16">
        <f>(layout[[#Totals],[Estimated]]-layout[[#Totals],[Hours to do]])/layout[[#Totals],[Estimated]]</f>
        <v>0.96394052044609668</v>
      </c>
      <c r="P52" s="84">
        <f>SUBTOTAL(109,layout[Hours to do])</f>
        <v>4.8499999999999988</v>
      </c>
      <c r="Q52" s="7"/>
    </row>
  </sheetData>
  <sheetProtection algorithmName="SHA-512" hashValue="btcPtYB4ppsMZ3DpYHwQNP+FuaXRD4RmnZzpS0fPOvTxRBMGoukLbQ12WRj3qy2zVPQebGI2MXYIpRArif8sVA==" saltValue="jP0W5G5Jp8uW79myqbIlLA==" spinCount="100000" sheet="1" selectLockedCells="1" autoFilter="0"/>
  <mergeCells count="1">
    <mergeCell ref="A1:I2"/>
  </mergeCells>
  <conditionalFormatting sqref="J4:J52">
    <cfRule type="containsText" dxfId="64" priority="4" operator="containsText" text="Needs Fix">
      <formula>NOT(ISERROR(SEARCH("Needs Fix",J4)))</formula>
    </cfRule>
    <cfRule type="containsText" dxfId="63" priority="5" operator="containsText" text="Approved">
      <formula>NOT(ISERROR(SEARCH("Approved",J4)))</formula>
    </cfRule>
    <cfRule type="containsText" dxfId="62" priority="6" operator="containsText" text="Pending Review">
      <formula>NOT(ISERROR(SEARCH("Pending Review",J4)))</formula>
    </cfRule>
    <cfRule type="containsText" dxfId="61" priority="7" operator="containsText" text="In Progress">
      <formula>NOT(ISERROR(SEARCH("In Progress",J4)))</formula>
    </cfRule>
    <cfRule type="containsText" dxfId="60" priority="8" operator="containsText" text="Ready">
      <formula>NOT(ISERROR(SEARCH("Ready",J4)))</formula>
    </cfRule>
    <cfRule type="containsText" dxfId="59" priority="9" operator="containsText" text="Upcoming">
      <formula>NOT(ISERROR(SEARCH("Upcoming",J4)))</formula>
    </cfRule>
    <cfRule type="containsText" dxfId="58" priority="10" operator="containsText" text="Waiting">
      <formula>NOT(ISERROR(SEARCH("Waiting",J4)))</formula>
    </cfRule>
  </conditionalFormatting>
  <conditionalFormatting sqref="L4:O51">
    <cfRule type="colorScale" priority="11">
      <colorScale>
        <cfvo type="num" val="0"/>
        <cfvo type="num" val="0.5"/>
        <cfvo type="num" val="1"/>
        <color rgb="FFFF0000"/>
        <color rgb="FFFFFF00"/>
        <color theme="9" tint="-0.249977111117893"/>
      </colorScale>
    </cfRule>
  </conditionalFormatting>
  <conditionalFormatting sqref="P45:Q51 P4:Q43 P44">
    <cfRule type="dataBar" priority="724">
      <dataBar>
        <cfvo type="min"/>
        <cfvo type="max"/>
        <color rgb="FF008AEF"/>
      </dataBar>
      <extLst>
        <ext xmlns:x14="http://schemas.microsoft.com/office/spreadsheetml/2009/9/main" uri="{B025F937-C7B1-47D3-B67F-A62EFF666E3E}">
          <x14:id>{08CCF4C7-B0A2-4B05-BD2E-36F209DC71BD}</x14:id>
        </ext>
      </extLst>
    </cfRule>
  </conditionalFormatting>
  <conditionalFormatting sqref="Q44">
    <cfRule type="dataBar" priority="2">
      <dataBar>
        <cfvo type="min"/>
        <cfvo type="max"/>
        <color rgb="FF008AEF"/>
      </dataBar>
      <extLst>
        <ext xmlns:x14="http://schemas.microsoft.com/office/spreadsheetml/2009/9/main" uri="{B025F937-C7B1-47D3-B67F-A62EFF666E3E}">
          <x14:id>{51EACB04-007A-4FBF-98C5-DEE9A8CB602D}</x14:id>
        </ext>
      </extLst>
    </cfRule>
  </conditionalFormatting>
  <conditionalFormatting sqref="S4:S51">
    <cfRule type="colorScale" priority="727">
      <colorScale>
        <cfvo type="min"/>
        <cfvo type="max"/>
        <color rgb="FF63BE7B"/>
        <color rgb="FFFCFCFF"/>
      </colorScale>
    </cfRule>
  </conditionalFormatting>
  <pageMargins left="0.7" right="0.7" top="0.75" bottom="0.75" header="0.3" footer="0.3"/>
  <pageSetup paperSize="9" orientation="portrait" horizontalDpi="360" verticalDpi="360" r:id="rId1"/>
  <ignoredErrors>
    <ignoredError sqref="O4 N31:N32"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8CCF4C7-B0A2-4B05-BD2E-36F209DC71BD}">
            <x14:dataBar minLength="0" maxLength="100" border="1" negativeBarBorderColorSameAsPositive="0">
              <x14:cfvo type="autoMin"/>
              <x14:cfvo type="autoMax"/>
              <x14:borderColor rgb="FF008AEF"/>
              <x14:negativeFillColor rgb="FFFF0000"/>
              <x14:negativeBorderColor rgb="FFFF0000"/>
              <x14:axisColor rgb="FF000000"/>
            </x14:dataBar>
          </x14:cfRule>
          <xm:sqref>P45:Q51 P4:Q43 P44</xm:sqref>
        </x14:conditionalFormatting>
        <x14:conditionalFormatting xmlns:xm="http://schemas.microsoft.com/office/excel/2006/main">
          <x14:cfRule type="dataBar" id="{51EACB04-007A-4FBF-98C5-DEE9A8CB602D}">
            <x14:dataBar minLength="0" maxLength="100" border="1" negativeBarBorderColorSameAsPositive="0">
              <x14:cfvo type="autoMin"/>
              <x14:cfvo type="autoMax"/>
              <x14:borderColor rgb="FF008AEF"/>
              <x14:negativeFillColor rgb="FFFF0000"/>
              <x14:negativeBorderColor rgb="FFFF0000"/>
              <x14:axisColor rgb="FF000000"/>
            </x14:dataBar>
          </x14:cfRule>
          <xm:sqref>Q44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0ABA21F-8969-4BED-9EFD-B2309ED99535}">
          <x14:formula1>
            <xm:f>_data_!$T$8:$T$10</xm:f>
          </x14:formula1>
          <xm:sqref>D4:D51</xm:sqref>
        </x14:dataValidation>
        <x14:dataValidation type="list" allowBlank="1" showInputMessage="1" showErrorMessage="1" xr:uid="{8F525504-8484-4215-83D7-F3737B62BA64}">
          <x14:formula1>
            <xm:f>_data_!$R$15:$R$16</xm:f>
          </x14:formula1>
          <xm:sqref>C4:C51</xm:sqref>
        </x14:dataValidation>
        <x14:dataValidation type="list" allowBlank="1" showInputMessage="1" showErrorMessage="1" xr:uid="{EAF51BF3-0925-4161-9C47-98B57C95368F}">
          <x14:formula1>
            <xm:f>_data_!$M$18:$M$22</xm:f>
          </x14:formula1>
          <xm:sqref>H4:H51</xm:sqref>
        </x14:dataValidation>
        <x14:dataValidation type="list" allowBlank="1" showInputMessage="1" showErrorMessage="1" xr:uid="{2092C8FA-CC69-4FC8-9FDD-B8ABBD102DC7}">
          <x14:formula1>
            <xm:f>_data_!$X$28:$X$32</xm:f>
          </x14:formula1>
          <xm:sqref>I4:I51</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EB848-3A6E-4319-A43B-BE0679B71053}">
  <sheetPr codeName="Feuil10">
    <tabColor rgb="FF589DFA"/>
  </sheetPr>
  <dimension ref="A1:AE52"/>
  <sheetViews>
    <sheetView showGridLines="0" showRowColHeaders="0" zoomScaleNormal="100" workbookViewId="0">
      <pane ySplit="3" topLeftCell="A31" activePane="bottomLeft" state="frozen"/>
      <selection activeCell="L41" sqref="L41"/>
      <selection pane="bottomLeft" activeCell="M39" sqref="M39"/>
    </sheetView>
  </sheetViews>
  <sheetFormatPr baseColWidth="10" defaultColWidth="16" defaultRowHeight="30" customHeight="1" x14ac:dyDescent="0.25"/>
  <cols>
    <col min="1" max="19" width="12" style="2" customWidth="1"/>
    <col min="20" max="20" width="32.85546875" style="2" customWidth="1"/>
    <col min="21" max="21" width="19.5703125" style="2" customWidth="1"/>
    <col min="22" max="22" width="27" style="2" customWidth="1"/>
    <col min="23" max="16384" width="16" style="2"/>
  </cols>
  <sheetData>
    <row r="1" spans="1:22" s="133" customFormat="1" ht="41.25" customHeight="1" x14ac:dyDescent="0.25">
      <c r="A1" s="292" t="s">
        <v>351</v>
      </c>
      <c r="B1" s="292"/>
      <c r="C1" s="292"/>
      <c r="D1" s="292"/>
      <c r="E1" s="292"/>
      <c r="F1" s="292"/>
      <c r="G1" s="292"/>
      <c r="H1" s="292"/>
      <c r="I1" s="292"/>
      <c r="K1" s="131" t="s">
        <v>297</v>
      </c>
      <c r="L1" s="132">
        <v>0.05</v>
      </c>
      <c r="M1" s="132">
        <v>0.3</v>
      </c>
      <c r="N1" s="132">
        <v>0.2</v>
      </c>
      <c r="O1" s="132">
        <v>0.1</v>
      </c>
      <c r="P1" s="132">
        <v>0.05</v>
      </c>
      <c r="Q1" s="132">
        <v>0.3</v>
      </c>
    </row>
    <row r="2" spans="1:22" s="133" customFormat="1" ht="41.25" customHeight="1" x14ac:dyDescent="0.25">
      <c r="A2" s="292"/>
      <c r="B2" s="292"/>
      <c r="C2" s="292"/>
      <c r="D2" s="292"/>
      <c r="E2" s="292"/>
      <c r="F2" s="292"/>
      <c r="G2" s="292"/>
      <c r="H2" s="292"/>
      <c r="I2" s="292"/>
      <c r="K2" s="134" t="s">
        <v>298</v>
      </c>
      <c r="L2" s="135" cm="1">
        <f t="array" ref="L2">IF(L52="Done", "Done",L1*SUM(anim[[Estimated]:[Estimated]]*(1-anim[PVR])))</f>
        <v>0</v>
      </c>
      <c r="M2" s="135" cm="1">
        <f t="array" ref="M2">IF(M52="Done", "Done",M1*SUM(anim[[Estimated]:[Estimated]]*(1-anim[blocking 1])))</f>
        <v>0</v>
      </c>
      <c r="N2" s="135" cm="1">
        <f t="array" ref="N2">IF(N52="Done", "Done",N1*SUM(anim[[Estimated]:[Estimated]]*(1-anim[blocking 2])))</f>
        <v>0</v>
      </c>
      <c r="O2" s="135" cm="1">
        <f t="array" ref="O2">IF(O52="Done", "Done",O1*SUM(anim[[Estimated]:[Estimated]]*(1-anim[blocking 3])))</f>
        <v>0</v>
      </c>
      <c r="P2" s="135" cm="1">
        <f t="array" ref="P2">IF(P52="Done", "Done",P1*SUM(anim[[Estimated]:[Estimated]]*(1-anim[spline])))</f>
        <v>0</v>
      </c>
      <c r="Q2" s="135" cm="1">
        <f t="array" ref="Q2">IF(Q52="Done", "Done",Q1*SUM(anim[[Estimated]:[Estimated]]*(1-anim[polish])))</f>
        <v>0.69000000000000006</v>
      </c>
    </row>
    <row r="3" spans="1:22" ht="23.25" customHeight="1" x14ac:dyDescent="0.25">
      <c r="A3" s="2" t="s">
        <v>343</v>
      </c>
      <c r="B3" s="2" t="s">
        <v>300</v>
      </c>
      <c r="C3" s="2" t="s">
        <v>301</v>
      </c>
      <c r="D3" s="2" t="s">
        <v>302</v>
      </c>
      <c r="E3" s="2" t="s">
        <v>344</v>
      </c>
      <c r="F3" s="2" t="s">
        <v>345</v>
      </c>
      <c r="G3" s="2" t="s">
        <v>346</v>
      </c>
      <c r="H3" s="2" t="s">
        <v>303</v>
      </c>
      <c r="I3" s="2" t="s">
        <v>6</v>
      </c>
      <c r="J3" s="2" t="s">
        <v>269</v>
      </c>
      <c r="K3" s="2" t="s">
        <v>304</v>
      </c>
      <c r="L3" s="171" t="s">
        <v>352</v>
      </c>
      <c r="M3" s="171" t="s">
        <v>353</v>
      </c>
      <c r="N3" s="171" t="s">
        <v>354</v>
      </c>
      <c r="O3" s="171" t="s">
        <v>355</v>
      </c>
      <c r="P3" s="171" t="s">
        <v>356</v>
      </c>
      <c r="Q3" s="171" t="s">
        <v>317</v>
      </c>
      <c r="R3" s="2" t="s">
        <v>295</v>
      </c>
      <c r="S3" s="2" t="s">
        <v>308</v>
      </c>
      <c r="T3" s="2" t="s">
        <v>270</v>
      </c>
      <c r="U3" s="3" t="s">
        <v>357</v>
      </c>
      <c r="V3" s="3" t="s">
        <v>350</v>
      </c>
    </row>
    <row r="4" spans="1:22" ht="30" customHeight="1" x14ac:dyDescent="0.25">
      <c r="A4" s="3" t="str">
        <f>metaSHOTS[[#This Row],[Shot]]</f>
        <v>000_010</v>
      </c>
      <c r="B4" s="2" t="e" vm="1">
        <f>metaSHOTS[[#This Row],[Thumbnail]]</f>
        <v>#VALUE!</v>
      </c>
      <c r="C4" s="86" t="b">
        <v>0</v>
      </c>
      <c r="D4" s="186" t="s">
        <v>309</v>
      </c>
      <c r="E4" s="2">
        <f>metaSHOTS[[#This Row],[Start]]</f>
        <v>1</v>
      </c>
      <c r="F4" s="2">
        <f>metaSHOTS[[#This Row],[End]]</f>
        <v>339</v>
      </c>
      <c r="G4" s="2">
        <f>metaSHOTS[[#This Row],[Duration]]</f>
        <v>339</v>
      </c>
      <c r="H4" s="189" t="s">
        <v>312</v>
      </c>
      <c r="I4" s="189" t="s">
        <v>12</v>
      </c>
      <c r="J4"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4" s="2">
        <v>2</v>
      </c>
      <c r="L4" s="185">
        <v>1</v>
      </c>
      <c r="M4" s="185">
        <v>1</v>
      </c>
      <c r="N4" s="185">
        <v>1</v>
      </c>
      <c r="O4" s="185">
        <v>1</v>
      </c>
      <c r="P4" s="185">
        <v>1</v>
      </c>
      <c r="Q4" s="185">
        <v>1</v>
      </c>
      <c r="R4" s="90" cm="1">
        <f t="array" ref="R4">SUM(anim[[#This Row],[PVR]:[polish]]*anim_ponderation)</f>
        <v>1</v>
      </c>
      <c r="S4" s="84">
        <f>(1-anim[[#This Row],[Progress]])*anim[[#This Row],[Estimated]]</f>
        <v>0</v>
      </c>
      <c r="T4" s="188"/>
      <c r="U4" s="225">
        <v>45323.417361111111</v>
      </c>
      <c r="V4" s="2">
        <f ca="1">IF(NOT(ISNUMBER(anim[[#This Row],[Published]])), "", _xlfn.DAYS(TODAY(), anim[[#This Row],[Published]]))</f>
        <v>47</v>
      </c>
    </row>
    <row r="5" spans="1:22" ht="30" customHeight="1" x14ac:dyDescent="0.25">
      <c r="A5" s="3" t="str">
        <f>metaSHOTS[[#This Row],[Shot]]</f>
        <v>010_010</v>
      </c>
      <c r="B5" s="2" t="e" vm="2">
        <f>metaSHOTS[[#This Row],[Thumbnail]]</f>
        <v>#VALUE!</v>
      </c>
      <c r="C5" s="86" t="b">
        <v>0</v>
      </c>
      <c r="D5" s="186" t="s">
        <v>324</v>
      </c>
      <c r="E5" s="2">
        <f>metaSHOTS[[#This Row],[Start]]</f>
        <v>1</v>
      </c>
      <c r="F5" s="2">
        <f>metaSHOTS[[#This Row],[End]]</f>
        <v>93</v>
      </c>
      <c r="G5" s="2">
        <f>metaSHOTS[[#This Row],[Duration]]</f>
        <v>93</v>
      </c>
      <c r="H5" s="189" t="s">
        <v>312</v>
      </c>
      <c r="I5" s="189" t="s">
        <v>18</v>
      </c>
      <c r="J5"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5" s="2">
        <v>4</v>
      </c>
      <c r="L5" s="185">
        <v>1</v>
      </c>
      <c r="M5" s="185">
        <v>1</v>
      </c>
      <c r="N5" s="185">
        <v>1</v>
      </c>
      <c r="O5" s="185">
        <v>1</v>
      </c>
      <c r="P5" s="185">
        <v>1</v>
      </c>
      <c r="Q5" s="185">
        <v>1</v>
      </c>
      <c r="R5" s="90" cm="1">
        <f t="array" ref="R5">SUM(anim[[#This Row],[PVR]:[polish]]*anim_ponderation)</f>
        <v>1</v>
      </c>
      <c r="S5" s="84">
        <f>(1-anim[[#This Row],[Progress]])*anim[[#This Row],[Estimated]]</f>
        <v>0</v>
      </c>
      <c r="T5" s="188"/>
      <c r="U5" s="225">
        <v>45316.568055555559</v>
      </c>
      <c r="V5" s="2">
        <f ca="1">IF(NOT(ISNUMBER(anim[[#This Row],[Published]])), "", _xlfn.DAYS(TODAY(), anim[[#This Row],[Published]]))</f>
        <v>54</v>
      </c>
    </row>
    <row r="6" spans="1:22" ht="30" customHeight="1" x14ac:dyDescent="0.25">
      <c r="A6" s="3" t="str">
        <f>metaSHOTS[[#This Row],[Shot]]</f>
        <v>010_040</v>
      </c>
      <c r="B6" s="2" t="e" vm="3">
        <f>metaSHOTS[[#This Row],[Thumbnail]]</f>
        <v>#VALUE!</v>
      </c>
      <c r="C6" s="86" t="b">
        <v>0</v>
      </c>
      <c r="D6" s="186" t="s">
        <v>324</v>
      </c>
      <c r="E6" s="2">
        <f>metaSHOTS[[#This Row],[Start]]</f>
        <v>1</v>
      </c>
      <c r="F6" s="2">
        <f>metaSHOTS[[#This Row],[End]]</f>
        <v>111</v>
      </c>
      <c r="G6" s="2">
        <f>metaSHOTS[[#This Row],[Duration]]</f>
        <v>111</v>
      </c>
      <c r="H6" s="189" t="s">
        <v>312</v>
      </c>
      <c r="I6" s="189" t="s">
        <v>18</v>
      </c>
      <c r="J6"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6" s="2">
        <v>4</v>
      </c>
      <c r="L6" s="185">
        <v>1</v>
      </c>
      <c r="M6" s="185">
        <v>1</v>
      </c>
      <c r="N6" s="185">
        <v>1</v>
      </c>
      <c r="O6" s="185">
        <v>1</v>
      </c>
      <c r="P6" s="185">
        <v>1</v>
      </c>
      <c r="Q6" s="185">
        <v>1</v>
      </c>
      <c r="R6" s="90" cm="1">
        <f t="array" ref="R6">SUM(anim[[#This Row],[PVR]:[polish]]*anim_ponderation)</f>
        <v>1</v>
      </c>
      <c r="S6" s="84">
        <f>(1-anim[[#This Row],[Progress]])*anim[[#This Row],[Estimated]]</f>
        <v>0</v>
      </c>
      <c r="T6" s="188"/>
      <c r="U6" s="225">
        <v>45334.85833333333</v>
      </c>
      <c r="V6" s="2">
        <f ca="1">IF(NOT(ISNUMBER(anim[[#This Row],[Published]])), "", _xlfn.DAYS(TODAY(), anim[[#This Row],[Published]]))</f>
        <v>36</v>
      </c>
    </row>
    <row r="7" spans="1:22" ht="30" customHeight="1" x14ac:dyDescent="0.25">
      <c r="A7" s="3" t="str">
        <f>metaSHOTS[[#This Row],[Shot]]</f>
        <v>010_050</v>
      </c>
      <c r="B7" s="2" t="e" vm="4">
        <f>metaSHOTS[[#This Row],[Thumbnail]]</f>
        <v>#VALUE!</v>
      </c>
      <c r="C7" s="86" t="b">
        <v>0</v>
      </c>
      <c r="D7" s="186" t="s">
        <v>324</v>
      </c>
      <c r="E7" s="2">
        <f>metaSHOTS[[#This Row],[Start]]</f>
        <v>1</v>
      </c>
      <c r="F7" s="2">
        <f>metaSHOTS[[#This Row],[End]]</f>
        <v>65</v>
      </c>
      <c r="G7" s="2">
        <f>metaSHOTS[[#This Row],[Duration]]</f>
        <v>65</v>
      </c>
      <c r="H7" s="189" t="s">
        <v>311</v>
      </c>
      <c r="I7" s="189" t="s">
        <v>18</v>
      </c>
      <c r="J7"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7" s="2">
        <v>4</v>
      </c>
      <c r="L7" s="185">
        <v>1</v>
      </c>
      <c r="M7" s="185">
        <v>1</v>
      </c>
      <c r="N7" s="185">
        <v>1</v>
      </c>
      <c r="O7" s="185">
        <v>1</v>
      </c>
      <c r="P7" s="185">
        <v>1</v>
      </c>
      <c r="Q7" s="185">
        <v>1</v>
      </c>
      <c r="R7" s="90" cm="1">
        <f t="array" ref="R7">SUM(anim[[#This Row],[PVR]:[polish]]*anim_ponderation)</f>
        <v>1</v>
      </c>
      <c r="S7" s="84">
        <f>(1-anim[[#This Row],[Progress]])*anim[[#This Row],[Estimated]]</f>
        <v>0</v>
      </c>
      <c r="T7" s="188"/>
      <c r="U7" s="225">
        <v>45341.568749999999</v>
      </c>
      <c r="V7" s="2">
        <f ca="1">IF(NOT(ISNUMBER(anim[[#This Row],[Published]])), "", _xlfn.DAYS(TODAY(), anim[[#This Row],[Published]]))</f>
        <v>29</v>
      </c>
    </row>
    <row r="8" spans="1:22" ht="30" customHeight="1" x14ac:dyDescent="0.25">
      <c r="A8" s="3" t="str">
        <f>metaSHOTS[[#This Row],[Shot]]</f>
        <v>010_060</v>
      </c>
      <c r="B8" s="2" t="e" vm="5">
        <f>metaSHOTS[[#This Row],[Thumbnail]]</f>
        <v>#VALUE!</v>
      </c>
      <c r="C8" s="86" t="b">
        <v>0</v>
      </c>
      <c r="D8" s="186" t="s">
        <v>324</v>
      </c>
      <c r="E8" s="2">
        <f>metaSHOTS[[#This Row],[Start]]</f>
        <v>1</v>
      </c>
      <c r="F8" s="2">
        <f>metaSHOTS[[#This Row],[End]]</f>
        <v>76</v>
      </c>
      <c r="G8" s="2">
        <f>metaSHOTS[[#This Row],[Duration]]</f>
        <v>76</v>
      </c>
      <c r="H8" s="189" t="s">
        <v>312</v>
      </c>
      <c r="I8" s="189" t="s">
        <v>18</v>
      </c>
      <c r="J8"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8" s="2">
        <v>4</v>
      </c>
      <c r="L8" s="185">
        <v>1</v>
      </c>
      <c r="M8" s="185">
        <v>1</v>
      </c>
      <c r="N8" s="185">
        <v>1</v>
      </c>
      <c r="O8" s="185">
        <v>1</v>
      </c>
      <c r="P8" s="185">
        <v>1</v>
      </c>
      <c r="Q8" s="185">
        <v>1</v>
      </c>
      <c r="R8" s="90" cm="1">
        <f t="array" ref="R8">SUM(anim[[#This Row],[PVR]:[polish]]*anim_ponderation)</f>
        <v>1</v>
      </c>
      <c r="S8" s="84">
        <f>(1-anim[[#This Row],[Progress]])*anim[[#This Row],[Estimated]]</f>
        <v>0</v>
      </c>
      <c r="T8" s="188"/>
      <c r="U8" s="225">
        <v>45341.568749999999</v>
      </c>
      <c r="V8" s="2">
        <f ca="1">IF(NOT(ISNUMBER(anim[[#This Row],[Published]])), "", _xlfn.DAYS(TODAY(), anim[[#This Row],[Published]]))</f>
        <v>29</v>
      </c>
    </row>
    <row r="9" spans="1:22" ht="30" customHeight="1" x14ac:dyDescent="0.25">
      <c r="A9" s="3" t="str">
        <f>metaSHOTS[[#This Row],[Shot]]</f>
        <v>010_070</v>
      </c>
      <c r="B9" s="2" t="e" vm="6">
        <f>metaSHOTS[[#This Row],[Thumbnail]]</f>
        <v>#VALUE!</v>
      </c>
      <c r="C9" s="86" t="b">
        <v>0</v>
      </c>
      <c r="D9" s="186" t="s">
        <v>324</v>
      </c>
      <c r="E9" s="2">
        <f>metaSHOTS[[#This Row],[Start]]</f>
        <v>1</v>
      </c>
      <c r="F9" s="2">
        <f>metaSHOTS[[#This Row],[End]]</f>
        <v>41</v>
      </c>
      <c r="G9" s="2">
        <f>metaSHOTS[[#This Row],[Duration]]</f>
        <v>41</v>
      </c>
      <c r="H9" s="189" t="s">
        <v>312</v>
      </c>
      <c r="I9" s="189" t="s">
        <v>18</v>
      </c>
      <c r="J9"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9" s="2">
        <v>4</v>
      </c>
      <c r="L9" s="185">
        <v>1</v>
      </c>
      <c r="M9" s="185">
        <v>1</v>
      </c>
      <c r="N9" s="185">
        <v>1</v>
      </c>
      <c r="O9" s="185">
        <v>1</v>
      </c>
      <c r="P9" s="185">
        <v>1</v>
      </c>
      <c r="Q9" s="185">
        <v>1</v>
      </c>
      <c r="R9" s="90" cm="1">
        <f t="array" ref="R9">SUM(anim[[#This Row],[PVR]:[polish]]*anim_ponderation)</f>
        <v>1</v>
      </c>
      <c r="S9" s="84">
        <f>(1-anim[[#This Row],[Progress]])*anim[[#This Row],[Estimated]]</f>
        <v>0</v>
      </c>
      <c r="T9" s="188"/>
      <c r="U9" s="225">
        <v>45332.382638888892</v>
      </c>
      <c r="V9" s="2">
        <f ca="1">IF(NOT(ISNUMBER(anim[[#This Row],[Published]])), "", _xlfn.DAYS(TODAY(), anim[[#This Row],[Published]]))</f>
        <v>38</v>
      </c>
    </row>
    <row r="10" spans="1:22" ht="30" customHeight="1" x14ac:dyDescent="0.25">
      <c r="A10" s="3" t="str">
        <f>metaSHOTS[[#This Row],[Shot]]</f>
        <v>010_080</v>
      </c>
      <c r="B10" s="2" t="e" vm="7">
        <f>metaSHOTS[[#This Row],[Thumbnail]]</f>
        <v>#VALUE!</v>
      </c>
      <c r="C10" s="86" t="b">
        <v>0</v>
      </c>
      <c r="D10" s="186" t="s">
        <v>324</v>
      </c>
      <c r="E10" s="2">
        <f>metaSHOTS[[#This Row],[Start]]</f>
        <v>1</v>
      </c>
      <c r="F10" s="2">
        <f>metaSHOTS[[#This Row],[End]]</f>
        <v>18</v>
      </c>
      <c r="G10" s="2">
        <f>metaSHOTS[[#This Row],[Duration]]</f>
        <v>18</v>
      </c>
      <c r="H10" s="189" t="s">
        <v>312</v>
      </c>
      <c r="I10" s="189" t="s">
        <v>18</v>
      </c>
      <c r="J10"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0" s="2">
        <v>5</v>
      </c>
      <c r="L10" s="185">
        <v>1</v>
      </c>
      <c r="M10" s="185">
        <v>1</v>
      </c>
      <c r="N10" s="185">
        <v>1</v>
      </c>
      <c r="O10" s="185">
        <v>1</v>
      </c>
      <c r="P10" s="185">
        <v>1</v>
      </c>
      <c r="Q10" s="185">
        <v>1</v>
      </c>
      <c r="R10" s="90" cm="1">
        <f t="array" ref="R10">SUM(anim[[#This Row],[PVR]:[polish]]*anim_ponderation)</f>
        <v>1</v>
      </c>
      <c r="S10" s="84">
        <f>(1-anim[[#This Row],[Progress]])*anim[[#This Row],[Estimated]]</f>
        <v>0</v>
      </c>
      <c r="T10" s="188"/>
      <c r="U10" s="225">
        <v>45332.473611111112</v>
      </c>
      <c r="V10" s="2">
        <f ca="1">IF(NOT(ISNUMBER(anim[[#This Row],[Published]])), "", _xlfn.DAYS(TODAY(), anim[[#This Row],[Published]]))</f>
        <v>38</v>
      </c>
    </row>
    <row r="11" spans="1:22" ht="30" customHeight="1" x14ac:dyDescent="0.25">
      <c r="A11" s="3" t="str">
        <f>metaSHOTS[[#This Row],[Shot]]</f>
        <v>010_090</v>
      </c>
      <c r="B11" s="2" t="e" vm="8">
        <f>metaSHOTS[[#This Row],[Thumbnail]]</f>
        <v>#VALUE!</v>
      </c>
      <c r="C11" s="86" t="b">
        <v>0</v>
      </c>
      <c r="D11" s="186" t="s">
        <v>324</v>
      </c>
      <c r="E11" s="2">
        <f>metaSHOTS[[#This Row],[Start]]</f>
        <v>2</v>
      </c>
      <c r="F11" s="2">
        <f>metaSHOTS[[#This Row],[End]]</f>
        <v>9</v>
      </c>
      <c r="G11" s="2">
        <f>metaSHOTS[[#This Row],[Duration]]</f>
        <v>8</v>
      </c>
      <c r="H11" s="189" t="s">
        <v>312</v>
      </c>
      <c r="I11" s="189" t="s">
        <v>18</v>
      </c>
      <c r="J11"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1" s="2">
        <v>3</v>
      </c>
      <c r="L11" s="185">
        <v>1</v>
      </c>
      <c r="M11" s="185">
        <v>1</v>
      </c>
      <c r="N11" s="185">
        <v>1</v>
      </c>
      <c r="O11" s="185">
        <v>1</v>
      </c>
      <c r="P11" s="185">
        <v>1</v>
      </c>
      <c r="Q11" s="185">
        <v>1</v>
      </c>
      <c r="R11" s="90" cm="1">
        <f t="array" ref="R11">SUM(anim[[#This Row],[PVR]:[polish]]*anim_ponderation)</f>
        <v>1</v>
      </c>
      <c r="S11" s="84">
        <f>(1-anim[[#This Row],[Progress]])*anim[[#This Row],[Estimated]]</f>
        <v>0</v>
      </c>
      <c r="T11" s="188"/>
      <c r="U11" s="225">
        <v>45332.475694444445</v>
      </c>
      <c r="V11" s="2">
        <f ca="1">IF(NOT(ISNUMBER(anim[[#This Row],[Published]])), "", _xlfn.DAYS(TODAY(), anim[[#This Row],[Published]]))</f>
        <v>38</v>
      </c>
    </row>
    <row r="12" spans="1:22" ht="30" customHeight="1" x14ac:dyDescent="0.25">
      <c r="A12" s="3" t="str">
        <f>metaSHOTS[[#This Row],[Shot]]</f>
        <v>010_100</v>
      </c>
      <c r="B12" s="2" t="e" vm="9">
        <f>metaSHOTS[[#This Row],[Thumbnail]]</f>
        <v>#VALUE!</v>
      </c>
      <c r="C12" s="86" t="b">
        <v>0</v>
      </c>
      <c r="D12" s="186" t="s">
        <v>324</v>
      </c>
      <c r="E12" s="2">
        <f>metaSHOTS[[#This Row],[Start]]</f>
        <v>1</v>
      </c>
      <c r="F12" s="2">
        <f>metaSHOTS[[#This Row],[End]]</f>
        <v>75</v>
      </c>
      <c r="G12" s="2">
        <f>metaSHOTS[[#This Row],[Duration]]</f>
        <v>75</v>
      </c>
      <c r="H12" s="189" t="s">
        <v>311</v>
      </c>
      <c r="I12" s="189" t="s">
        <v>18</v>
      </c>
      <c r="J12"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2" s="2">
        <v>11</v>
      </c>
      <c r="L12" s="185">
        <v>1</v>
      </c>
      <c r="M12" s="185">
        <v>1</v>
      </c>
      <c r="N12" s="185">
        <v>1</v>
      </c>
      <c r="O12" s="185">
        <v>1</v>
      </c>
      <c r="P12" s="185">
        <v>1</v>
      </c>
      <c r="Q12" s="185">
        <v>1</v>
      </c>
      <c r="R12" s="90" cm="1">
        <f t="array" ref="R12">SUM(anim[[#This Row],[PVR]:[polish]]*anim_ponderation)</f>
        <v>1</v>
      </c>
      <c r="S12" s="84">
        <f>(1-anim[[#This Row],[Progress]])*anim[[#This Row],[Estimated]]</f>
        <v>0</v>
      </c>
      <c r="T12" s="188"/>
      <c r="U12" s="225">
        <v>45342.617361111108</v>
      </c>
      <c r="V12" s="2">
        <f ca="1">IF(NOT(ISNUMBER(anim[[#This Row],[Published]])), "", _xlfn.DAYS(TODAY(), anim[[#This Row],[Published]]))</f>
        <v>28</v>
      </c>
    </row>
    <row r="13" spans="1:22" ht="30" customHeight="1" x14ac:dyDescent="0.25">
      <c r="A13" s="3" t="str">
        <f>metaSHOTS[[#This Row],[Shot]]</f>
        <v>010_110</v>
      </c>
      <c r="B13" s="2" t="e" vm="10">
        <f>metaSHOTS[[#This Row],[Thumbnail]]</f>
        <v>#VALUE!</v>
      </c>
      <c r="C13" s="86" t="b">
        <v>0</v>
      </c>
      <c r="D13" s="186" t="s">
        <v>324</v>
      </c>
      <c r="E13" s="2">
        <f>metaSHOTS[[#This Row],[Start]]</f>
        <v>1</v>
      </c>
      <c r="F13" s="2">
        <f>metaSHOTS[[#This Row],[End]]</f>
        <v>52</v>
      </c>
      <c r="G13" s="2">
        <f>metaSHOTS[[#This Row],[Duration]]</f>
        <v>52</v>
      </c>
      <c r="H13" s="189" t="s">
        <v>312</v>
      </c>
      <c r="I13" s="189" t="s">
        <v>18</v>
      </c>
      <c r="J13"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3" s="2">
        <v>9</v>
      </c>
      <c r="L13" s="185">
        <v>1</v>
      </c>
      <c r="M13" s="185">
        <v>1</v>
      </c>
      <c r="N13" s="185">
        <v>1</v>
      </c>
      <c r="O13" s="185">
        <v>1</v>
      </c>
      <c r="P13" s="185">
        <v>1</v>
      </c>
      <c r="Q13" s="185">
        <v>1</v>
      </c>
      <c r="R13" s="90" cm="1">
        <f t="array" ref="R13">SUM(anim[[#This Row],[PVR]:[polish]]*anim_ponderation)</f>
        <v>1</v>
      </c>
      <c r="S13" s="84">
        <f>(1-anim[[#This Row],[Progress]])*anim[[#This Row],[Estimated]]</f>
        <v>0</v>
      </c>
      <c r="T13" s="188"/>
      <c r="U13" s="225">
        <v>45342.625694444447</v>
      </c>
      <c r="V13" s="2">
        <f ca="1">IF(NOT(ISNUMBER(anim[[#This Row],[Published]])), "", _xlfn.DAYS(TODAY(), anim[[#This Row],[Published]]))</f>
        <v>28</v>
      </c>
    </row>
    <row r="14" spans="1:22" ht="30" customHeight="1" x14ac:dyDescent="0.25">
      <c r="A14" s="3" t="str">
        <f>metaSHOTS[[#This Row],[Shot]]</f>
        <v>010_160</v>
      </c>
      <c r="B14" s="2" t="e" vm="11">
        <f>metaSHOTS[[#This Row],[Thumbnail]]</f>
        <v>#VALUE!</v>
      </c>
      <c r="C14" s="86" t="b">
        <v>0</v>
      </c>
      <c r="D14" s="186" t="s">
        <v>324</v>
      </c>
      <c r="E14" s="2">
        <f>metaSHOTS[[#This Row],[Start]]</f>
        <v>1</v>
      </c>
      <c r="F14" s="2">
        <f>metaSHOTS[[#This Row],[End]]</f>
        <v>21</v>
      </c>
      <c r="G14" s="2">
        <f>metaSHOTS[[#This Row],[Duration]]</f>
        <v>21</v>
      </c>
      <c r="H14" s="189" t="s">
        <v>312</v>
      </c>
      <c r="I14" s="189" t="s">
        <v>18</v>
      </c>
      <c r="J14"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4" s="2">
        <v>8</v>
      </c>
      <c r="L14" s="185">
        <v>1</v>
      </c>
      <c r="M14" s="185">
        <v>1</v>
      </c>
      <c r="N14" s="185">
        <v>1</v>
      </c>
      <c r="O14" s="185">
        <v>1</v>
      </c>
      <c r="P14" s="185">
        <v>1</v>
      </c>
      <c r="Q14" s="185">
        <v>1</v>
      </c>
      <c r="R14" s="90" cm="1">
        <f t="array" ref="R14">SUM(anim[[#This Row],[PVR]:[polish]]*anim_ponderation)</f>
        <v>1</v>
      </c>
      <c r="S14" s="84">
        <f>(1-anim[[#This Row],[Progress]])*anim[[#This Row],[Estimated]]</f>
        <v>0</v>
      </c>
      <c r="T14" s="188"/>
      <c r="U14" s="225">
        <v>45344.39166666667</v>
      </c>
      <c r="V14" s="2">
        <f ca="1">IF(NOT(ISNUMBER(anim[[#This Row],[Published]])), "", _xlfn.DAYS(TODAY(), anim[[#This Row],[Published]]))</f>
        <v>26</v>
      </c>
    </row>
    <row r="15" spans="1:22" ht="30" customHeight="1" x14ac:dyDescent="0.25">
      <c r="A15" s="3" t="str">
        <f>metaSHOTS[[#This Row],[Shot]]</f>
        <v>010_170</v>
      </c>
      <c r="B15" s="2" t="e" vm="12">
        <f>metaSHOTS[[#This Row],[Thumbnail]]</f>
        <v>#VALUE!</v>
      </c>
      <c r="C15" s="86" t="b">
        <v>0</v>
      </c>
      <c r="D15" s="186" t="s">
        <v>324</v>
      </c>
      <c r="E15" s="2">
        <f>metaSHOTS[[#This Row],[Start]]</f>
        <v>1</v>
      </c>
      <c r="F15" s="2">
        <f>metaSHOTS[[#This Row],[End]]</f>
        <v>17</v>
      </c>
      <c r="G15" s="2">
        <f>metaSHOTS[[#This Row],[Duration]]</f>
        <v>17</v>
      </c>
      <c r="H15" s="189" t="s">
        <v>312</v>
      </c>
      <c r="I15" s="189" t="s">
        <v>18</v>
      </c>
      <c r="J15"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5" s="2">
        <v>6</v>
      </c>
      <c r="L15" s="185">
        <v>1</v>
      </c>
      <c r="M15" s="185">
        <v>1</v>
      </c>
      <c r="N15" s="185">
        <v>1</v>
      </c>
      <c r="O15" s="185">
        <v>1</v>
      </c>
      <c r="P15" s="185">
        <v>1</v>
      </c>
      <c r="Q15" s="185">
        <v>1</v>
      </c>
      <c r="R15" s="90" cm="1">
        <f t="array" ref="R15">SUM(anim[[#This Row],[PVR]:[polish]]*anim_ponderation)</f>
        <v>1</v>
      </c>
      <c r="S15" s="84">
        <f>(1-anim[[#This Row],[Progress]])*anim[[#This Row],[Estimated]]</f>
        <v>0</v>
      </c>
      <c r="T15" s="188"/>
      <c r="U15" s="225">
        <v>45341.744444444441</v>
      </c>
      <c r="V15" s="2">
        <f ca="1">IF(NOT(ISNUMBER(anim[[#This Row],[Published]])), "", _xlfn.DAYS(TODAY(), anim[[#This Row],[Published]]))</f>
        <v>29</v>
      </c>
    </row>
    <row r="16" spans="1:22" ht="30" customHeight="1" x14ac:dyDescent="0.25">
      <c r="A16" s="3" t="str">
        <f>metaSHOTS[[#This Row],[Shot]]</f>
        <v>010_180</v>
      </c>
      <c r="B16" s="2" t="e" vm="13">
        <f>metaSHOTS[[#This Row],[Thumbnail]]</f>
        <v>#VALUE!</v>
      </c>
      <c r="C16" s="86" t="b">
        <v>0</v>
      </c>
      <c r="D16" s="186" t="s">
        <v>324</v>
      </c>
      <c r="E16" s="2">
        <f>metaSHOTS[[#This Row],[Start]]</f>
        <v>1</v>
      </c>
      <c r="F16" s="2">
        <f>metaSHOTS[[#This Row],[End]]</f>
        <v>124</v>
      </c>
      <c r="G16" s="2">
        <f>metaSHOTS[[#This Row],[Duration]]</f>
        <v>124</v>
      </c>
      <c r="H16" s="189" t="s">
        <v>311</v>
      </c>
      <c r="I16" s="189" t="s">
        <v>18</v>
      </c>
      <c r="J16"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6" s="2">
        <v>9</v>
      </c>
      <c r="L16" s="185">
        <v>1</v>
      </c>
      <c r="M16" s="185">
        <v>1</v>
      </c>
      <c r="N16" s="185">
        <v>1</v>
      </c>
      <c r="O16" s="185">
        <v>1</v>
      </c>
      <c r="P16" s="185">
        <v>1</v>
      </c>
      <c r="Q16" s="185">
        <v>1</v>
      </c>
      <c r="R16" s="90" cm="1">
        <f t="array" ref="R16">SUM(anim[[#This Row],[PVR]:[polish]]*anim_ponderation)</f>
        <v>1</v>
      </c>
      <c r="S16" s="84">
        <f>(1-anim[[#This Row],[Progress]])*anim[[#This Row],[Estimated]]</f>
        <v>0</v>
      </c>
      <c r="T16" s="188"/>
      <c r="U16" s="225">
        <v>45359.763194444444</v>
      </c>
      <c r="V16" s="2">
        <f ca="1">IF(NOT(ISNUMBER(anim[[#This Row],[Published]])), "", _xlfn.DAYS(TODAY(), anim[[#This Row],[Published]]))</f>
        <v>11</v>
      </c>
    </row>
    <row r="17" spans="1:22" ht="30" customHeight="1" x14ac:dyDescent="0.25">
      <c r="A17" s="3" t="str">
        <f>metaSHOTS[[#This Row],[Shot]]</f>
        <v>010_190</v>
      </c>
      <c r="B17" s="2" t="e" vm="14">
        <f>metaSHOTS[[#This Row],[Thumbnail]]</f>
        <v>#VALUE!</v>
      </c>
      <c r="C17" s="86" t="b">
        <v>0</v>
      </c>
      <c r="D17" s="186" t="s">
        <v>324</v>
      </c>
      <c r="E17" s="2">
        <f>metaSHOTS[[#This Row],[Start]]</f>
        <v>1</v>
      </c>
      <c r="F17" s="2">
        <f>metaSHOTS[[#This Row],[End]]</f>
        <v>121</v>
      </c>
      <c r="G17" s="2">
        <f>metaSHOTS[[#This Row],[Duration]]</f>
        <v>121</v>
      </c>
      <c r="H17" s="189" t="s">
        <v>311</v>
      </c>
      <c r="I17" s="189" t="s">
        <v>18</v>
      </c>
      <c r="J17"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In Progress</v>
      </c>
      <c r="K17" s="2">
        <v>5</v>
      </c>
      <c r="L17" s="185">
        <v>1</v>
      </c>
      <c r="M17" s="185">
        <v>1</v>
      </c>
      <c r="N17" s="185">
        <v>1</v>
      </c>
      <c r="O17" s="185">
        <v>1</v>
      </c>
      <c r="P17" s="185">
        <v>1</v>
      </c>
      <c r="Q17" s="185">
        <v>0.9</v>
      </c>
      <c r="R17" s="90" cm="1">
        <f t="array" ref="R17">SUM(anim[[#This Row],[PVR]:[polish]]*anim_ponderation)</f>
        <v>0.97000000000000008</v>
      </c>
      <c r="S17" s="84">
        <f>(1-anim[[#This Row],[Progress]])*anim[[#This Row],[Estimated]]</f>
        <v>0.14999999999999958</v>
      </c>
      <c r="T17" s="188"/>
      <c r="U17" s="225">
        <v>45342.566666666666</v>
      </c>
      <c r="V17" s="2">
        <f ca="1">IF(NOT(ISNUMBER(anim[[#This Row],[Published]])), "", _xlfn.DAYS(TODAY(), anim[[#This Row],[Published]]))</f>
        <v>28</v>
      </c>
    </row>
    <row r="18" spans="1:22" ht="30" customHeight="1" x14ac:dyDescent="0.25">
      <c r="A18" s="3" t="str">
        <f>metaSHOTS[[#This Row],[Shot]]</f>
        <v>010_200</v>
      </c>
      <c r="B18" s="2" t="e" vm="15">
        <f>metaSHOTS[[#This Row],[Thumbnail]]</f>
        <v>#VALUE!</v>
      </c>
      <c r="C18" s="86" t="b">
        <v>0</v>
      </c>
      <c r="D18" s="186" t="s">
        <v>324</v>
      </c>
      <c r="E18" s="2">
        <f>metaSHOTS[[#This Row],[Start]]</f>
        <v>1</v>
      </c>
      <c r="F18" s="2">
        <f>metaSHOTS[[#This Row],[End]]</f>
        <v>121</v>
      </c>
      <c r="G18" s="2">
        <f>metaSHOTS[[#This Row],[Duration]]</f>
        <v>121</v>
      </c>
      <c r="H18" s="189" t="s">
        <v>312</v>
      </c>
      <c r="I18" s="189" t="s">
        <v>18</v>
      </c>
      <c r="J18"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8" s="2">
        <v>7</v>
      </c>
      <c r="L18" s="185">
        <v>1</v>
      </c>
      <c r="M18" s="185">
        <v>1</v>
      </c>
      <c r="N18" s="185">
        <v>1</v>
      </c>
      <c r="O18" s="185">
        <v>1</v>
      </c>
      <c r="P18" s="185">
        <v>1</v>
      </c>
      <c r="Q18" s="185">
        <v>1</v>
      </c>
      <c r="R18" s="90" cm="1">
        <f t="array" ref="R18">SUM(anim[[#This Row],[PVR]:[polish]]*anim_ponderation)</f>
        <v>1</v>
      </c>
      <c r="S18" s="84">
        <f>(1-anim[[#This Row],[Progress]])*anim[[#This Row],[Estimated]]</f>
        <v>0</v>
      </c>
      <c r="T18" s="188"/>
      <c r="U18" s="225">
        <v>45332.467361111114</v>
      </c>
      <c r="V18" s="2">
        <f ca="1">IF(NOT(ISNUMBER(anim[[#This Row],[Published]])), "", _xlfn.DAYS(TODAY(), anim[[#This Row],[Published]]))</f>
        <v>38</v>
      </c>
    </row>
    <row r="19" spans="1:22" ht="30" customHeight="1" x14ac:dyDescent="0.25">
      <c r="A19" s="3" t="str">
        <f>metaSHOTS[[#This Row],[Shot]]</f>
        <v>020_020</v>
      </c>
      <c r="B19" s="2" t="e" vm="16">
        <f>metaSHOTS[[#This Row],[Thumbnail]]</f>
        <v>#VALUE!</v>
      </c>
      <c r="C19" s="86" t="b">
        <v>0</v>
      </c>
      <c r="D19" s="186" t="s">
        <v>324</v>
      </c>
      <c r="E19" s="2">
        <f>metaSHOTS[[#This Row],[Start]]</f>
        <v>1</v>
      </c>
      <c r="F19" s="2">
        <f>metaSHOTS[[#This Row],[End]]</f>
        <v>102</v>
      </c>
      <c r="G19" s="2">
        <f>metaSHOTS[[#This Row],[Duration]]</f>
        <v>102</v>
      </c>
      <c r="H19" s="189" t="s">
        <v>312</v>
      </c>
      <c r="I19" s="189" t="s">
        <v>18</v>
      </c>
      <c r="J19"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19" s="2">
        <v>4</v>
      </c>
      <c r="L19" s="185">
        <v>1</v>
      </c>
      <c r="M19" s="185">
        <v>1</v>
      </c>
      <c r="N19" s="185">
        <v>1</v>
      </c>
      <c r="O19" s="185">
        <v>1</v>
      </c>
      <c r="P19" s="185">
        <v>1</v>
      </c>
      <c r="Q19" s="185">
        <v>1</v>
      </c>
      <c r="R19" s="90" cm="1">
        <f t="array" ref="R19">SUM(anim[[#This Row],[PVR]:[polish]]*anim_ponderation)</f>
        <v>1</v>
      </c>
      <c r="S19" s="84">
        <f>(1-anim[[#This Row],[Progress]])*anim[[#This Row],[Estimated]]</f>
        <v>0</v>
      </c>
      <c r="T19" s="188"/>
      <c r="U19" s="225">
        <v>45347.566666666666</v>
      </c>
      <c r="V19" s="2">
        <f ca="1">IF(NOT(ISNUMBER(anim[[#This Row],[Published]])), "", _xlfn.DAYS(TODAY(), anim[[#This Row],[Published]]))</f>
        <v>23</v>
      </c>
    </row>
    <row r="20" spans="1:22" ht="30" customHeight="1" x14ac:dyDescent="0.25">
      <c r="A20" s="3" t="str">
        <f>metaSHOTS[[#This Row],[Shot]]</f>
        <v>020_030</v>
      </c>
      <c r="B20" s="2" t="e" vm="17">
        <f>metaSHOTS[[#This Row],[Thumbnail]]</f>
        <v>#VALUE!</v>
      </c>
      <c r="C20" s="86" t="b">
        <v>0</v>
      </c>
      <c r="D20" s="186" t="s">
        <v>324</v>
      </c>
      <c r="E20" s="2">
        <f>metaSHOTS[[#This Row],[Start]]</f>
        <v>1</v>
      </c>
      <c r="F20" s="2">
        <f>metaSHOTS[[#This Row],[End]]</f>
        <v>107</v>
      </c>
      <c r="G20" s="2">
        <f>metaSHOTS[[#This Row],[Duration]]</f>
        <v>107</v>
      </c>
      <c r="H20" s="189" t="s">
        <v>311</v>
      </c>
      <c r="I20" s="189" t="s">
        <v>18</v>
      </c>
      <c r="J20"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0" s="2">
        <v>6</v>
      </c>
      <c r="L20" s="185">
        <v>1</v>
      </c>
      <c r="M20" s="185">
        <v>1</v>
      </c>
      <c r="N20" s="185">
        <v>1</v>
      </c>
      <c r="O20" s="185">
        <v>1</v>
      </c>
      <c r="P20" s="185">
        <v>1</v>
      </c>
      <c r="Q20" s="185">
        <v>1</v>
      </c>
      <c r="R20" s="90" cm="1">
        <f t="array" ref="R20">SUM(anim[[#This Row],[PVR]:[polish]]*anim_ponderation)</f>
        <v>1</v>
      </c>
      <c r="S20" s="84">
        <f>(1-anim[[#This Row],[Progress]])*anim[[#This Row],[Estimated]]</f>
        <v>0</v>
      </c>
      <c r="T20" s="189"/>
      <c r="U20" s="225">
        <v>45347.566666666666</v>
      </c>
      <c r="V20" s="2">
        <f ca="1">IF(NOT(ISNUMBER(anim[[#This Row],[Published]])), "", _xlfn.DAYS(TODAY(), anim[[#This Row],[Published]]))</f>
        <v>23</v>
      </c>
    </row>
    <row r="21" spans="1:22" ht="30" customHeight="1" x14ac:dyDescent="0.25">
      <c r="A21" s="3" t="str">
        <f>metaSHOTS[[#This Row],[Shot]]</f>
        <v>020_040</v>
      </c>
      <c r="B21" s="2" t="e" vm="18">
        <f>metaSHOTS[[#This Row],[Thumbnail]]</f>
        <v>#VALUE!</v>
      </c>
      <c r="C21" s="86" t="b">
        <v>0</v>
      </c>
      <c r="D21" s="186" t="s">
        <v>324</v>
      </c>
      <c r="E21" s="2">
        <f>metaSHOTS[[#This Row],[Start]]</f>
        <v>1</v>
      </c>
      <c r="F21" s="2">
        <f>metaSHOTS[[#This Row],[End]]</f>
        <v>43</v>
      </c>
      <c r="G21" s="2">
        <f>metaSHOTS[[#This Row],[Duration]]</f>
        <v>43</v>
      </c>
      <c r="H21" s="189" t="s">
        <v>312</v>
      </c>
      <c r="I21" s="189" t="s">
        <v>18</v>
      </c>
      <c r="J21"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1" s="2">
        <v>7</v>
      </c>
      <c r="L21" s="185">
        <v>1</v>
      </c>
      <c r="M21" s="185">
        <v>1</v>
      </c>
      <c r="N21" s="185">
        <v>1</v>
      </c>
      <c r="O21" s="185">
        <v>1</v>
      </c>
      <c r="P21" s="185">
        <v>1</v>
      </c>
      <c r="Q21" s="185">
        <v>1</v>
      </c>
      <c r="R21" s="90" cm="1">
        <f t="array" ref="R21">SUM(anim[[#This Row],[PVR]:[polish]]*anim_ponderation)</f>
        <v>1</v>
      </c>
      <c r="S21" s="84">
        <f>(1-anim[[#This Row],[Progress]])*anim[[#This Row],[Estimated]]</f>
        <v>0</v>
      </c>
      <c r="T21" s="188"/>
      <c r="U21" s="225">
        <v>45347.572222222225</v>
      </c>
      <c r="V21" s="2">
        <f ca="1">IF(NOT(ISNUMBER(anim[[#This Row],[Published]])), "", _xlfn.DAYS(TODAY(), anim[[#This Row],[Published]]))</f>
        <v>23</v>
      </c>
    </row>
    <row r="22" spans="1:22" ht="30" customHeight="1" x14ac:dyDescent="0.25">
      <c r="A22" s="3" t="str">
        <f>metaSHOTS[[#This Row],[Shot]]</f>
        <v>020_050</v>
      </c>
      <c r="B22" s="2" t="e" vm="19">
        <f>metaSHOTS[[#This Row],[Thumbnail]]</f>
        <v>#VALUE!</v>
      </c>
      <c r="C22" s="86" t="b">
        <v>0</v>
      </c>
      <c r="D22" s="186" t="s">
        <v>324</v>
      </c>
      <c r="E22" s="2">
        <f>metaSHOTS[[#This Row],[Start]]</f>
        <v>1</v>
      </c>
      <c r="F22" s="2">
        <f>metaSHOTS[[#This Row],[End]]</f>
        <v>227</v>
      </c>
      <c r="G22" s="2">
        <f>metaSHOTS[[#This Row],[Duration]]</f>
        <v>227</v>
      </c>
      <c r="H22" s="189" t="s">
        <v>312</v>
      </c>
      <c r="I22" s="189" t="s">
        <v>18</v>
      </c>
      <c r="J22"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Needs Fix</v>
      </c>
      <c r="K22" s="2">
        <v>3</v>
      </c>
      <c r="L22" s="185">
        <v>1</v>
      </c>
      <c r="M22" s="185">
        <v>1</v>
      </c>
      <c r="N22" s="185">
        <v>1</v>
      </c>
      <c r="O22" s="185">
        <v>1</v>
      </c>
      <c r="P22" s="185">
        <v>1</v>
      </c>
      <c r="Q22" s="185">
        <v>1</v>
      </c>
      <c r="R22" s="90" cm="1">
        <f t="array" ref="R22">SUM(anim[[#This Row],[PVR]:[polish]]*anim_ponderation)</f>
        <v>1</v>
      </c>
      <c r="S22" s="84">
        <f>(1-anim[[#This Row],[Progress]])*anim[[#This Row],[Estimated]]</f>
        <v>0</v>
      </c>
      <c r="T22" s="188" t="s">
        <v>666</v>
      </c>
      <c r="U22" s="225">
        <v>45347.588888888888</v>
      </c>
      <c r="V22" s="2">
        <f ca="1">IF(NOT(ISNUMBER(anim[[#This Row],[Published]])), "", _xlfn.DAYS(TODAY(), anim[[#This Row],[Published]]))</f>
        <v>23</v>
      </c>
    </row>
    <row r="23" spans="1:22" ht="30" customHeight="1" x14ac:dyDescent="0.25">
      <c r="A23" s="3" t="str">
        <f>metaSHOTS[[#This Row],[Shot]]</f>
        <v>030_020</v>
      </c>
      <c r="B23" s="2" t="e" vm="20">
        <f>metaSHOTS[[#This Row],[Thumbnail]]</f>
        <v>#VALUE!</v>
      </c>
      <c r="C23" s="86" t="b">
        <v>0</v>
      </c>
      <c r="D23" s="186" t="s">
        <v>324</v>
      </c>
      <c r="E23" s="2">
        <f>metaSHOTS[[#This Row],[Start]]</f>
        <v>1</v>
      </c>
      <c r="F23" s="2">
        <f>metaSHOTS[[#This Row],[End]]</f>
        <v>290</v>
      </c>
      <c r="G23" s="2">
        <f>metaSHOTS[[#This Row],[Duration]]</f>
        <v>290</v>
      </c>
      <c r="H23" s="189" t="s">
        <v>312</v>
      </c>
      <c r="I23" s="189" t="s">
        <v>18</v>
      </c>
      <c r="J23"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3" s="2">
        <v>11</v>
      </c>
      <c r="L23" s="185">
        <v>1</v>
      </c>
      <c r="M23" s="185">
        <v>1</v>
      </c>
      <c r="N23" s="185">
        <v>1</v>
      </c>
      <c r="O23" s="185">
        <v>1</v>
      </c>
      <c r="P23" s="185">
        <v>1</v>
      </c>
      <c r="Q23" s="185">
        <v>1</v>
      </c>
      <c r="R23" s="90" cm="1">
        <f t="array" ref="R23">SUM(anim[[#This Row],[PVR]:[polish]]*anim_ponderation)</f>
        <v>1</v>
      </c>
      <c r="S23" s="84">
        <f>(1-anim[[#This Row],[Progress]])*anim[[#This Row],[Estimated]]</f>
        <v>0</v>
      </c>
      <c r="T23" s="188"/>
      <c r="U23" s="225">
        <v>45351.590277777781</v>
      </c>
      <c r="V23" s="2">
        <f ca="1">IF(NOT(ISNUMBER(anim[[#This Row],[Published]])), "", _xlfn.DAYS(TODAY(), anim[[#This Row],[Published]]))</f>
        <v>19</v>
      </c>
    </row>
    <row r="24" spans="1:22" ht="30" customHeight="1" x14ac:dyDescent="0.25">
      <c r="A24" s="3" t="str">
        <f>metaSHOTS[[#This Row],[Shot]]</f>
        <v>030_030</v>
      </c>
      <c r="B24" s="2" t="e" vm="21">
        <f>metaSHOTS[[#This Row],[Thumbnail]]</f>
        <v>#VALUE!</v>
      </c>
      <c r="C24" s="86" t="b">
        <v>0</v>
      </c>
      <c r="D24" s="186" t="s">
        <v>309</v>
      </c>
      <c r="E24" s="2">
        <f>metaSHOTS[[#This Row],[Start]]</f>
        <v>1</v>
      </c>
      <c r="F24" s="2">
        <f>metaSHOTS[[#This Row],[End]]</f>
        <v>141</v>
      </c>
      <c r="G24" s="2">
        <f>metaSHOTS[[#This Row],[Duration]]</f>
        <v>141</v>
      </c>
      <c r="H24" s="189" t="s">
        <v>312</v>
      </c>
      <c r="I24" s="189" t="s">
        <v>12</v>
      </c>
      <c r="J24"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24" s="2">
        <v>8</v>
      </c>
      <c r="L24" s="185">
        <v>1</v>
      </c>
      <c r="M24" s="185">
        <v>1</v>
      </c>
      <c r="N24" s="185">
        <v>1</v>
      </c>
      <c r="O24" s="185">
        <v>1</v>
      </c>
      <c r="P24" s="185">
        <v>1</v>
      </c>
      <c r="Q24" s="185">
        <v>1</v>
      </c>
      <c r="R24" s="90" cm="1">
        <f t="array" ref="R24">SUM(anim[[#This Row],[PVR]:[polish]]*anim_ponderation)</f>
        <v>1</v>
      </c>
      <c r="S24" s="84">
        <f>(1-anim[[#This Row],[Progress]])*anim[[#This Row],[Estimated]]</f>
        <v>0</v>
      </c>
      <c r="T24" s="188"/>
      <c r="U24" s="225">
        <v>45330.520138888889</v>
      </c>
      <c r="V24" s="2">
        <f ca="1">IF(NOT(ISNUMBER(anim[[#This Row],[Published]])), "", _xlfn.DAYS(TODAY(), anim[[#This Row],[Published]]))</f>
        <v>40</v>
      </c>
    </row>
    <row r="25" spans="1:22" ht="30" customHeight="1" x14ac:dyDescent="0.25">
      <c r="A25" s="3" t="str">
        <f>metaSHOTS[[#This Row],[Shot]]</f>
        <v>030_040</v>
      </c>
      <c r="B25" s="2" t="e" vm="22">
        <f>metaSHOTS[[#This Row],[Thumbnail]]</f>
        <v>#VALUE!</v>
      </c>
      <c r="C25" s="86" t="b">
        <v>0</v>
      </c>
      <c r="D25" s="186" t="s">
        <v>324</v>
      </c>
      <c r="E25" s="2">
        <f>metaSHOTS[[#This Row],[Start]]</f>
        <v>1</v>
      </c>
      <c r="F25" s="2">
        <f>metaSHOTS[[#This Row],[End]]</f>
        <v>133</v>
      </c>
      <c r="G25" s="2">
        <f>metaSHOTS[[#This Row],[Duration]]</f>
        <v>133</v>
      </c>
      <c r="H25" s="189" t="s">
        <v>312</v>
      </c>
      <c r="I25" s="189" t="s">
        <v>18</v>
      </c>
      <c r="J25"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5" s="2">
        <v>5</v>
      </c>
      <c r="L25" s="185">
        <v>1</v>
      </c>
      <c r="M25" s="185">
        <v>1</v>
      </c>
      <c r="N25" s="185">
        <v>1</v>
      </c>
      <c r="O25" s="185">
        <v>1</v>
      </c>
      <c r="P25" s="185">
        <v>1</v>
      </c>
      <c r="Q25" s="185">
        <v>1</v>
      </c>
      <c r="R25" s="90" cm="1">
        <f t="array" ref="R25">SUM(anim[[#This Row],[PVR]:[polish]]*anim_ponderation)</f>
        <v>1</v>
      </c>
      <c r="S25" s="84">
        <f>(1-anim[[#This Row],[Progress]])*anim[[#This Row],[Estimated]]</f>
        <v>0</v>
      </c>
      <c r="T25" s="188"/>
      <c r="U25" s="225">
        <v>45359.763194444444</v>
      </c>
      <c r="V25" s="2">
        <f ca="1">IF(NOT(ISNUMBER(anim[[#This Row],[Published]])), "", _xlfn.DAYS(TODAY(), anim[[#This Row],[Published]]))</f>
        <v>11</v>
      </c>
    </row>
    <row r="26" spans="1:22" ht="30" customHeight="1" x14ac:dyDescent="0.25">
      <c r="A26" s="3" t="str">
        <f>metaSHOTS[[#This Row],[Shot]]</f>
        <v>030_060</v>
      </c>
      <c r="B26" s="2" t="e" vm="23">
        <f>metaSHOTS[[#This Row],[Thumbnail]]</f>
        <v>#VALUE!</v>
      </c>
      <c r="C26" s="86" t="b">
        <v>0</v>
      </c>
      <c r="D26" s="186" t="s">
        <v>324</v>
      </c>
      <c r="E26" s="2">
        <f>metaSHOTS[[#This Row],[Start]]</f>
        <v>1</v>
      </c>
      <c r="F26" s="2">
        <f>metaSHOTS[[#This Row],[End]]</f>
        <v>93</v>
      </c>
      <c r="G26" s="2">
        <f>metaSHOTS[[#This Row],[Duration]]</f>
        <v>93</v>
      </c>
      <c r="H26" s="189" t="s">
        <v>310</v>
      </c>
      <c r="I26" s="189" t="s">
        <v>18</v>
      </c>
      <c r="J26"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6" s="2">
        <v>5</v>
      </c>
      <c r="L26" s="185">
        <v>1</v>
      </c>
      <c r="M26" s="185">
        <v>1</v>
      </c>
      <c r="N26" s="185">
        <v>1</v>
      </c>
      <c r="O26" s="185">
        <v>1</v>
      </c>
      <c r="P26" s="185">
        <v>1</v>
      </c>
      <c r="Q26" s="185">
        <v>1</v>
      </c>
      <c r="R26" s="90" cm="1">
        <f t="array" ref="R26">SUM(anim[[#This Row],[PVR]:[polish]]*anim_ponderation)</f>
        <v>1</v>
      </c>
      <c r="S26" s="84">
        <f>(1-anim[[#This Row],[Progress]])*anim[[#This Row],[Estimated]]</f>
        <v>0</v>
      </c>
      <c r="T26" s="188"/>
      <c r="U26" s="202">
        <v>45359.763194444444</v>
      </c>
      <c r="V26" s="2">
        <f ca="1">IF(NOT(ISNUMBER(anim[[#This Row],[Published]])), "", _xlfn.DAYS(TODAY(), anim[[#This Row],[Published]]))</f>
        <v>11</v>
      </c>
    </row>
    <row r="27" spans="1:22" ht="30" customHeight="1" x14ac:dyDescent="0.25">
      <c r="A27" s="3" t="str">
        <f>metaSHOTS[[#This Row],[Shot]]</f>
        <v>030_070</v>
      </c>
      <c r="B27" s="2" t="e" vm="24">
        <f>metaSHOTS[[#This Row],[Thumbnail]]</f>
        <v>#VALUE!</v>
      </c>
      <c r="C27" s="86" t="b">
        <v>0</v>
      </c>
      <c r="D27" s="186" t="s">
        <v>324</v>
      </c>
      <c r="E27" s="2">
        <f>metaSHOTS[[#This Row],[Start]]</f>
        <v>1</v>
      </c>
      <c r="F27" s="2">
        <f>metaSHOTS[[#This Row],[End]]</f>
        <v>19</v>
      </c>
      <c r="G27" s="2">
        <f>metaSHOTS[[#This Row],[Duration]]</f>
        <v>19</v>
      </c>
      <c r="H27" s="189" t="s">
        <v>312</v>
      </c>
      <c r="I27" s="189" t="s">
        <v>18</v>
      </c>
      <c r="J27"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7" s="2">
        <v>6</v>
      </c>
      <c r="L27" s="185">
        <v>1</v>
      </c>
      <c r="M27" s="185">
        <v>1</v>
      </c>
      <c r="N27" s="185">
        <v>1</v>
      </c>
      <c r="O27" s="185">
        <v>1</v>
      </c>
      <c r="P27" s="185">
        <v>1</v>
      </c>
      <c r="Q27" s="185">
        <v>1</v>
      </c>
      <c r="R27" s="90" cm="1">
        <f t="array" ref="R27">SUM(anim[[#This Row],[PVR]:[polish]]*anim_ponderation)</f>
        <v>1</v>
      </c>
      <c r="S27" s="84">
        <f>(1-anim[[#This Row],[Progress]])*anim[[#This Row],[Estimated]]</f>
        <v>0</v>
      </c>
      <c r="T27" s="188"/>
      <c r="U27" s="225">
        <v>45355.438194444447</v>
      </c>
      <c r="V27" s="2">
        <f ca="1">IF(NOT(ISNUMBER(anim[[#This Row],[Published]])), "", _xlfn.DAYS(TODAY(), anim[[#This Row],[Published]]))</f>
        <v>15</v>
      </c>
    </row>
    <row r="28" spans="1:22" ht="30" customHeight="1" x14ac:dyDescent="0.25">
      <c r="A28" s="3" t="str">
        <f>metaSHOTS[[#This Row],[Shot]]</f>
        <v>030_080</v>
      </c>
      <c r="B28" s="2" t="e" vm="25">
        <f>metaSHOTS[[#This Row],[Thumbnail]]</f>
        <v>#VALUE!</v>
      </c>
      <c r="C28" s="86" t="b">
        <v>0</v>
      </c>
      <c r="D28" s="186" t="s">
        <v>324</v>
      </c>
      <c r="E28" s="2">
        <f>metaSHOTS[[#This Row],[Start]]</f>
        <v>1</v>
      </c>
      <c r="F28" s="2">
        <f>metaSHOTS[[#This Row],[End]]</f>
        <v>51</v>
      </c>
      <c r="G28" s="2">
        <f>metaSHOTS[[#This Row],[Duration]]</f>
        <v>51</v>
      </c>
      <c r="H28" s="189" t="s">
        <v>310</v>
      </c>
      <c r="I28" s="189" t="s">
        <v>18</v>
      </c>
      <c r="J28"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8" s="2">
        <v>13</v>
      </c>
      <c r="L28" s="185">
        <v>1</v>
      </c>
      <c r="M28" s="185">
        <v>1</v>
      </c>
      <c r="N28" s="185">
        <v>1</v>
      </c>
      <c r="O28" s="185">
        <v>1</v>
      </c>
      <c r="P28" s="185">
        <v>1</v>
      </c>
      <c r="Q28" s="185">
        <v>1</v>
      </c>
      <c r="R28" s="90" cm="1">
        <f t="array" ref="R28">SUM(anim[[#This Row],[PVR]:[polish]]*anim_ponderation)</f>
        <v>1</v>
      </c>
      <c r="S28" s="84">
        <f>(1-anim[[#This Row],[Progress]])*anim[[#This Row],[Estimated]]</f>
        <v>0</v>
      </c>
      <c r="T28" s="188"/>
      <c r="U28" s="225">
        <v>45337.811805555553</v>
      </c>
      <c r="V28" s="2">
        <f ca="1">IF(NOT(ISNUMBER(anim[[#This Row],[Published]])), "", _xlfn.DAYS(TODAY(), anim[[#This Row],[Published]]))</f>
        <v>33</v>
      </c>
    </row>
    <row r="29" spans="1:22" ht="30" customHeight="1" x14ac:dyDescent="0.25">
      <c r="A29" s="3" t="str">
        <f>metaSHOTS[[#This Row],[Shot]]</f>
        <v>030_100</v>
      </c>
      <c r="B29" s="2" t="e" vm="26">
        <f>metaSHOTS[[#This Row],[Thumbnail]]</f>
        <v>#VALUE!</v>
      </c>
      <c r="C29" s="86" t="b">
        <v>0</v>
      </c>
      <c r="D29" s="186" t="s">
        <v>324</v>
      </c>
      <c r="E29" s="2">
        <f>metaSHOTS[[#This Row],[Start]]</f>
        <v>1</v>
      </c>
      <c r="F29" s="2">
        <f>metaSHOTS[[#This Row],[End]]</f>
        <v>87</v>
      </c>
      <c r="G29" s="2">
        <f>metaSHOTS[[#This Row],[Duration]]</f>
        <v>87</v>
      </c>
      <c r="H29" s="189" t="s">
        <v>311</v>
      </c>
      <c r="I29" s="189" t="s">
        <v>18</v>
      </c>
      <c r="J29"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29" s="2">
        <v>15</v>
      </c>
      <c r="L29" s="185">
        <v>1</v>
      </c>
      <c r="M29" s="185">
        <v>1</v>
      </c>
      <c r="N29" s="185">
        <v>1</v>
      </c>
      <c r="O29" s="185">
        <v>1</v>
      </c>
      <c r="P29" s="185">
        <v>1</v>
      </c>
      <c r="Q29" s="185">
        <v>1</v>
      </c>
      <c r="R29" s="90" cm="1">
        <f t="array" ref="R29">SUM(anim[[#This Row],[PVR]:[polish]]*anim_ponderation)</f>
        <v>1</v>
      </c>
      <c r="S29" s="84">
        <f>(1-anim[[#This Row],[Progress]])*anim[[#This Row],[Estimated]]</f>
        <v>0</v>
      </c>
      <c r="T29" s="188"/>
      <c r="U29" s="225">
        <v>45355.441666666666</v>
      </c>
      <c r="V29" s="2">
        <f ca="1">IF(NOT(ISNUMBER(anim[[#This Row],[Published]])), "", _xlfn.DAYS(TODAY(), anim[[#This Row],[Published]]))</f>
        <v>15</v>
      </c>
    </row>
    <row r="30" spans="1:22" ht="30" customHeight="1" x14ac:dyDescent="0.25">
      <c r="A30" s="3" t="str">
        <f>metaSHOTS[[#This Row],[Shot]]</f>
        <v>030_110</v>
      </c>
      <c r="B30" s="2" t="e" vm="27">
        <f>metaSHOTS[[#This Row],[Thumbnail]]</f>
        <v>#VALUE!</v>
      </c>
      <c r="C30" s="86" t="b">
        <v>0</v>
      </c>
      <c r="D30" s="186" t="s">
        <v>324</v>
      </c>
      <c r="E30" s="2">
        <f>metaSHOTS[[#This Row],[Start]]</f>
        <v>1</v>
      </c>
      <c r="F30" s="2">
        <f>metaSHOTS[[#This Row],[End]]</f>
        <v>64</v>
      </c>
      <c r="G30" s="2">
        <f>metaSHOTS[[#This Row],[Duration]]</f>
        <v>64</v>
      </c>
      <c r="H30" s="189" t="s">
        <v>311</v>
      </c>
      <c r="I30" s="189" t="s">
        <v>18</v>
      </c>
      <c r="J30"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0" s="2">
        <v>9</v>
      </c>
      <c r="L30" s="185">
        <v>1</v>
      </c>
      <c r="M30" s="185">
        <v>1</v>
      </c>
      <c r="N30" s="185">
        <v>1</v>
      </c>
      <c r="O30" s="185">
        <v>1</v>
      </c>
      <c r="P30" s="185">
        <v>1</v>
      </c>
      <c r="Q30" s="185">
        <v>1</v>
      </c>
      <c r="R30" s="90" cm="1">
        <f t="array" ref="R30">SUM(anim[[#This Row],[PVR]:[polish]]*anim_ponderation)</f>
        <v>1</v>
      </c>
      <c r="S30" s="84">
        <f>(1-anim[[#This Row],[Progress]])*anim[[#This Row],[Estimated]]</f>
        <v>0</v>
      </c>
      <c r="T30" s="188"/>
      <c r="U30" s="225">
        <v>45355.6875</v>
      </c>
      <c r="V30" s="2">
        <f ca="1">IF(NOT(ISNUMBER(anim[[#This Row],[Published]])), "", _xlfn.DAYS(TODAY(), anim[[#This Row],[Published]]))</f>
        <v>15</v>
      </c>
    </row>
    <row r="31" spans="1:22" ht="30" customHeight="1" x14ac:dyDescent="0.25">
      <c r="A31" s="3" t="str">
        <f>metaSHOTS[[#This Row],[Shot]]</f>
        <v>030_120</v>
      </c>
      <c r="B31" s="2" t="e" vm="28">
        <f>metaSHOTS[[#This Row],[Thumbnail]]</f>
        <v>#VALUE!</v>
      </c>
      <c r="C31" s="86" t="b">
        <v>0</v>
      </c>
      <c r="D31" s="186" t="s">
        <v>324</v>
      </c>
      <c r="E31" s="2">
        <f>metaSHOTS[[#This Row],[Start]]</f>
        <v>1</v>
      </c>
      <c r="F31" s="2">
        <f>metaSHOTS[[#This Row],[End]]</f>
        <v>71</v>
      </c>
      <c r="G31" s="2">
        <f>metaSHOTS[[#This Row],[Duration]]</f>
        <v>71</v>
      </c>
      <c r="H31" s="189" t="s">
        <v>311</v>
      </c>
      <c r="I31" s="189" t="s">
        <v>18</v>
      </c>
      <c r="J31"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1" s="2">
        <v>11</v>
      </c>
      <c r="L31" s="185">
        <v>1</v>
      </c>
      <c r="M31" s="185">
        <v>1</v>
      </c>
      <c r="N31" s="185">
        <v>1</v>
      </c>
      <c r="O31" s="185">
        <v>1</v>
      </c>
      <c r="P31" s="185">
        <v>1</v>
      </c>
      <c r="Q31" s="185">
        <v>1</v>
      </c>
      <c r="R31" s="90" cm="1">
        <f t="array" ref="R31">SUM(anim[[#This Row],[PVR]:[polish]]*anim_ponderation)</f>
        <v>1</v>
      </c>
      <c r="S31" s="84">
        <f>(1-anim[[#This Row],[Progress]])*anim[[#This Row],[Estimated]]</f>
        <v>0</v>
      </c>
      <c r="T31" s="188"/>
      <c r="U31" s="225">
        <v>45337.818055555559</v>
      </c>
      <c r="V31" s="2">
        <f ca="1">IF(NOT(ISNUMBER(anim[[#This Row],[Published]])), "", _xlfn.DAYS(TODAY(), anim[[#This Row],[Published]]))</f>
        <v>33</v>
      </c>
    </row>
    <row r="32" spans="1:22" ht="30" customHeight="1" x14ac:dyDescent="0.25">
      <c r="A32" s="3" t="str">
        <f>metaSHOTS[[#This Row],[Shot]]</f>
        <v>030_130</v>
      </c>
      <c r="B32" s="2" t="e" vm="29">
        <f>metaSHOTS[[#This Row],[Thumbnail]]</f>
        <v>#VALUE!</v>
      </c>
      <c r="C32" s="86" t="b">
        <v>0</v>
      </c>
      <c r="D32" s="186" t="s">
        <v>324</v>
      </c>
      <c r="E32" s="2">
        <f>metaSHOTS[[#This Row],[Start]]</f>
        <v>1</v>
      </c>
      <c r="F32" s="2">
        <f>metaSHOTS[[#This Row],[End]]</f>
        <v>46</v>
      </c>
      <c r="G32" s="2">
        <f>metaSHOTS[[#This Row],[Duration]]</f>
        <v>46</v>
      </c>
      <c r="H32" s="189" t="s">
        <v>311</v>
      </c>
      <c r="I32" s="189" t="s">
        <v>18</v>
      </c>
      <c r="J32"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2" s="2">
        <v>7</v>
      </c>
      <c r="L32" s="185">
        <v>1</v>
      </c>
      <c r="M32" s="185">
        <v>1</v>
      </c>
      <c r="N32" s="185">
        <v>1</v>
      </c>
      <c r="O32" s="185">
        <v>1</v>
      </c>
      <c r="P32" s="185">
        <v>1</v>
      </c>
      <c r="Q32" s="185">
        <v>1</v>
      </c>
      <c r="R32" s="90" cm="1">
        <f t="array" ref="R32">SUM(anim[[#This Row],[PVR]:[polish]]*anim_ponderation)</f>
        <v>1</v>
      </c>
      <c r="S32" s="84">
        <f>(1-anim[[#This Row],[Progress]])*anim[[#This Row],[Estimated]]</f>
        <v>0</v>
      </c>
      <c r="T32" s="188"/>
      <c r="U32" s="225">
        <v>45355.737500000003</v>
      </c>
      <c r="V32" s="2">
        <f ca="1">IF(NOT(ISNUMBER(anim[[#This Row],[Published]])), "", _xlfn.DAYS(TODAY(), anim[[#This Row],[Published]]))</f>
        <v>15</v>
      </c>
    </row>
    <row r="33" spans="1:22" ht="30" customHeight="1" x14ac:dyDescent="0.25">
      <c r="A33" s="3" t="str">
        <f>metaSHOTS[[#This Row],[Shot]]</f>
        <v>030_140</v>
      </c>
      <c r="B33" s="2" t="e" vm="30">
        <f>metaSHOTS[[#This Row],[Thumbnail]]</f>
        <v>#VALUE!</v>
      </c>
      <c r="C33" s="86" t="b">
        <v>0</v>
      </c>
      <c r="D33" s="186" t="s">
        <v>324</v>
      </c>
      <c r="E33" s="2">
        <f>metaSHOTS[[#This Row],[Start]]</f>
        <v>1</v>
      </c>
      <c r="F33" s="2">
        <f>metaSHOTS[[#This Row],[End]]</f>
        <v>29</v>
      </c>
      <c r="G33" s="2">
        <f>metaSHOTS[[#This Row],[Duration]]</f>
        <v>29</v>
      </c>
      <c r="H33" s="189" t="s">
        <v>312</v>
      </c>
      <c r="I33" s="189" t="s">
        <v>18</v>
      </c>
      <c r="J33"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3" s="2">
        <v>6</v>
      </c>
      <c r="L33" s="185">
        <v>1</v>
      </c>
      <c r="M33" s="185">
        <v>1</v>
      </c>
      <c r="N33" s="185">
        <v>1</v>
      </c>
      <c r="O33" s="185">
        <v>1</v>
      </c>
      <c r="P33" s="185">
        <v>1</v>
      </c>
      <c r="Q33" s="185">
        <v>1</v>
      </c>
      <c r="R33" s="90" cm="1">
        <f t="array" ref="R33">SUM(anim[[#This Row],[PVR]:[polish]]*anim_ponderation)</f>
        <v>1</v>
      </c>
      <c r="S33" s="84">
        <f>(1-anim[[#This Row],[Progress]])*anim[[#This Row],[Estimated]]</f>
        <v>0</v>
      </c>
      <c r="T33" s="188"/>
      <c r="U33" s="225">
        <v>45355.449305555558</v>
      </c>
      <c r="V33" s="2">
        <f ca="1">IF(NOT(ISNUMBER(anim[[#This Row],[Published]])), "", _xlfn.DAYS(TODAY(), anim[[#This Row],[Published]]))</f>
        <v>15</v>
      </c>
    </row>
    <row r="34" spans="1:22" ht="30" customHeight="1" x14ac:dyDescent="0.25">
      <c r="A34" s="3" t="str">
        <f>metaSHOTS[[#This Row],[Shot]]</f>
        <v>030_150</v>
      </c>
      <c r="B34" s="2" t="e" vm="31">
        <f>metaSHOTS[[#This Row],[Thumbnail]]</f>
        <v>#VALUE!</v>
      </c>
      <c r="C34" s="86" t="b">
        <v>0</v>
      </c>
      <c r="D34" s="186" t="s">
        <v>324</v>
      </c>
      <c r="E34" s="2">
        <f>metaSHOTS[[#This Row],[Start]]</f>
        <v>1</v>
      </c>
      <c r="F34" s="2">
        <f>metaSHOTS[[#This Row],[End]]</f>
        <v>19</v>
      </c>
      <c r="G34" s="2">
        <f>metaSHOTS[[#This Row],[Duration]]</f>
        <v>19</v>
      </c>
      <c r="H34" s="189" t="s">
        <v>311</v>
      </c>
      <c r="I34" s="189" t="s">
        <v>18</v>
      </c>
      <c r="J34"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4" s="2">
        <v>8</v>
      </c>
      <c r="L34" s="185">
        <v>1</v>
      </c>
      <c r="M34" s="185">
        <v>1</v>
      </c>
      <c r="N34" s="185">
        <v>1</v>
      </c>
      <c r="O34" s="185">
        <v>1</v>
      </c>
      <c r="P34" s="185">
        <v>1</v>
      </c>
      <c r="Q34" s="185">
        <v>1</v>
      </c>
      <c r="R34" s="90" cm="1">
        <f t="array" ref="R34">SUM(anim[[#This Row],[PVR]:[polish]]*anim_ponderation)</f>
        <v>1</v>
      </c>
      <c r="S34" s="84">
        <f>(1-anim[[#This Row],[Progress]])*anim[[#This Row],[Estimated]]</f>
        <v>0</v>
      </c>
      <c r="T34" s="188"/>
      <c r="U34" s="202">
        <v>45337.825694444444</v>
      </c>
      <c r="V34" s="2">
        <f ca="1">IF(NOT(ISNUMBER(anim[[#This Row],[Published]])), "", _xlfn.DAYS(TODAY(), anim[[#This Row],[Published]]))</f>
        <v>33</v>
      </c>
    </row>
    <row r="35" spans="1:22" ht="30" customHeight="1" x14ac:dyDescent="0.25">
      <c r="A35" s="3" t="str">
        <f>metaSHOTS[[#This Row],[Shot]]</f>
        <v>040_010</v>
      </c>
      <c r="B35" s="2" t="e" vm="32">
        <f>metaSHOTS[[#This Row],[Thumbnail]]</f>
        <v>#VALUE!</v>
      </c>
      <c r="C35" s="86" t="b">
        <v>0</v>
      </c>
      <c r="D35" s="186" t="s">
        <v>324</v>
      </c>
      <c r="E35" s="2">
        <f>metaSHOTS[[#This Row],[Start]]</f>
        <v>20</v>
      </c>
      <c r="F35" s="2">
        <f>metaSHOTS[[#This Row],[End]]</f>
        <v>108</v>
      </c>
      <c r="G35" s="2">
        <f>metaSHOTS[[#This Row],[Duration]]</f>
        <v>89</v>
      </c>
      <c r="H35" s="189" t="s">
        <v>311</v>
      </c>
      <c r="I35" s="189" t="s">
        <v>18</v>
      </c>
      <c r="J35"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5" s="2">
        <v>3</v>
      </c>
      <c r="L35" s="185">
        <v>1</v>
      </c>
      <c r="M35" s="185">
        <v>1</v>
      </c>
      <c r="N35" s="185">
        <v>1</v>
      </c>
      <c r="O35" s="185">
        <v>1</v>
      </c>
      <c r="P35" s="185">
        <v>1</v>
      </c>
      <c r="Q35" s="185">
        <v>1</v>
      </c>
      <c r="R35" s="90" cm="1">
        <f t="array" ref="R35">SUM(anim[[#This Row],[PVR]:[polish]]*anim_ponderation)</f>
        <v>1</v>
      </c>
      <c r="S35" s="84">
        <f>(1-anim[[#This Row],[Progress]])*anim[[#This Row],[Estimated]]</f>
        <v>0</v>
      </c>
      <c r="T35" s="188"/>
      <c r="U35" s="225">
        <v>45367.388194444444</v>
      </c>
      <c r="V35" s="2">
        <f ca="1">IF(NOT(ISNUMBER(anim[[#This Row],[Published]])), "", _xlfn.DAYS(TODAY(), anim[[#This Row],[Published]]))</f>
        <v>3</v>
      </c>
    </row>
    <row r="36" spans="1:22" ht="30" customHeight="1" x14ac:dyDescent="0.25">
      <c r="A36" s="3" t="str">
        <f>metaSHOTS[[#This Row],[Shot]]</f>
        <v>040_020</v>
      </c>
      <c r="B36" s="2" t="e" vm="33">
        <f>metaSHOTS[[#This Row],[Thumbnail]]</f>
        <v>#VALUE!</v>
      </c>
      <c r="C36" s="86" t="b">
        <v>0</v>
      </c>
      <c r="D36" s="186" t="s">
        <v>324</v>
      </c>
      <c r="E36" s="2">
        <f>metaSHOTS[[#This Row],[Start]]</f>
        <v>1</v>
      </c>
      <c r="F36" s="2">
        <f>metaSHOTS[[#This Row],[End]]</f>
        <v>150</v>
      </c>
      <c r="G36" s="2">
        <f>metaSHOTS[[#This Row],[Duration]]</f>
        <v>150</v>
      </c>
      <c r="H36" s="189" t="s">
        <v>312</v>
      </c>
      <c r="I36" s="189" t="s">
        <v>18</v>
      </c>
      <c r="J36"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Needs Fix</v>
      </c>
      <c r="K36" s="2">
        <v>5</v>
      </c>
      <c r="L36" s="185">
        <v>1</v>
      </c>
      <c r="M36" s="185">
        <v>1</v>
      </c>
      <c r="N36" s="185">
        <v>1</v>
      </c>
      <c r="O36" s="185">
        <v>1</v>
      </c>
      <c r="P36" s="185">
        <v>1</v>
      </c>
      <c r="Q36" s="185">
        <v>0.95</v>
      </c>
      <c r="R36" s="90" cm="1">
        <f t="array" ref="R36">SUM(anim[[#This Row],[PVR]:[polish]]*anim_ponderation)</f>
        <v>0.9850000000000001</v>
      </c>
      <c r="S36" s="84">
        <f>(1-anim[[#This Row],[Progress]])*anim[[#This Row],[Estimated]]</f>
        <v>7.4999999999999512E-2</v>
      </c>
      <c r="T36" s="188" t="s">
        <v>675</v>
      </c>
      <c r="U36" s="225">
        <v>45369.392361111109</v>
      </c>
      <c r="V36" s="2">
        <f ca="1">IF(NOT(ISNUMBER(anim[[#This Row],[Published]])), "", _xlfn.DAYS(TODAY(), anim[[#This Row],[Published]]))</f>
        <v>1</v>
      </c>
    </row>
    <row r="37" spans="1:22" ht="30" customHeight="1" x14ac:dyDescent="0.25">
      <c r="A37" s="3" t="str">
        <f>metaSHOTS[[#This Row],[Shot]]</f>
        <v>040_030</v>
      </c>
      <c r="B37" s="2" t="e" vm="34">
        <f>metaSHOTS[[#This Row],[Thumbnail]]</f>
        <v>#VALUE!</v>
      </c>
      <c r="C37" s="86" t="b">
        <v>0</v>
      </c>
      <c r="D37" s="186" t="s">
        <v>324</v>
      </c>
      <c r="E37" s="2">
        <f>metaSHOTS[[#This Row],[Start]]</f>
        <v>1</v>
      </c>
      <c r="F37" s="2">
        <f>metaSHOTS[[#This Row],[End]]</f>
        <v>115</v>
      </c>
      <c r="G37" s="2">
        <f>metaSHOTS[[#This Row],[Duration]]</f>
        <v>115</v>
      </c>
      <c r="H37" s="189" t="s">
        <v>310</v>
      </c>
      <c r="I37" s="189" t="s">
        <v>18</v>
      </c>
      <c r="J37"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7" s="2">
        <v>11</v>
      </c>
      <c r="L37" s="185">
        <v>1</v>
      </c>
      <c r="M37" s="185">
        <v>1</v>
      </c>
      <c r="N37" s="185">
        <v>1</v>
      </c>
      <c r="O37" s="185">
        <v>1</v>
      </c>
      <c r="P37" s="185">
        <v>1</v>
      </c>
      <c r="Q37" s="185">
        <v>1</v>
      </c>
      <c r="R37" s="90" cm="1">
        <f t="array" ref="R37">SUM(anim[[#This Row],[PVR]:[polish]]*anim_ponderation)</f>
        <v>1</v>
      </c>
      <c r="S37" s="84">
        <f>(1-anim[[#This Row],[Progress]])*anim[[#This Row],[Estimated]]</f>
        <v>0</v>
      </c>
      <c r="T37" s="188"/>
      <c r="U37" s="225">
        <v>45367.520138888889</v>
      </c>
      <c r="V37" s="2">
        <f ca="1">IF(NOT(ISNUMBER(anim[[#This Row],[Published]])), "", _xlfn.DAYS(TODAY(), anim[[#This Row],[Published]]))</f>
        <v>3</v>
      </c>
    </row>
    <row r="38" spans="1:22" ht="30" customHeight="1" x14ac:dyDescent="0.25">
      <c r="A38" s="3" t="str">
        <f>metaSHOTS[[#This Row],[Shot]]</f>
        <v>040_040</v>
      </c>
      <c r="B38" s="2" t="e" vm="35">
        <f>metaSHOTS[[#This Row],[Thumbnail]]</f>
        <v>#VALUE!</v>
      </c>
      <c r="C38" s="86" t="b">
        <v>0</v>
      </c>
      <c r="D38" s="186" t="s">
        <v>309</v>
      </c>
      <c r="E38" s="2">
        <f>metaSHOTS[[#This Row],[Start]]</f>
        <v>1</v>
      </c>
      <c r="F38" s="2">
        <f>metaSHOTS[[#This Row],[End]]</f>
        <v>81</v>
      </c>
      <c r="G38" s="2">
        <f>metaSHOTS[[#This Row],[Duration]]</f>
        <v>81</v>
      </c>
      <c r="H38" s="189" t="s">
        <v>312</v>
      </c>
      <c r="I38" s="189" t="s">
        <v>12</v>
      </c>
      <c r="J38"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38" s="2">
        <v>5</v>
      </c>
      <c r="L38" s="185">
        <v>1</v>
      </c>
      <c r="M38" s="185">
        <v>1</v>
      </c>
      <c r="N38" s="185">
        <v>1</v>
      </c>
      <c r="O38" s="185">
        <v>1</v>
      </c>
      <c r="P38" s="185">
        <v>1</v>
      </c>
      <c r="Q38" s="185">
        <v>1</v>
      </c>
      <c r="R38" s="90" cm="1">
        <f t="array" ref="R38">SUM(anim[[#This Row],[PVR]:[polish]]*anim_ponderation)</f>
        <v>1</v>
      </c>
      <c r="S38" s="84">
        <f>(1-anim[[#This Row],[Progress]])*anim[[#This Row],[Estimated]]</f>
        <v>0</v>
      </c>
      <c r="T38" s="188"/>
      <c r="U38" s="225">
        <v>45362.632638888892</v>
      </c>
      <c r="V38" s="2">
        <f ca="1">IF(NOT(ISNUMBER(anim[[#This Row],[Published]])), "", _xlfn.DAYS(TODAY(), anim[[#This Row],[Published]]))</f>
        <v>8</v>
      </c>
    </row>
    <row r="39" spans="1:22" ht="30" customHeight="1" x14ac:dyDescent="0.25">
      <c r="A39" s="3" t="str">
        <f>metaSHOTS[[#This Row],[Shot]]</f>
        <v>040_050</v>
      </c>
      <c r="B39" s="2" t="e" vm="36">
        <f>metaSHOTS[[#This Row],[Thumbnail]]</f>
        <v>#VALUE!</v>
      </c>
      <c r="C39" s="86" t="b">
        <v>0</v>
      </c>
      <c r="D39" s="186" t="s">
        <v>324</v>
      </c>
      <c r="E39" s="2">
        <f>metaSHOTS[[#This Row],[Start]]</f>
        <v>1</v>
      </c>
      <c r="F39" s="2">
        <f>metaSHOTS[[#This Row],[End]]</f>
        <v>79</v>
      </c>
      <c r="G39" s="2">
        <f>metaSHOTS[[#This Row],[Duration]]</f>
        <v>79</v>
      </c>
      <c r="H39" s="189" t="s">
        <v>312</v>
      </c>
      <c r="I39" s="189" t="s">
        <v>18</v>
      </c>
      <c r="J39"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39" s="2">
        <v>5</v>
      </c>
      <c r="L39" s="185">
        <v>1</v>
      </c>
      <c r="M39" s="185">
        <v>1</v>
      </c>
      <c r="N39" s="185">
        <v>1</v>
      </c>
      <c r="O39" s="185">
        <v>1</v>
      </c>
      <c r="P39" s="185">
        <v>1</v>
      </c>
      <c r="Q39" s="185">
        <v>1</v>
      </c>
      <c r="R39" s="90" cm="1">
        <f t="array" ref="R39">SUM(anim[[#This Row],[PVR]:[polish]]*anim_ponderation)</f>
        <v>1</v>
      </c>
      <c r="S39" s="84">
        <f>(1-anim[[#This Row],[Progress]])*anim[[#This Row],[Estimated]]</f>
        <v>0</v>
      </c>
      <c r="T39" s="188"/>
      <c r="U39" s="225">
        <v>45367.615972222222</v>
      </c>
      <c r="V39" s="2">
        <f ca="1">IF(NOT(ISNUMBER(anim[[#This Row],[Published]])), "", _xlfn.DAYS(TODAY(), anim[[#This Row],[Published]]))</f>
        <v>3</v>
      </c>
    </row>
    <row r="40" spans="1:22" ht="30" customHeight="1" x14ac:dyDescent="0.25">
      <c r="A40" s="3" t="str">
        <f>metaSHOTS[[#This Row],[Shot]]</f>
        <v>040_070</v>
      </c>
      <c r="B40" s="2" t="e" vm="37">
        <f>metaSHOTS[[#This Row],[Thumbnail]]</f>
        <v>#VALUE!</v>
      </c>
      <c r="C40" s="86" t="b">
        <v>0</v>
      </c>
      <c r="D40" s="186" t="s">
        <v>324</v>
      </c>
      <c r="E40" s="2">
        <f>metaSHOTS[[#This Row],[Start]]</f>
        <v>1</v>
      </c>
      <c r="F40" s="2">
        <f>metaSHOTS[[#This Row],[End]]</f>
        <v>39</v>
      </c>
      <c r="G40" s="2">
        <f>metaSHOTS[[#This Row],[Duration]]</f>
        <v>39</v>
      </c>
      <c r="H40" s="189" t="s">
        <v>312</v>
      </c>
      <c r="I40" s="189" t="s">
        <v>18</v>
      </c>
      <c r="J40"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40" s="2">
        <v>3</v>
      </c>
      <c r="L40" s="185">
        <v>1</v>
      </c>
      <c r="M40" s="185">
        <v>1</v>
      </c>
      <c r="N40" s="185">
        <v>1</v>
      </c>
      <c r="O40" s="185">
        <v>1</v>
      </c>
      <c r="P40" s="185">
        <v>1</v>
      </c>
      <c r="Q40" s="185">
        <v>1</v>
      </c>
      <c r="R40" s="90" cm="1">
        <f t="array" ref="R40">SUM(anim[[#This Row],[PVR]:[polish]]*anim_ponderation)</f>
        <v>1</v>
      </c>
      <c r="S40" s="84">
        <f>(1-anim[[#This Row],[Progress]])*anim[[#This Row],[Estimated]]</f>
        <v>0</v>
      </c>
      <c r="T40" s="188"/>
      <c r="U40" s="225">
        <v>45368.370833333334</v>
      </c>
      <c r="V40" s="2">
        <f ca="1">IF(NOT(ISNUMBER(anim[[#This Row],[Published]])), "", _xlfn.DAYS(TODAY(), anim[[#This Row],[Published]]))</f>
        <v>2</v>
      </c>
    </row>
    <row r="41" spans="1:22" ht="30" customHeight="1" x14ac:dyDescent="0.25">
      <c r="A41" s="3" t="str">
        <f>metaSHOTS[[#This Row],[Shot]]</f>
        <v>040_090</v>
      </c>
      <c r="B41" s="2" t="e" vm="38">
        <f>metaSHOTS[[#This Row],[Thumbnail]]</f>
        <v>#VALUE!</v>
      </c>
      <c r="C41" s="86" t="b">
        <v>0</v>
      </c>
      <c r="D41" s="186" t="s">
        <v>324</v>
      </c>
      <c r="E41" s="2">
        <f>metaSHOTS[[#This Row],[Start]]</f>
        <v>1</v>
      </c>
      <c r="F41" s="2">
        <f>metaSHOTS[[#This Row],[End]]</f>
        <v>63</v>
      </c>
      <c r="G41" s="2">
        <f>metaSHOTS[[#This Row],[Duration]]</f>
        <v>63</v>
      </c>
      <c r="H41" s="189" t="s">
        <v>312</v>
      </c>
      <c r="I41" s="189" t="s">
        <v>18</v>
      </c>
      <c r="J41"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41" s="2">
        <v>4</v>
      </c>
      <c r="L41" s="185">
        <v>1</v>
      </c>
      <c r="M41" s="185">
        <v>1</v>
      </c>
      <c r="N41" s="185">
        <v>1</v>
      </c>
      <c r="O41" s="185">
        <v>1</v>
      </c>
      <c r="P41" s="185">
        <v>1</v>
      </c>
      <c r="Q41" s="185">
        <v>1</v>
      </c>
      <c r="R41" s="90" cm="1">
        <f t="array" ref="R41">SUM(anim[[#This Row],[PVR]:[polish]]*anim_ponderation)</f>
        <v>1</v>
      </c>
      <c r="S41" s="84">
        <f>(1-anim[[#This Row],[Progress]])*anim[[#This Row],[Estimated]]</f>
        <v>0</v>
      </c>
      <c r="T41" s="188"/>
      <c r="U41" s="225">
        <v>45368.536111111112</v>
      </c>
      <c r="V41" s="2">
        <f ca="1">IF(NOT(ISNUMBER(anim[[#This Row],[Published]])), "", _xlfn.DAYS(TODAY(), anim[[#This Row],[Published]]))</f>
        <v>2</v>
      </c>
    </row>
    <row r="42" spans="1:22" ht="30" customHeight="1" x14ac:dyDescent="0.25">
      <c r="A42" s="3" t="str">
        <f>metaSHOTS[[#This Row],[Shot]]</f>
        <v>040_100</v>
      </c>
      <c r="B42" s="2" t="e" vm="39">
        <f>metaSHOTS[[#This Row],[Thumbnail]]</f>
        <v>#VALUE!</v>
      </c>
      <c r="C42" s="86" t="b">
        <v>0</v>
      </c>
      <c r="D42" s="186" t="s">
        <v>324</v>
      </c>
      <c r="E42" s="2">
        <f>metaSHOTS[[#This Row],[Start]]</f>
        <v>1</v>
      </c>
      <c r="F42" s="2">
        <f>metaSHOTS[[#This Row],[End]]</f>
        <v>55</v>
      </c>
      <c r="G42" s="2">
        <f>metaSHOTS[[#This Row],[Duration]]</f>
        <v>55</v>
      </c>
      <c r="H42" s="189" t="s">
        <v>312</v>
      </c>
      <c r="I42" s="189" t="s">
        <v>18</v>
      </c>
      <c r="J42"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Needs Fix</v>
      </c>
      <c r="K42" s="2">
        <v>5</v>
      </c>
      <c r="L42" s="185">
        <v>1</v>
      </c>
      <c r="M42" s="185">
        <v>1</v>
      </c>
      <c r="N42" s="185">
        <v>1</v>
      </c>
      <c r="O42" s="185">
        <v>1</v>
      </c>
      <c r="P42" s="185">
        <v>1</v>
      </c>
      <c r="Q42" s="185">
        <v>0.95</v>
      </c>
      <c r="R42" s="90" cm="1">
        <f t="array" ref="R42">SUM(anim[[#This Row],[PVR]:[polish]]*anim_ponderation)</f>
        <v>0.9850000000000001</v>
      </c>
      <c r="S42" s="84">
        <f>(1-anim[[#This Row],[Progress]])*anim[[#This Row],[Estimated]]</f>
        <v>7.4999999999999512E-2</v>
      </c>
      <c r="T42" s="188" t="s">
        <v>676</v>
      </c>
      <c r="U42" s="225">
        <v>45369.414583333331</v>
      </c>
      <c r="V42" s="2">
        <f ca="1">IF(NOT(ISNUMBER(anim[[#This Row],[Published]])), "", _xlfn.DAYS(TODAY(), anim[[#This Row],[Published]]))</f>
        <v>1</v>
      </c>
    </row>
    <row r="43" spans="1:22" ht="30" customHeight="1" x14ac:dyDescent="0.25">
      <c r="A43" s="3" t="str">
        <f>metaSHOTS[[#This Row],[Shot]]</f>
        <v>040_110</v>
      </c>
      <c r="B43" s="2" t="e" vm="40">
        <f>metaSHOTS[[#This Row],[Thumbnail]]</f>
        <v>#VALUE!</v>
      </c>
      <c r="C43" s="86" t="b">
        <v>0</v>
      </c>
      <c r="D43" s="186" t="s">
        <v>309</v>
      </c>
      <c r="E43" s="2">
        <f>metaSHOTS[[#This Row],[Start]]</f>
        <v>1</v>
      </c>
      <c r="F43" s="2">
        <f>metaSHOTS[[#This Row],[End]]</f>
        <v>76</v>
      </c>
      <c r="G43" s="2">
        <f>metaSHOTS[[#This Row],[Duration]]</f>
        <v>76</v>
      </c>
      <c r="H43" s="189" t="s">
        <v>312</v>
      </c>
      <c r="I43" s="189" t="s">
        <v>12</v>
      </c>
      <c r="J43"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43" s="2">
        <v>7</v>
      </c>
      <c r="L43" s="185">
        <v>1</v>
      </c>
      <c r="M43" s="185">
        <v>1</v>
      </c>
      <c r="N43" s="185">
        <v>1</v>
      </c>
      <c r="O43" s="185">
        <v>1</v>
      </c>
      <c r="P43" s="185">
        <v>1</v>
      </c>
      <c r="Q43" s="185">
        <v>1</v>
      </c>
      <c r="R43" s="90" cm="1">
        <f t="array" ref="R43">SUM(anim[[#This Row],[PVR]:[polish]]*anim_ponderation)</f>
        <v>1</v>
      </c>
      <c r="S43" s="84">
        <f>(1-anim[[#This Row],[Progress]])*anim[[#This Row],[Estimated]]</f>
        <v>0</v>
      </c>
      <c r="T43" s="189"/>
      <c r="U43" s="225">
        <v>45330.552083333336</v>
      </c>
      <c r="V43" s="2">
        <f ca="1">IF(NOT(ISNUMBER(anim[[#This Row],[Published]])), "", _xlfn.DAYS(TODAY(), anim[[#This Row],[Published]]))</f>
        <v>40</v>
      </c>
    </row>
    <row r="44" spans="1:22" ht="30" customHeight="1" x14ac:dyDescent="0.25">
      <c r="A44" s="3" t="str">
        <f>metaSHOTS[[#This Row],[Shot]]</f>
        <v>040_120</v>
      </c>
      <c r="B44" s="2" t="e" vm="41">
        <f>metaSHOTS[[#This Row],[Thumbnail]]</f>
        <v>#VALUE!</v>
      </c>
      <c r="C44" s="86" t="b">
        <v>0</v>
      </c>
      <c r="D44" s="186" t="s">
        <v>324</v>
      </c>
      <c r="E44" s="2">
        <f>metaSHOTS[[#This Row],[Start]]</f>
        <v>1</v>
      </c>
      <c r="F44" s="2">
        <f>metaSHOTS[[#This Row],[End]]</f>
        <v>90</v>
      </c>
      <c r="G44" s="2">
        <f>metaSHOTS[[#This Row],[Duration]]</f>
        <v>90</v>
      </c>
      <c r="H44" s="189" t="s">
        <v>311</v>
      </c>
      <c r="I44" s="189" t="s">
        <v>18</v>
      </c>
      <c r="J44"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Pending Review</v>
      </c>
      <c r="K44" s="2">
        <v>7</v>
      </c>
      <c r="L44" s="185">
        <v>1</v>
      </c>
      <c r="M44" s="185">
        <v>1</v>
      </c>
      <c r="N44" s="185">
        <v>1</v>
      </c>
      <c r="O44" s="185">
        <v>1</v>
      </c>
      <c r="P44" s="185">
        <v>1</v>
      </c>
      <c r="Q44" s="185">
        <v>1</v>
      </c>
      <c r="R44" s="90" cm="1">
        <f t="array" ref="R44">SUM(anim[[#This Row],[PVR]:[polish]]*anim_ponderation)</f>
        <v>1</v>
      </c>
      <c r="S44" s="84">
        <f>(1-anim[[#This Row],[Progress]])*anim[[#This Row],[Estimated]]</f>
        <v>0</v>
      </c>
      <c r="T44" s="189"/>
      <c r="U44" s="225">
        <v>45368.432638888888</v>
      </c>
      <c r="V44" s="2">
        <f ca="1">IF(NOT(ISNUMBER(anim[[#This Row],[Published]])), "", _xlfn.DAYS(TODAY(), anim[[#This Row],[Published]]))</f>
        <v>2</v>
      </c>
    </row>
    <row r="45" spans="1:22" ht="30" customHeight="1" x14ac:dyDescent="0.25">
      <c r="A45" s="3" t="str">
        <f>metaSHOTS[[#This Row],[Shot]]</f>
        <v>050_005</v>
      </c>
      <c r="B45" s="2" t="e" vm="42">
        <f>metaSHOTS[[#This Row],[Thumbnail]]</f>
        <v>#VALUE!</v>
      </c>
      <c r="C45" s="86" t="b">
        <v>0</v>
      </c>
      <c r="D45" s="186" t="s">
        <v>324</v>
      </c>
      <c r="E45" s="2">
        <f>metaSHOTS[[#This Row],[Start]]</f>
        <v>1</v>
      </c>
      <c r="F45" s="2">
        <f>metaSHOTS[[#This Row],[End]]</f>
        <v>137</v>
      </c>
      <c r="G45" s="2">
        <f>metaSHOTS[[#This Row],[Duration]]</f>
        <v>137</v>
      </c>
      <c r="H45" s="189" t="s">
        <v>312</v>
      </c>
      <c r="I45" s="189" t="s">
        <v>18</v>
      </c>
      <c r="J45"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In Progress</v>
      </c>
      <c r="K45" s="2">
        <v>5</v>
      </c>
      <c r="L45" s="185">
        <v>1</v>
      </c>
      <c r="M45" s="185">
        <v>1</v>
      </c>
      <c r="N45" s="185">
        <v>1</v>
      </c>
      <c r="O45" s="185">
        <v>1</v>
      </c>
      <c r="P45" s="185">
        <v>1</v>
      </c>
      <c r="Q45" s="185">
        <v>0.9</v>
      </c>
      <c r="R45" s="90" cm="1">
        <f t="array" ref="R45">SUM(anim[[#This Row],[PVR]:[polish]]*anim_ponderation)</f>
        <v>0.97000000000000008</v>
      </c>
      <c r="S45" s="84">
        <f>(1-anim[[#This Row],[Progress]])*anim[[#This Row],[Estimated]]</f>
        <v>0.14999999999999958</v>
      </c>
      <c r="T45" s="188"/>
      <c r="U45" s="225">
        <v>45365.607638888891</v>
      </c>
      <c r="V45" s="2">
        <f ca="1">IF(NOT(ISNUMBER(anim[[#This Row],[Published]])), "", _xlfn.DAYS(TODAY(), anim[[#This Row],[Published]]))</f>
        <v>5</v>
      </c>
    </row>
    <row r="46" spans="1:22" ht="30" customHeight="1" x14ac:dyDescent="0.25">
      <c r="A46" s="3" t="str">
        <f>metaSHOTS[[#This Row],[Shot]]</f>
        <v>050_020</v>
      </c>
      <c r="B46" s="2" t="e" vm="43">
        <f>metaSHOTS[[#This Row],[Thumbnail]]</f>
        <v>#VALUE!</v>
      </c>
      <c r="C46" s="86" t="b">
        <v>0</v>
      </c>
      <c r="D46" s="186" t="s">
        <v>324</v>
      </c>
      <c r="E46" s="2">
        <f>metaSHOTS[[#This Row],[Start]]</f>
        <v>1</v>
      </c>
      <c r="F46" s="2">
        <f>metaSHOTS[[#This Row],[End]]</f>
        <v>510</v>
      </c>
      <c r="G46" s="2">
        <f>metaSHOTS[[#This Row],[Duration]]</f>
        <v>510</v>
      </c>
      <c r="H46" s="189" t="s">
        <v>312</v>
      </c>
      <c r="I46" s="189" t="s">
        <v>18</v>
      </c>
      <c r="J46"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In Progress</v>
      </c>
      <c r="K46" s="2">
        <v>3</v>
      </c>
      <c r="L46" s="185">
        <v>1</v>
      </c>
      <c r="M46" s="185">
        <v>1</v>
      </c>
      <c r="N46" s="185">
        <v>1</v>
      </c>
      <c r="O46" s="185">
        <v>1</v>
      </c>
      <c r="P46" s="185">
        <v>1</v>
      </c>
      <c r="Q46" s="185">
        <v>0.9</v>
      </c>
      <c r="R46" s="90" cm="1">
        <f t="array" ref="R46">SUM(anim[[#This Row],[PVR]:[polish]]*anim_ponderation)</f>
        <v>0.97000000000000008</v>
      </c>
      <c r="S46" s="84">
        <f>(1-anim[[#This Row],[Progress]])*anim[[#This Row],[Estimated]]</f>
        <v>8.9999999999999747E-2</v>
      </c>
      <c r="T46" s="188"/>
      <c r="U46" s="225">
        <v>45365.564583333333</v>
      </c>
      <c r="V46" s="2">
        <f ca="1">IF(NOT(ISNUMBER(anim[[#This Row],[Published]])), "", _xlfn.DAYS(TODAY(), anim[[#This Row],[Published]]))</f>
        <v>5</v>
      </c>
    </row>
    <row r="47" spans="1:22" ht="30" customHeight="1" x14ac:dyDescent="0.25">
      <c r="A47" s="3" t="str">
        <f>metaSHOTS[[#This Row],[Shot]]</f>
        <v>060_010</v>
      </c>
      <c r="B47" s="2" t="e" vm="44">
        <f>metaSHOTS[[#This Row],[Thumbnail]]</f>
        <v>#VALUE!</v>
      </c>
      <c r="C47" s="86" t="b">
        <v>0</v>
      </c>
      <c r="D47" s="186" t="s">
        <v>309</v>
      </c>
      <c r="E47" s="2">
        <f>metaSHOTS[[#This Row],[Start]]</f>
        <v>1</v>
      </c>
      <c r="F47" s="2">
        <f>metaSHOTS[[#This Row],[End]]</f>
        <v>241</v>
      </c>
      <c r="G47" s="2">
        <f>metaSHOTS[[#This Row],[Duration]]</f>
        <v>241</v>
      </c>
      <c r="H47" s="189" t="s">
        <v>311</v>
      </c>
      <c r="I47" s="189" t="s">
        <v>12</v>
      </c>
      <c r="J47"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47" s="2">
        <v>3</v>
      </c>
      <c r="L47" s="185">
        <v>1</v>
      </c>
      <c r="M47" s="185">
        <v>1</v>
      </c>
      <c r="N47" s="185">
        <v>1</v>
      </c>
      <c r="O47" s="185">
        <v>1</v>
      </c>
      <c r="P47" s="185">
        <v>1</v>
      </c>
      <c r="Q47" s="185">
        <v>1</v>
      </c>
      <c r="R47" s="90" cm="1">
        <f t="array" ref="R47">SUM(anim[[#This Row],[PVR]:[polish]]*anim_ponderation)</f>
        <v>1</v>
      </c>
      <c r="S47" s="84">
        <f>(1-anim[[#This Row],[Progress]])*anim[[#This Row],[Estimated]]</f>
        <v>0</v>
      </c>
      <c r="T47" s="188"/>
      <c r="U47" s="225">
        <v>45362.631944444445</v>
      </c>
      <c r="V47" s="2">
        <f ca="1">IF(NOT(ISNUMBER(anim[[#This Row],[Published]])), "", _xlfn.DAYS(TODAY(), anim[[#This Row],[Published]]))</f>
        <v>8</v>
      </c>
    </row>
    <row r="48" spans="1:22" ht="30" customHeight="1" x14ac:dyDescent="0.25">
      <c r="A48" s="3" t="str">
        <f>metaSHOTS[[#This Row],[Shot]]</f>
        <v>060_030</v>
      </c>
      <c r="B48" s="2" t="e" vm="45">
        <f>metaSHOTS[[#This Row],[Thumbnail]]</f>
        <v>#VALUE!</v>
      </c>
      <c r="C48" s="86" t="b">
        <v>0</v>
      </c>
      <c r="D48" s="186" t="s">
        <v>309</v>
      </c>
      <c r="E48" s="2">
        <f>metaSHOTS[[#This Row],[Start]]</f>
        <v>1</v>
      </c>
      <c r="F48" s="2">
        <f>metaSHOTS[[#This Row],[End]]</f>
        <v>511</v>
      </c>
      <c r="G48" s="2">
        <f>metaSHOTS[[#This Row],[Duration]]</f>
        <v>511</v>
      </c>
      <c r="H48" s="189" t="s">
        <v>312</v>
      </c>
      <c r="I48" s="189" t="s">
        <v>18</v>
      </c>
      <c r="J48"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48" s="2">
        <v>3</v>
      </c>
      <c r="L48" s="185">
        <v>1</v>
      </c>
      <c r="M48" s="185">
        <v>1</v>
      </c>
      <c r="N48" s="185">
        <v>1</v>
      </c>
      <c r="O48" s="185">
        <v>1</v>
      </c>
      <c r="P48" s="185">
        <v>1</v>
      </c>
      <c r="Q48" s="185">
        <v>1</v>
      </c>
      <c r="R48" s="90" cm="1">
        <f t="array" ref="R48">SUM(anim[[#This Row],[PVR]:[polish]]*anim_ponderation)</f>
        <v>1</v>
      </c>
      <c r="S48" s="84">
        <f>(1-anim[[#This Row],[Progress]])*anim[[#This Row],[Estimated]]</f>
        <v>0</v>
      </c>
      <c r="T48" s="188"/>
      <c r="U48" s="225">
        <v>45337.869444444441</v>
      </c>
      <c r="V48" s="2">
        <f ca="1">IF(NOT(ISNUMBER(anim[[#This Row],[Published]])), "", _xlfn.DAYS(TODAY(), anim[[#This Row],[Published]]))</f>
        <v>33</v>
      </c>
    </row>
    <row r="49" spans="1:31" ht="30" customHeight="1" x14ac:dyDescent="0.25">
      <c r="A49" s="3" t="str">
        <f>metaSHOTS[[#This Row],[Shot]]</f>
        <v>040_045</v>
      </c>
      <c r="B49" s="2" t="e" vm="46">
        <f>metaSHOTS[[#This Row],[Thumbnail]]</f>
        <v>#VALUE!</v>
      </c>
      <c r="C49" s="86" t="b">
        <v>0</v>
      </c>
      <c r="D49" s="186" t="s">
        <v>309</v>
      </c>
      <c r="E49" s="2">
        <f>metaSHOTS[[#This Row],[Start]]</f>
        <v>1</v>
      </c>
      <c r="F49" s="2">
        <f>metaSHOTS[[#This Row],[End]]</f>
        <v>55</v>
      </c>
      <c r="G49" s="2">
        <f>metaSHOTS[[#This Row],[Duration]]</f>
        <v>55</v>
      </c>
      <c r="H49" s="189" t="s">
        <v>312</v>
      </c>
      <c r="I49" s="189" t="s">
        <v>12</v>
      </c>
      <c r="J49"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Approved</v>
      </c>
      <c r="K49" s="2">
        <v>2</v>
      </c>
      <c r="L49" s="185">
        <v>1</v>
      </c>
      <c r="M49" s="185">
        <v>1</v>
      </c>
      <c r="N49" s="185">
        <v>1</v>
      </c>
      <c r="O49" s="185">
        <v>1</v>
      </c>
      <c r="P49" s="185">
        <v>1</v>
      </c>
      <c r="Q49" s="185">
        <v>1</v>
      </c>
      <c r="R49" s="90" cm="1">
        <f t="array" ref="R49">SUM(anim[[#This Row],[PVR]:[polish]]*anim_ponderation)</f>
        <v>1</v>
      </c>
      <c r="S49" s="84">
        <f>(1-anim[[#This Row],[Progress]])*anim[[#This Row],[Estimated]]</f>
        <v>0</v>
      </c>
      <c r="T49" s="188"/>
      <c r="U49" s="225">
        <v>45330.545138888891</v>
      </c>
      <c r="V49" s="2">
        <f ca="1">IF(NOT(ISNUMBER(anim[[#This Row],[Published]])), "", _xlfn.DAYS(TODAY(), anim[[#This Row],[Published]]))</f>
        <v>40</v>
      </c>
    </row>
    <row r="50" spans="1:31" ht="30" customHeight="1" x14ac:dyDescent="0.25">
      <c r="A50" s="3" t="str">
        <f>metaSHOTS[[#This Row],[Shot]]</f>
        <v>040_135</v>
      </c>
      <c r="B50" s="2" t="e" vm="47">
        <f>metaSHOTS[[#This Row],[Thumbnail]]</f>
        <v>#VALUE!</v>
      </c>
      <c r="C50" s="86" t="b">
        <v>0</v>
      </c>
      <c r="D50" s="186" t="s">
        <v>324</v>
      </c>
      <c r="E50" s="2">
        <f>metaSHOTS[[#This Row],[Start]]</f>
        <v>1</v>
      </c>
      <c r="F50" s="2">
        <f>metaSHOTS[[#This Row],[End]]</f>
        <v>126</v>
      </c>
      <c r="G50" s="2">
        <f>metaSHOTS[[#This Row],[Duration]]</f>
        <v>126</v>
      </c>
      <c r="H50" s="189" t="s">
        <v>312</v>
      </c>
      <c r="I50" s="189" t="s">
        <v>18</v>
      </c>
      <c r="J50"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Needs Fix</v>
      </c>
      <c r="K50" s="2">
        <v>2</v>
      </c>
      <c r="L50" s="185">
        <v>1</v>
      </c>
      <c r="M50" s="185">
        <v>1</v>
      </c>
      <c r="N50" s="185">
        <v>1</v>
      </c>
      <c r="O50" s="185">
        <v>1</v>
      </c>
      <c r="P50" s="185">
        <v>1</v>
      </c>
      <c r="Q50" s="185">
        <v>0.95</v>
      </c>
      <c r="R50" s="90" cm="1">
        <f t="array" ref="R50">SUM(anim[[#This Row],[PVR]:[polish]]*anim_ponderation)</f>
        <v>0.9850000000000001</v>
      </c>
      <c r="S50" s="84">
        <f>(1-anim[[#This Row],[Progress]])*anim[[#This Row],[Estimated]]</f>
        <v>2.9999999999999805E-2</v>
      </c>
      <c r="T50" s="188" t="s">
        <v>677</v>
      </c>
      <c r="U50" s="187"/>
      <c r="V50" s="2" t="str">
        <f ca="1">IF(NOT(ISNUMBER(anim[[#This Row],[Published]])), "", _xlfn.DAYS(TODAY(), anim[[#This Row],[Published]]))</f>
        <v/>
      </c>
      <c r="W50" s="185"/>
      <c r="X50" s="185"/>
      <c r="Y50" s="185"/>
      <c r="Z50" s="185"/>
      <c r="AA50" s="185"/>
      <c r="AB50" s="185"/>
      <c r="AC50" s="90"/>
      <c r="AD50" s="84"/>
      <c r="AE50" s="188"/>
    </row>
    <row r="51" spans="1:31" ht="30" customHeight="1" x14ac:dyDescent="0.25">
      <c r="A51" s="3" t="str">
        <f>metaSHOTS[[#This Row],[Shot]]</f>
        <v>050_010</v>
      </c>
      <c r="B51" s="2" t="e" vm="48">
        <f>metaSHOTS[[#This Row],[Thumbnail]]</f>
        <v>#VALUE!</v>
      </c>
      <c r="C51" s="86" t="b">
        <v>0</v>
      </c>
      <c r="D51" s="186" t="s">
        <v>324</v>
      </c>
      <c r="E51" s="2">
        <f>metaSHOTS[[#This Row],[Start]]</f>
        <v>1</v>
      </c>
      <c r="F51" s="2">
        <f>metaSHOTS[[#This Row],[End]]</f>
        <v>71</v>
      </c>
      <c r="G51" s="2">
        <f>metaSHOTS[[#This Row],[Duration]]</f>
        <v>71</v>
      </c>
      <c r="H51" s="189" t="s">
        <v>311</v>
      </c>
      <c r="I51" s="189" t="s">
        <v>18</v>
      </c>
      <c r="J51" s="2" t="str">
        <f>IF(
    NOT(ISBLANK(anim[[#This Row],[Commentaires]])), "Needs Fix",
    IF(anim[[#This Row],[Review]]&lt;&gt;"inactive", anim[[#This Row],[Review]],
        IF(anim[[#This Row],[Progress]]=100%, "Pending Review",
            IF(
                AND(0%&lt;anim[[#This Row],[Progress]], anim[[#This Row],[Progress]]&lt;100%), "In Progress",
                IF(
                    layout[[#This Row],[Status]]="Approved", "Ready",
                    IF(
                        AND(layout[[#This Row],[rough]]&gt;=upcomingThreshold, layout[[#This Row],[rough]]&lt;=100%), "Upcoming",
                        IF(layout[[#This Row],[rough]]&lt;upcomingThreshold, "Waiting")
                    )
                )
            )
        )
    )
)</f>
        <v>Needs Fix</v>
      </c>
      <c r="K51" s="2">
        <v>2</v>
      </c>
      <c r="L51" s="185">
        <v>1</v>
      </c>
      <c r="M51" s="185">
        <v>1</v>
      </c>
      <c r="N51" s="185">
        <v>1</v>
      </c>
      <c r="O51" s="185">
        <v>1</v>
      </c>
      <c r="P51" s="185">
        <v>1</v>
      </c>
      <c r="Q51" s="185">
        <v>0.8</v>
      </c>
      <c r="R51" s="90" cm="1">
        <f t="array" ref="R51">SUM(anim[[#This Row],[PVR]:[polish]]*anim_ponderation)</f>
        <v>0.94000000000000006</v>
      </c>
      <c r="S51" s="84">
        <f>(1-anim[[#This Row],[Progress]])*anim[[#This Row],[Estimated]]</f>
        <v>0.11999999999999988</v>
      </c>
      <c r="T51" s="188" t="s">
        <v>678</v>
      </c>
      <c r="U51" s="225">
        <v>45365.609722222223</v>
      </c>
      <c r="V51" s="2">
        <f ca="1">IF(NOT(ISNUMBER(anim[[#This Row],[Published]])), "", _xlfn.DAYS(TODAY(), anim[[#This Row],[Published]]))</f>
        <v>5</v>
      </c>
    </row>
    <row r="52" spans="1:31" ht="30" customHeight="1" x14ac:dyDescent="0.25">
      <c r="A52" s="2" t="s">
        <v>22</v>
      </c>
      <c r="K52" s="2">
        <f>SUBTOTAL(109,anim[Estimated])</f>
        <v>284</v>
      </c>
      <c r="L52" s="16">
        <f>SUBTOTAL(101,anim[PVR])</f>
        <v>1</v>
      </c>
      <c r="M52" s="16">
        <f>SUBTOTAL(101,anim[blocking 1])</f>
        <v>1</v>
      </c>
      <c r="N52" s="16">
        <f>SUBTOTAL(101,anim[blocking 2])</f>
        <v>1</v>
      </c>
      <c r="O52" s="16">
        <f>SUBTOTAL(101,anim[blocking 3])</f>
        <v>1</v>
      </c>
      <c r="P52" s="16">
        <f>SUBTOTAL(101,anim[spline])</f>
        <v>1</v>
      </c>
      <c r="Q52" s="16">
        <f>SUBTOTAL(101,anim[polish])</f>
        <v>0.98645833333333333</v>
      </c>
      <c r="R52" s="16">
        <f>(anim[[#Totals],[Estimated]]-anim[[#Totals],[Hours to do]])/anim[[#Totals],[Estimated]]</f>
        <v>0.99757042253521122</v>
      </c>
      <c r="S52" s="84">
        <f>SUBTOTAL(109,anim[Hours to do])</f>
        <v>0.68999999999999762</v>
      </c>
      <c r="T52" s="3"/>
    </row>
  </sheetData>
  <sheetProtection algorithmName="SHA-512" hashValue="7soAzSQb6jUWJiIEjL687qX33A2ElMVBmRtCU1yy4Yv2uLoUxyusrYmgYvHeOyEzJnGfOJ4/dQ7zJHi+qHtb8w==" saltValue="wVOtGQcyCaM8WW7B34AYXw==" spinCount="100000" sheet="1" selectLockedCells="1" autoFilter="0"/>
  <mergeCells count="1">
    <mergeCell ref="A1:I2"/>
  </mergeCells>
  <conditionalFormatting sqref="J4:J52">
    <cfRule type="containsText" dxfId="57" priority="13" operator="containsText" text="Needs Fix">
      <formula>NOT(ISERROR(SEARCH("Needs Fix",J4)))</formula>
    </cfRule>
    <cfRule type="containsText" dxfId="56" priority="14" operator="containsText" text="Approved">
      <formula>NOT(ISERROR(SEARCH("Approved",J4)))</formula>
    </cfRule>
    <cfRule type="containsText" dxfId="55" priority="15" operator="containsText" text="Pending Review">
      <formula>NOT(ISERROR(SEARCH("Pending Review",J4)))</formula>
    </cfRule>
    <cfRule type="containsText" dxfId="54" priority="16" operator="containsText" text="In Progress">
      <formula>NOT(ISERROR(SEARCH("In Progress",J4)))</formula>
    </cfRule>
    <cfRule type="containsText" dxfId="53" priority="17" operator="containsText" text="Ready">
      <formula>NOT(ISERROR(SEARCH("Ready",J4)))</formula>
    </cfRule>
    <cfRule type="containsText" dxfId="52" priority="18" operator="containsText" text="Upcoming">
      <formula>NOT(ISERROR(SEARCH("Upcoming",J4)))</formula>
    </cfRule>
    <cfRule type="containsText" dxfId="51" priority="19" operator="containsText" text="Waiting">
      <formula>NOT(ISERROR(SEARCH("Waiting",J4)))</formula>
    </cfRule>
  </conditionalFormatting>
  <conditionalFormatting sqref="L4:R51">
    <cfRule type="colorScale" priority="21">
      <colorScale>
        <cfvo type="num" val="0"/>
        <cfvo type="num" val="0.5"/>
        <cfvo type="num" val="1"/>
        <color rgb="FFFF0000"/>
        <color rgb="FFFFFF00"/>
        <color theme="9" tint="-0.249977111117893"/>
      </colorScale>
    </cfRule>
  </conditionalFormatting>
  <conditionalFormatting sqref="S4:T19 S20 S21:T41 T42 S45:T51 S42:S44">
    <cfRule type="dataBar" priority="764">
      <dataBar>
        <cfvo type="min"/>
        <cfvo type="max"/>
        <color rgb="FF008AEF"/>
      </dataBar>
      <extLst>
        <ext xmlns:x14="http://schemas.microsoft.com/office/spreadsheetml/2009/9/main" uri="{B025F937-C7B1-47D3-B67F-A62EFF666E3E}">
          <x14:id>{70AE84DF-5224-49F3-99FD-82C1679A3F64}</x14:id>
        </ext>
      </extLst>
    </cfRule>
  </conditionalFormatting>
  <conditionalFormatting sqref="V4:V51">
    <cfRule type="colorScale" priority="769">
      <colorScale>
        <cfvo type="min"/>
        <cfvo type="max"/>
        <color rgb="FF63BE7B"/>
        <color rgb="FFFCFCFF"/>
      </colorScale>
    </cfRule>
  </conditionalFormatting>
  <conditionalFormatting sqref="W50:AC50">
    <cfRule type="colorScale" priority="11">
      <colorScale>
        <cfvo type="num" val="0"/>
        <cfvo type="num" val="0.5"/>
        <cfvo type="num" val="1"/>
        <color rgb="FFFF0000"/>
        <color rgb="FFFFFF00"/>
        <color theme="9" tint="-0.249977111117893"/>
      </colorScale>
    </cfRule>
  </conditionalFormatting>
  <conditionalFormatting sqref="AD50:AE50">
    <cfRule type="dataBar" priority="12">
      <dataBar>
        <cfvo type="min"/>
        <cfvo type="max"/>
        <color rgb="FF008AEF"/>
      </dataBar>
      <extLst>
        <ext xmlns:x14="http://schemas.microsoft.com/office/spreadsheetml/2009/9/main" uri="{B025F937-C7B1-47D3-B67F-A62EFF666E3E}">
          <x14:id>{5E16F920-3D3B-4EAB-A883-ED8DD0E199AA}</x14:id>
        </ext>
      </extLst>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0AE84DF-5224-49F3-99FD-82C1679A3F64}">
            <x14:dataBar minLength="0" maxLength="100" border="1" negativeBarBorderColorSameAsPositive="0">
              <x14:cfvo type="autoMin"/>
              <x14:cfvo type="autoMax"/>
              <x14:borderColor rgb="FF008AEF"/>
              <x14:negativeFillColor rgb="FFFF0000"/>
              <x14:negativeBorderColor rgb="FFFF0000"/>
              <x14:axisColor rgb="FF000000"/>
            </x14:dataBar>
          </x14:cfRule>
          <xm:sqref>S4:T19 S20 S21:T41 T42 S45:T51 S42:S44</xm:sqref>
        </x14:conditionalFormatting>
        <x14:conditionalFormatting xmlns:xm="http://schemas.microsoft.com/office/excel/2006/main">
          <x14:cfRule type="dataBar" id="{5E16F920-3D3B-4EAB-A883-ED8DD0E199AA}">
            <x14:dataBar minLength="0" maxLength="100" border="1" negativeBarBorderColorSameAsPositive="0">
              <x14:cfvo type="autoMin"/>
              <x14:cfvo type="autoMax"/>
              <x14:borderColor rgb="FF008AEF"/>
              <x14:negativeFillColor rgb="FFFF0000"/>
              <x14:negativeBorderColor rgb="FFFF0000"/>
              <x14:axisColor rgb="FF000000"/>
            </x14:dataBar>
          </x14:cfRule>
          <xm:sqref>AD50:AE50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0D2DAD-80A4-46B8-8399-84FFE3998057}">
          <x14:formula1>
            <xm:f>_data_!$T$8:$T$10</xm:f>
          </x14:formula1>
          <xm:sqref>D4:D51</xm:sqref>
        </x14:dataValidation>
        <x14:dataValidation type="list" allowBlank="1" showInputMessage="1" showErrorMessage="1" xr:uid="{4F5AE1C5-CC4D-427A-9DF8-8959103D5729}">
          <x14:formula1>
            <xm:f>_data_!$R$15:$R$16</xm:f>
          </x14:formula1>
          <xm:sqref>C4:C51</xm:sqref>
        </x14:dataValidation>
        <x14:dataValidation type="list" allowBlank="1" showInputMessage="1" showErrorMessage="1" xr:uid="{25756154-0E38-4782-836E-0E5E2B2B14E9}">
          <x14:formula1>
            <xm:f>_data_!$M$18:$M$22</xm:f>
          </x14:formula1>
          <xm:sqref>H4:H51</xm:sqref>
        </x14:dataValidation>
        <x14:dataValidation type="list" allowBlank="1" showInputMessage="1" showErrorMessage="1" xr:uid="{C58A3096-EEB5-47E8-9B1E-83A0EA5D9A19}">
          <x14:formula1>
            <xm:f>_data_!$X$28:$X$32</xm:f>
          </x14:formula1>
          <xm:sqref>I4:I51</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588D-C921-403E-A445-492ACD4826D2}">
  <sheetPr codeName="Feuil11">
    <tabColor rgb="FFF2EA72"/>
  </sheetPr>
  <dimension ref="A1:Q52"/>
  <sheetViews>
    <sheetView showGridLines="0" showRowColHeaders="0" zoomScaleNormal="100" workbookViewId="0">
      <pane ySplit="3" topLeftCell="A4" activePane="bottomLeft" state="frozen"/>
      <selection activeCell="L41" sqref="L41"/>
      <selection pane="bottomLeft" activeCell="N20" sqref="N20"/>
    </sheetView>
  </sheetViews>
  <sheetFormatPr baseColWidth="10" defaultColWidth="16" defaultRowHeight="30" customHeight="1" x14ac:dyDescent="0.25"/>
  <cols>
    <col min="1" max="16" width="12.85546875" style="2" customWidth="1"/>
    <col min="17" max="17" width="60" style="2" customWidth="1"/>
    <col min="18" max="16384" width="16" style="2"/>
  </cols>
  <sheetData>
    <row r="1" spans="1:17" s="138" customFormat="1" ht="41.25" customHeight="1" x14ac:dyDescent="0.25">
      <c r="A1" s="293" t="s">
        <v>358</v>
      </c>
      <c r="B1" s="293"/>
      <c r="C1" s="293"/>
      <c r="D1" s="293"/>
      <c r="E1" s="293"/>
      <c r="F1" s="293"/>
      <c r="G1" s="293"/>
      <c r="H1" s="293"/>
      <c r="I1" s="293"/>
      <c r="K1" s="136" t="s">
        <v>297</v>
      </c>
      <c r="L1" s="137">
        <v>0.5</v>
      </c>
      <c r="M1" s="137">
        <v>0.3</v>
      </c>
      <c r="N1" s="137">
        <v>0.2</v>
      </c>
      <c r="O1" s="136"/>
    </row>
    <row r="2" spans="1:17" s="138" customFormat="1" ht="41.25" customHeight="1" x14ac:dyDescent="0.25">
      <c r="A2" s="293"/>
      <c r="B2" s="293"/>
      <c r="C2" s="293"/>
      <c r="D2" s="293"/>
      <c r="E2" s="293"/>
      <c r="F2" s="293"/>
      <c r="G2" s="293"/>
      <c r="H2" s="293"/>
      <c r="I2" s="293"/>
      <c r="K2" s="138" t="s">
        <v>298</v>
      </c>
      <c r="L2" s="139" cm="1">
        <f t="array" ref="L2">IF(L52="Done", "Done",L1*SUM(lighting[[Estimated]:[Estimated]]*(1-lighting[essentials])))</f>
        <v>16.25</v>
      </c>
      <c r="M2" s="139" cm="1">
        <f t="array" ref="M2">IF(M52="Done", "Done",M1*SUM(lighting[[Estimated]:[Estimated]]*(1-lighting[crowd])))</f>
        <v>11.25</v>
      </c>
      <c r="N2" s="139" cm="1">
        <f t="array" ref="N2">IF(N52="Done", "Done",N1*SUM(lighting[[Estimated]:[Estimated]]*(1-lighting[anim])))</f>
        <v>7.08</v>
      </c>
    </row>
    <row r="3" spans="1:17" ht="23.25" customHeight="1" x14ac:dyDescent="0.25">
      <c r="A3" s="2" t="s">
        <v>343</v>
      </c>
      <c r="B3" s="2" t="s">
        <v>300</v>
      </c>
      <c r="C3" s="2" t="s">
        <v>301</v>
      </c>
      <c r="D3" s="2" t="s">
        <v>302</v>
      </c>
      <c r="E3" s="2" t="s">
        <v>344</v>
      </c>
      <c r="F3" s="2" t="s">
        <v>345</v>
      </c>
      <c r="G3" s="2" t="s">
        <v>346</v>
      </c>
      <c r="H3" s="2" t="s">
        <v>303</v>
      </c>
      <c r="I3" s="2" t="s">
        <v>6</v>
      </c>
      <c r="J3" s="2" t="s">
        <v>269</v>
      </c>
      <c r="K3" s="2" t="s">
        <v>304</v>
      </c>
      <c r="L3" s="171" t="s">
        <v>359</v>
      </c>
      <c r="M3" s="171" t="s">
        <v>101</v>
      </c>
      <c r="N3" s="171" t="s">
        <v>255</v>
      </c>
      <c r="O3" s="2" t="s">
        <v>295</v>
      </c>
      <c r="P3" s="2" t="s">
        <v>308</v>
      </c>
      <c r="Q3" s="2" t="s">
        <v>270</v>
      </c>
    </row>
    <row r="4" spans="1:17" ht="30" customHeight="1" x14ac:dyDescent="0.25">
      <c r="A4" s="3" t="str">
        <f>metaSHOTS[[#This Row],[Shot]]</f>
        <v>000_010</v>
      </c>
      <c r="B4" s="2" t="e" vm="1">
        <f>metaSHOTS[[#This Row],[Thumbnail]]</f>
        <v>#VALUE!</v>
      </c>
      <c r="C4" s="86" t="b">
        <v>0</v>
      </c>
      <c r="D4" s="186" t="s">
        <v>324</v>
      </c>
      <c r="E4" s="2">
        <f>metaSHOTS[[#This Row],[Start]]</f>
        <v>1</v>
      </c>
      <c r="F4" s="2">
        <f>metaSHOTS[[#This Row],[End]]</f>
        <v>339</v>
      </c>
      <c r="G4" s="2">
        <f>metaSHOTS[[#This Row],[Duration]]</f>
        <v>339</v>
      </c>
      <c r="H4" s="189" t="s">
        <v>312</v>
      </c>
      <c r="I4" s="8" t="s">
        <v>16</v>
      </c>
      <c r="J4"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4" s="2">
        <v>1</v>
      </c>
      <c r="L4" s="185">
        <v>1</v>
      </c>
      <c r="M4" s="185">
        <v>1</v>
      </c>
      <c r="N4" s="185">
        <v>1</v>
      </c>
      <c r="O4" s="90" cm="1">
        <f t="array" ref="O4">SUM(lighting[[#This Row],[essentials]:[anim]]*lighting_ponderation)</f>
        <v>1</v>
      </c>
      <c r="P4" s="84">
        <f>(1-lighting[[#This Row],[Progress]])*lighting[[#This Row],[Estimated]]</f>
        <v>0</v>
      </c>
      <c r="Q4" s="221"/>
    </row>
    <row r="5" spans="1:17" ht="30" customHeight="1" x14ac:dyDescent="0.25">
      <c r="A5" s="3" t="str">
        <f>metaSHOTS[[#This Row],[Shot]]</f>
        <v>010_010</v>
      </c>
      <c r="B5" s="2" t="e" vm="2">
        <f>metaSHOTS[[#This Row],[Thumbnail]]</f>
        <v>#VALUE!</v>
      </c>
      <c r="C5" s="86" t="b">
        <v>0</v>
      </c>
      <c r="D5" s="186" t="s">
        <v>324</v>
      </c>
      <c r="E5" s="2">
        <f>metaSHOTS[[#This Row],[Start]]</f>
        <v>1</v>
      </c>
      <c r="F5" s="2">
        <f>metaSHOTS[[#This Row],[End]]</f>
        <v>93</v>
      </c>
      <c r="G5" s="2">
        <f>metaSHOTS[[#This Row],[Duration]]</f>
        <v>93</v>
      </c>
      <c r="H5" s="189" t="s">
        <v>312</v>
      </c>
      <c r="I5" s="8" t="s">
        <v>16</v>
      </c>
      <c r="J5"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In Progress</v>
      </c>
      <c r="K5" s="2">
        <v>3</v>
      </c>
      <c r="L5" s="185">
        <v>1</v>
      </c>
      <c r="M5" s="185">
        <v>0.5</v>
      </c>
      <c r="N5" s="185">
        <v>0.7</v>
      </c>
      <c r="O5" s="90" cm="1">
        <f t="array" ref="O5">SUM(lighting[[#This Row],[essentials]:[anim]]*lighting_ponderation)</f>
        <v>0.79</v>
      </c>
      <c r="P5" s="84">
        <f>(1-lighting[[#This Row],[Progress]])*lighting[[#This Row],[Estimated]]</f>
        <v>0.62999999999999989</v>
      </c>
      <c r="Q5" s="221"/>
    </row>
    <row r="6" spans="1:17" ht="30" customHeight="1" x14ac:dyDescent="0.25">
      <c r="A6" s="3" t="str">
        <f>metaSHOTS[[#This Row],[Shot]]</f>
        <v>010_040</v>
      </c>
      <c r="B6" s="2" t="e" vm="3">
        <f>metaSHOTS[[#This Row],[Thumbnail]]</f>
        <v>#VALUE!</v>
      </c>
      <c r="C6" s="86" t="b">
        <v>0</v>
      </c>
      <c r="D6" s="186" t="s">
        <v>324</v>
      </c>
      <c r="E6" s="2">
        <f>metaSHOTS[[#This Row],[Start]]</f>
        <v>1</v>
      </c>
      <c r="F6" s="2">
        <f>metaSHOTS[[#This Row],[End]]</f>
        <v>111</v>
      </c>
      <c r="G6" s="2">
        <f>metaSHOTS[[#This Row],[Duration]]</f>
        <v>111</v>
      </c>
      <c r="H6" s="189" t="s">
        <v>312</v>
      </c>
      <c r="I6" s="8" t="s">
        <v>16</v>
      </c>
      <c r="J6"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6" s="2">
        <v>1.5</v>
      </c>
      <c r="L6" s="185">
        <v>1</v>
      </c>
      <c r="M6" s="185">
        <v>1</v>
      </c>
      <c r="N6" s="185">
        <v>1</v>
      </c>
      <c r="O6" s="90" cm="1">
        <f t="array" ref="O6">SUM(lighting[[#This Row],[essentials]:[anim]]*lighting_ponderation)</f>
        <v>1</v>
      </c>
      <c r="P6" s="84">
        <f>(1-lighting[[#This Row],[Progress]])*lighting[[#This Row],[Estimated]]</f>
        <v>0</v>
      </c>
      <c r="Q6" s="221"/>
    </row>
    <row r="7" spans="1:17" ht="30" customHeight="1" x14ac:dyDescent="0.25">
      <c r="A7" s="3" t="str">
        <f>metaSHOTS[[#This Row],[Shot]]</f>
        <v>010_050</v>
      </c>
      <c r="B7" s="2" t="e" vm="4">
        <f>metaSHOTS[[#This Row],[Thumbnail]]</f>
        <v>#VALUE!</v>
      </c>
      <c r="C7" s="86" t="b">
        <v>0</v>
      </c>
      <c r="D7" s="186" t="s">
        <v>324</v>
      </c>
      <c r="E7" s="2">
        <f>metaSHOTS[[#This Row],[Start]]</f>
        <v>1</v>
      </c>
      <c r="F7" s="2">
        <f>metaSHOTS[[#This Row],[End]]</f>
        <v>65</v>
      </c>
      <c r="G7" s="2">
        <f>metaSHOTS[[#This Row],[Duration]]</f>
        <v>65</v>
      </c>
      <c r="H7" s="189" t="s">
        <v>312</v>
      </c>
      <c r="I7" s="8" t="s">
        <v>16</v>
      </c>
      <c r="J7"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7" s="2">
        <v>1</v>
      </c>
      <c r="L7" s="185">
        <v>1</v>
      </c>
      <c r="M7" s="185">
        <v>1</v>
      </c>
      <c r="N7" s="185">
        <v>1</v>
      </c>
      <c r="O7" s="90" cm="1">
        <f t="array" ref="O7">SUM(lighting[[#This Row],[essentials]:[anim]]*lighting_ponderation)</f>
        <v>1</v>
      </c>
      <c r="P7" s="84">
        <f>(1-lighting[[#This Row],[Progress]])*lighting[[#This Row],[Estimated]]</f>
        <v>0</v>
      </c>
      <c r="Q7" s="221"/>
    </row>
    <row r="8" spans="1:17" ht="30" customHeight="1" x14ac:dyDescent="0.25">
      <c r="A8" s="3" t="str">
        <f>metaSHOTS[[#This Row],[Shot]]</f>
        <v>010_060</v>
      </c>
      <c r="B8" s="2" t="e" vm="5">
        <f>metaSHOTS[[#This Row],[Thumbnail]]</f>
        <v>#VALUE!</v>
      </c>
      <c r="C8" s="86" t="b">
        <v>0</v>
      </c>
      <c r="D8" s="186" t="s">
        <v>324</v>
      </c>
      <c r="E8" s="2">
        <f>metaSHOTS[[#This Row],[Start]]</f>
        <v>1</v>
      </c>
      <c r="F8" s="2">
        <f>metaSHOTS[[#This Row],[End]]</f>
        <v>76</v>
      </c>
      <c r="G8" s="2">
        <f>metaSHOTS[[#This Row],[Duration]]</f>
        <v>76</v>
      </c>
      <c r="H8" s="189" t="s">
        <v>312</v>
      </c>
      <c r="I8" s="8" t="s">
        <v>16</v>
      </c>
      <c r="J8"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8" s="2">
        <v>1</v>
      </c>
      <c r="L8" s="185">
        <v>1</v>
      </c>
      <c r="M8" s="185">
        <v>1</v>
      </c>
      <c r="N8" s="185">
        <v>1</v>
      </c>
      <c r="O8" s="90" cm="1">
        <f t="array" ref="O8">SUM(lighting[[#This Row],[essentials]:[anim]]*lighting_ponderation)</f>
        <v>1</v>
      </c>
      <c r="P8" s="84">
        <f>(1-lighting[[#This Row],[Progress]])*lighting[[#This Row],[Estimated]]</f>
        <v>0</v>
      </c>
      <c r="Q8" s="221"/>
    </row>
    <row r="9" spans="1:17" ht="30" customHeight="1" x14ac:dyDescent="0.25">
      <c r="A9" s="3" t="str">
        <f>metaSHOTS[[#This Row],[Shot]]</f>
        <v>010_070</v>
      </c>
      <c r="B9" s="2" t="e" vm="6">
        <f>metaSHOTS[[#This Row],[Thumbnail]]</f>
        <v>#VALUE!</v>
      </c>
      <c r="C9" s="86" t="b">
        <v>0</v>
      </c>
      <c r="D9" s="186" t="s">
        <v>324</v>
      </c>
      <c r="E9" s="2">
        <f>metaSHOTS[[#This Row],[Start]]</f>
        <v>1</v>
      </c>
      <c r="F9" s="2">
        <f>metaSHOTS[[#This Row],[End]]</f>
        <v>41</v>
      </c>
      <c r="G9" s="2">
        <f>metaSHOTS[[#This Row],[Duration]]</f>
        <v>41</v>
      </c>
      <c r="H9" s="189" t="s">
        <v>312</v>
      </c>
      <c r="I9" s="8" t="s">
        <v>16</v>
      </c>
      <c r="J9"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9" s="2">
        <v>1</v>
      </c>
      <c r="L9" s="185">
        <v>1</v>
      </c>
      <c r="M9" s="185">
        <v>1</v>
      </c>
      <c r="N9" s="185">
        <v>1</v>
      </c>
      <c r="O9" s="90" cm="1">
        <f t="array" ref="O9">SUM(lighting[[#This Row],[essentials]:[anim]]*lighting_ponderation)</f>
        <v>1</v>
      </c>
      <c r="P9" s="84">
        <f>(1-lighting[[#This Row],[Progress]])*lighting[[#This Row],[Estimated]]</f>
        <v>0</v>
      </c>
      <c r="Q9" s="221"/>
    </row>
    <row r="10" spans="1:17" ht="30" customHeight="1" x14ac:dyDescent="0.25">
      <c r="A10" s="3" t="str">
        <f>metaSHOTS[[#This Row],[Shot]]</f>
        <v>010_080</v>
      </c>
      <c r="B10" s="2" t="e" vm="7">
        <f>metaSHOTS[[#This Row],[Thumbnail]]</f>
        <v>#VALUE!</v>
      </c>
      <c r="C10" s="86" t="b">
        <v>0</v>
      </c>
      <c r="D10" s="186" t="s">
        <v>324</v>
      </c>
      <c r="E10" s="2">
        <f>metaSHOTS[[#This Row],[Start]]</f>
        <v>1</v>
      </c>
      <c r="F10" s="2">
        <f>metaSHOTS[[#This Row],[End]]</f>
        <v>18</v>
      </c>
      <c r="G10" s="2">
        <f>metaSHOTS[[#This Row],[Duration]]</f>
        <v>18</v>
      </c>
      <c r="H10" s="189" t="s">
        <v>312</v>
      </c>
      <c r="I10" s="8" t="s">
        <v>16</v>
      </c>
      <c r="J10"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0" s="2">
        <v>1</v>
      </c>
      <c r="L10" s="185">
        <v>1</v>
      </c>
      <c r="M10" s="185">
        <v>1</v>
      </c>
      <c r="N10" s="185">
        <v>1</v>
      </c>
      <c r="O10" s="90" cm="1">
        <f t="array" ref="O10">SUM(lighting[[#This Row],[essentials]:[anim]]*lighting_ponderation)</f>
        <v>1</v>
      </c>
      <c r="P10" s="84">
        <f>(1-lighting[[#This Row],[Progress]])*lighting[[#This Row],[Estimated]]</f>
        <v>0</v>
      </c>
      <c r="Q10" s="221"/>
    </row>
    <row r="11" spans="1:17" ht="30" customHeight="1" x14ac:dyDescent="0.25">
      <c r="A11" s="3" t="str">
        <f>metaSHOTS[[#This Row],[Shot]]</f>
        <v>010_090</v>
      </c>
      <c r="B11" s="2" t="e" vm="8">
        <f>metaSHOTS[[#This Row],[Thumbnail]]</f>
        <v>#VALUE!</v>
      </c>
      <c r="C11" s="86" t="b">
        <v>0</v>
      </c>
      <c r="D11" s="186" t="s">
        <v>324</v>
      </c>
      <c r="E11" s="2">
        <f>metaSHOTS[[#This Row],[Start]]</f>
        <v>2</v>
      </c>
      <c r="F11" s="2">
        <f>metaSHOTS[[#This Row],[End]]</f>
        <v>9</v>
      </c>
      <c r="G11" s="2">
        <f>metaSHOTS[[#This Row],[Duration]]</f>
        <v>8</v>
      </c>
      <c r="H11" s="189" t="s">
        <v>312</v>
      </c>
      <c r="I11" s="8" t="s">
        <v>16</v>
      </c>
      <c r="J11"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1" s="2">
        <v>1</v>
      </c>
      <c r="L11" s="185">
        <v>1</v>
      </c>
      <c r="M11" s="185">
        <v>1</v>
      </c>
      <c r="N11" s="185">
        <v>1</v>
      </c>
      <c r="O11" s="90" cm="1">
        <f t="array" ref="O11">SUM(lighting[[#This Row],[essentials]:[anim]]*lighting_ponderation)</f>
        <v>1</v>
      </c>
      <c r="P11" s="84">
        <f>(1-lighting[[#This Row],[Progress]])*lighting[[#This Row],[Estimated]]</f>
        <v>0</v>
      </c>
      <c r="Q11" s="221"/>
    </row>
    <row r="12" spans="1:17" ht="30" customHeight="1" x14ac:dyDescent="0.25">
      <c r="A12" s="3" t="str">
        <f>metaSHOTS[[#This Row],[Shot]]</f>
        <v>010_100</v>
      </c>
      <c r="B12" s="2" t="e" vm="9">
        <f>metaSHOTS[[#This Row],[Thumbnail]]</f>
        <v>#VALUE!</v>
      </c>
      <c r="C12" s="86" t="b">
        <v>0</v>
      </c>
      <c r="D12" s="186" t="s">
        <v>324</v>
      </c>
      <c r="E12" s="2">
        <f>metaSHOTS[[#This Row],[Start]]</f>
        <v>1</v>
      </c>
      <c r="F12" s="2">
        <f>metaSHOTS[[#This Row],[End]]</f>
        <v>75</v>
      </c>
      <c r="G12" s="2">
        <f>metaSHOTS[[#This Row],[Duration]]</f>
        <v>75</v>
      </c>
      <c r="H12" s="189" t="s">
        <v>312</v>
      </c>
      <c r="I12" s="8" t="s">
        <v>16</v>
      </c>
      <c r="J12"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2" s="2">
        <v>2</v>
      </c>
      <c r="L12" s="185">
        <v>1</v>
      </c>
      <c r="M12" s="185">
        <v>1</v>
      </c>
      <c r="N12" s="185">
        <v>1</v>
      </c>
      <c r="O12" s="90" cm="1">
        <f t="array" ref="O12">SUM(lighting[[#This Row],[essentials]:[anim]]*lighting_ponderation)</f>
        <v>1</v>
      </c>
      <c r="P12" s="84">
        <f>(1-lighting[[#This Row],[Progress]])*lighting[[#This Row],[Estimated]]</f>
        <v>0</v>
      </c>
      <c r="Q12" s="221"/>
    </row>
    <row r="13" spans="1:17" ht="30" customHeight="1" x14ac:dyDescent="0.25">
      <c r="A13" s="3" t="str">
        <f>metaSHOTS[[#This Row],[Shot]]</f>
        <v>010_110</v>
      </c>
      <c r="B13" s="2" t="e" vm="10">
        <f>metaSHOTS[[#This Row],[Thumbnail]]</f>
        <v>#VALUE!</v>
      </c>
      <c r="C13" s="86" t="b">
        <v>0</v>
      </c>
      <c r="D13" s="186" t="s">
        <v>324</v>
      </c>
      <c r="E13" s="2">
        <f>metaSHOTS[[#This Row],[Start]]</f>
        <v>1</v>
      </c>
      <c r="F13" s="2">
        <f>metaSHOTS[[#This Row],[End]]</f>
        <v>52</v>
      </c>
      <c r="G13" s="2">
        <f>metaSHOTS[[#This Row],[Duration]]</f>
        <v>52</v>
      </c>
      <c r="H13" s="189" t="s">
        <v>312</v>
      </c>
      <c r="I13" s="8" t="s">
        <v>16</v>
      </c>
      <c r="J13"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3" s="2">
        <v>2</v>
      </c>
      <c r="L13" s="185">
        <v>1</v>
      </c>
      <c r="M13" s="185">
        <v>1</v>
      </c>
      <c r="N13" s="185">
        <v>1</v>
      </c>
      <c r="O13" s="90" cm="1">
        <f t="array" ref="O13">SUM(lighting[[#This Row],[essentials]:[anim]]*lighting_ponderation)</f>
        <v>1</v>
      </c>
      <c r="P13" s="84">
        <f>(1-lighting[[#This Row],[Progress]])*lighting[[#This Row],[Estimated]]</f>
        <v>0</v>
      </c>
      <c r="Q13" s="221"/>
    </row>
    <row r="14" spans="1:17" ht="30" customHeight="1" x14ac:dyDescent="0.25">
      <c r="A14" s="3" t="str">
        <f>metaSHOTS[[#This Row],[Shot]]</f>
        <v>010_160</v>
      </c>
      <c r="B14" s="2" t="e" vm="11">
        <f>metaSHOTS[[#This Row],[Thumbnail]]</f>
        <v>#VALUE!</v>
      </c>
      <c r="C14" s="86" t="b">
        <v>0</v>
      </c>
      <c r="D14" s="186" t="s">
        <v>324</v>
      </c>
      <c r="E14" s="2">
        <f>metaSHOTS[[#This Row],[Start]]</f>
        <v>1</v>
      </c>
      <c r="F14" s="2">
        <f>metaSHOTS[[#This Row],[End]]</f>
        <v>21</v>
      </c>
      <c r="G14" s="2">
        <f>metaSHOTS[[#This Row],[Duration]]</f>
        <v>21</v>
      </c>
      <c r="H14" s="189" t="s">
        <v>312</v>
      </c>
      <c r="I14" s="8" t="s">
        <v>16</v>
      </c>
      <c r="J14"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4" s="2">
        <v>1</v>
      </c>
      <c r="L14" s="185">
        <v>1</v>
      </c>
      <c r="M14" s="185">
        <v>1</v>
      </c>
      <c r="N14" s="185">
        <v>1</v>
      </c>
      <c r="O14" s="90" cm="1">
        <f t="array" ref="O14">SUM(lighting[[#This Row],[essentials]:[anim]]*lighting_ponderation)</f>
        <v>1</v>
      </c>
      <c r="P14" s="84">
        <f>(1-lighting[[#This Row],[Progress]])*lighting[[#This Row],[Estimated]]</f>
        <v>0</v>
      </c>
      <c r="Q14" s="221"/>
    </row>
    <row r="15" spans="1:17" ht="30" customHeight="1" x14ac:dyDescent="0.25">
      <c r="A15" s="3" t="str">
        <f>metaSHOTS[[#This Row],[Shot]]</f>
        <v>010_170</v>
      </c>
      <c r="B15" s="2" t="e" vm="12">
        <f>metaSHOTS[[#This Row],[Thumbnail]]</f>
        <v>#VALUE!</v>
      </c>
      <c r="C15" s="86" t="b">
        <v>0</v>
      </c>
      <c r="D15" s="186" t="s">
        <v>324</v>
      </c>
      <c r="E15" s="2">
        <f>metaSHOTS[[#This Row],[Start]]</f>
        <v>1</v>
      </c>
      <c r="F15" s="2">
        <f>metaSHOTS[[#This Row],[End]]</f>
        <v>17</v>
      </c>
      <c r="G15" s="2">
        <f>metaSHOTS[[#This Row],[Duration]]</f>
        <v>17</v>
      </c>
      <c r="H15" s="189" t="s">
        <v>312</v>
      </c>
      <c r="I15" s="8" t="s">
        <v>16</v>
      </c>
      <c r="J15"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5" s="2">
        <v>1</v>
      </c>
      <c r="L15" s="185">
        <v>1</v>
      </c>
      <c r="M15" s="185">
        <v>1</v>
      </c>
      <c r="N15" s="185">
        <v>1</v>
      </c>
      <c r="O15" s="90" cm="1">
        <f t="array" ref="O15">SUM(lighting[[#This Row],[essentials]:[anim]]*lighting_ponderation)</f>
        <v>1</v>
      </c>
      <c r="P15" s="84">
        <f>(1-lighting[[#This Row],[Progress]])*lighting[[#This Row],[Estimated]]</f>
        <v>0</v>
      </c>
      <c r="Q15" s="221"/>
    </row>
    <row r="16" spans="1:17" ht="30" customHeight="1" x14ac:dyDescent="0.25">
      <c r="A16" s="3" t="str">
        <f>metaSHOTS[[#This Row],[Shot]]</f>
        <v>010_180</v>
      </c>
      <c r="B16" s="2" t="e" vm="13">
        <f>metaSHOTS[[#This Row],[Thumbnail]]</f>
        <v>#VALUE!</v>
      </c>
      <c r="C16" s="86" t="b">
        <v>0</v>
      </c>
      <c r="D16" s="186" t="s">
        <v>324</v>
      </c>
      <c r="E16" s="2">
        <f>metaSHOTS[[#This Row],[Start]]</f>
        <v>1</v>
      </c>
      <c r="F16" s="2">
        <f>metaSHOTS[[#This Row],[End]]</f>
        <v>124</v>
      </c>
      <c r="G16" s="2">
        <f>metaSHOTS[[#This Row],[Duration]]</f>
        <v>124</v>
      </c>
      <c r="H16" s="189" t="s">
        <v>312</v>
      </c>
      <c r="I16" s="8" t="s">
        <v>16</v>
      </c>
      <c r="J16"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6" s="2">
        <v>1</v>
      </c>
      <c r="L16" s="185">
        <v>1</v>
      </c>
      <c r="M16" s="185">
        <v>1</v>
      </c>
      <c r="N16" s="185">
        <v>1</v>
      </c>
      <c r="O16" s="90" cm="1">
        <f t="array" ref="O16">SUM(lighting[[#This Row],[essentials]:[anim]]*lighting_ponderation)</f>
        <v>1</v>
      </c>
      <c r="P16" s="84">
        <f>(1-lighting[[#This Row],[Progress]])*lighting[[#This Row],[Estimated]]</f>
        <v>0</v>
      </c>
      <c r="Q16" s="221"/>
    </row>
    <row r="17" spans="1:17" ht="30" customHeight="1" x14ac:dyDescent="0.25">
      <c r="A17" s="3" t="str">
        <f>metaSHOTS[[#This Row],[Shot]]</f>
        <v>010_190</v>
      </c>
      <c r="B17" s="2" t="e" vm="14">
        <f>metaSHOTS[[#This Row],[Thumbnail]]</f>
        <v>#VALUE!</v>
      </c>
      <c r="C17" s="86" t="b">
        <v>0</v>
      </c>
      <c r="D17" s="186" t="s">
        <v>324</v>
      </c>
      <c r="E17" s="2">
        <f>metaSHOTS[[#This Row],[Start]]</f>
        <v>1</v>
      </c>
      <c r="F17" s="2">
        <f>metaSHOTS[[#This Row],[End]]</f>
        <v>121</v>
      </c>
      <c r="G17" s="2">
        <f>metaSHOTS[[#This Row],[Duration]]</f>
        <v>121</v>
      </c>
      <c r="H17" s="189" t="s">
        <v>312</v>
      </c>
      <c r="I17" s="8" t="s">
        <v>16</v>
      </c>
      <c r="J17"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In Progress</v>
      </c>
      <c r="K17" s="2">
        <v>1</v>
      </c>
      <c r="L17" s="185">
        <v>1</v>
      </c>
      <c r="M17" s="185">
        <v>0.5</v>
      </c>
      <c r="N17" s="185">
        <v>0</v>
      </c>
      <c r="O17" s="90" cm="1">
        <f t="array" ref="O17">SUM(lighting[[#This Row],[essentials]:[anim]]*lighting_ponderation)</f>
        <v>0.65</v>
      </c>
      <c r="P17" s="84">
        <f>(1-lighting[[#This Row],[Progress]])*lighting[[#This Row],[Estimated]]</f>
        <v>0.35</v>
      </c>
      <c r="Q17" s="221"/>
    </row>
    <row r="18" spans="1:17" ht="30" customHeight="1" x14ac:dyDescent="0.25">
      <c r="A18" s="3" t="str">
        <f>metaSHOTS[[#This Row],[Shot]]</f>
        <v>010_200</v>
      </c>
      <c r="B18" s="2" t="e" vm="15">
        <f>metaSHOTS[[#This Row],[Thumbnail]]</f>
        <v>#VALUE!</v>
      </c>
      <c r="C18" s="86" t="b">
        <v>0</v>
      </c>
      <c r="D18" s="186" t="s">
        <v>324</v>
      </c>
      <c r="E18" s="2">
        <f>metaSHOTS[[#This Row],[Start]]</f>
        <v>1</v>
      </c>
      <c r="F18" s="2">
        <f>metaSHOTS[[#This Row],[End]]</f>
        <v>121</v>
      </c>
      <c r="G18" s="2">
        <f>metaSHOTS[[#This Row],[Duration]]</f>
        <v>121</v>
      </c>
      <c r="H18" s="189" t="s">
        <v>312</v>
      </c>
      <c r="I18" s="8" t="s">
        <v>16</v>
      </c>
      <c r="J18"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8" s="2">
        <v>1</v>
      </c>
      <c r="L18" s="185">
        <v>1</v>
      </c>
      <c r="M18" s="185">
        <v>1</v>
      </c>
      <c r="N18" s="185">
        <v>1</v>
      </c>
      <c r="O18" s="90" cm="1">
        <f t="array" ref="O18">SUM(lighting[[#This Row],[essentials]:[anim]]*lighting_ponderation)</f>
        <v>1</v>
      </c>
      <c r="P18" s="84">
        <f>(1-lighting[[#This Row],[Progress]])*lighting[[#This Row],[Estimated]]</f>
        <v>0</v>
      </c>
      <c r="Q18" s="221"/>
    </row>
    <row r="19" spans="1:17" ht="30" customHeight="1" x14ac:dyDescent="0.25">
      <c r="A19" s="3" t="str">
        <f>metaSHOTS[[#This Row],[Shot]]</f>
        <v>020_020</v>
      </c>
      <c r="B19" s="2" t="e" vm="16">
        <f>metaSHOTS[[#This Row],[Thumbnail]]</f>
        <v>#VALUE!</v>
      </c>
      <c r="C19" s="86" t="b">
        <v>0</v>
      </c>
      <c r="D19" s="186" t="s">
        <v>324</v>
      </c>
      <c r="E19" s="2">
        <f>metaSHOTS[[#This Row],[Start]]</f>
        <v>1</v>
      </c>
      <c r="F19" s="2">
        <f>metaSHOTS[[#This Row],[End]]</f>
        <v>102</v>
      </c>
      <c r="G19" s="2">
        <f>metaSHOTS[[#This Row],[Duration]]</f>
        <v>102</v>
      </c>
      <c r="H19" s="189" t="s">
        <v>312</v>
      </c>
      <c r="I19" s="8" t="s">
        <v>16</v>
      </c>
      <c r="J19"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19" s="2">
        <v>1</v>
      </c>
      <c r="L19" s="185">
        <v>1</v>
      </c>
      <c r="M19" s="185">
        <v>1</v>
      </c>
      <c r="N19" s="185">
        <v>1</v>
      </c>
      <c r="O19" s="90" cm="1">
        <f t="array" ref="O19">SUM(lighting[[#This Row],[essentials]:[anim]]*lighting_ponderation)</f>
        <v>1</v>
      </c>
      <c r="P19" s="84">
        <f>(1-lighting[[#This Row],[Progress]])*lighting[[#This Row],[Estimated]]</f>
        <v>0</v>
      </c>
      <c r="Q19" s="221"/>
    </row>
    <row r="20" spans="1:17" ht="30" customHeight="1" x14ac:dyDescent="0.25">
      <c r="A20" s="3" t="str">
        <f>metaSHOTS[[#This Row],[Shot]]</f>
        <v>020_030</v>
      </c>
      <c r="B20" s="2" t="e" vm="17">
        <f>metaSHOTS[[#This Row],[Thumbnail]]</f>
        <v>#VALUE!</v>
      </c>
      <c r="C20" s="86" t="b">
        <v>0</v>
      </c>
      <c r="D20" s="186" t="s">
        <v>324</v>
      </c>
      <c r="E20" s="2">
        <f>metaSHOTS[[#This Row],[Start]]</f>
        <v>1</v>
      </c>
      <c r="F20" s="2">
        <f>metaSHOTS[[#This Row],[End]]</f>
        <v>107</v>
      </c>
      <c r="G20" s="2">
        <f>metaSHOTS[[#This Row],[Duration]]</f>
        <v>107</v>
      </c>
      <c r="H20" s="189" t="s">
        <v>312</v>
      </c>
      <c r="I20" s="8" t="s">
        <v>16</v>
      </c>
      <c r="J20"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20" s="2">
        <v>1</v>
      </c>
      <c r="L20" s="185">
        <v>1</v>
      </c>
      <c r="M20" s="185">
        <v>1</v>
      </c>
      <c r="N20" s="185">
        <v>1</v>
      </c>
      <c r="O20" s="90" cm="1">
        <f t="array" ref="O20">SUM(lighting[[#This Row],[essentials]:[anim]]*lighting_ponderation)</f>
        <v>1</v>
      </c>
      <c r="P20" s="84">
        <f>(1-lighting[[#This Row],[Progress]])*lighting[[#This Row],[Estimated]]</f>
        <v>0</v>
      </c>
      <c r="Q20" s="221"/>
    </row>
    <row r="21" spans="1:17" ht="30" customHeight="1" x14ac:dyDescent="0.25">
      <c r="A21" s="3" t="str">
        <f>metaSHOTS[[#This Row],[Shot]]</f>
        <v>020_040</v>
      </c>
      <c r="B21" s="2" t="e" vm="18">
        <f>metaSHOTS[[#This Row],[Thumbnail]]</f>
        <v>#VALUE!</v>
      </c>
      <c r="C21" s="86" t="b">
        <v>0</v>
      </c>
      <c r="D21" s="186" t="s">
        <v>324</v>
      </c>
      <c r="E21" s="2">
        <f>metaSHOTS[[#This Row],[Start]]</f>
        <v>1</v>
      </c>
      <c r="F21" s="2">
        <f>metaSHOTS[[#This Row],[End]]</f>
        <v>43</v>
      </c>
      <c r="G21" s="2">
        <f>metaSHOTS[[#This Row],[Duration]]</f>
        <v>43</v>
      </c>
      <c r="H21" s="189" t="s">
        <v>312</v>
      </c>
      <c r="I21" s="8" t="s">
        <v>16</v>
      </c>
      <c r="J21"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21" s="2">
        <v>1</v>
      </c>
      <c r="L21" s="185">
        <v>1</v>
      </c>
      <c r="M21" s="185">
        <v>1</v>
      </c>
      <c r="N21" s="185">
        <v>1</v>
      </c>
      <c r="O21" s="90" cm="1">
        <f t="array" ref="O21">SUM(lighting[[#This Row],[essentials]:[anim]]*lighting_ponderation)</f>
        <v>1</v>
      </c>
      <c r="P21" s="84">
        <f>(1-lighting[[#This Row],[Progress]])*lighting[[#This Row],[Estimated]]</f>
        <v>0</v>
      </c>
      <c r="Q21" s="221"/>
    </row>
    <row r="22" spans="1:17" ht="30" customHeight="1" x14ac:dyDescent="0.25">
      <c r="A22" s="3" t="str">
        <f>metaSHOTS[[#This Row],[Shot]]</f>
        <v>020_050</v>
      </c>
      <c r="B22" s="2" t="e" vm="19">
        <f>metaSHOTS[[#This Row],[Thumbnail]]</f>
        <v>#VALUE!</v>
      </c>
      <c r="C22" s="86" t="b">
        <v>0</v>
      </c>
      <c r="D22" s="186" t="s">
        <v>324</v>
      </c>
      <c r="E22" s="2">
        <f>metaSHOTS[[#This Row],[Start]]</f>
        <v>1</v>
      </c>
      <c r="F22" s="2">
        <f>metaSHOTS[[#This Row],[End]]</f>
        <v>227</v>
      </c>
      <c r="G22" s="2">
        <f>metaSHOTS[[#This Row],[Duration]]</f>
        <v>227</v>
      </c>
      <c r="H22" s="189" t="s">
        <v>312</v>
      </c>
      <c r="I22" s="8" t="s">
        <v>16</v>
      </c>
      <c r="J22"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In Progress</v>
      </c>
      <c r="K22" s="2">
        <v>1</v>
      </c>
      <c r="L22" s="185">
        <v>1</v>
      </c>
      <c r="M22" s="185">
        <v>1</v>
      </c>
      <c r="N22" s="185">
        <v>0.5</v>
      </c>
      <c r="O22" s="90" cm="1">
        <f t="array" ref="O22">SUM(lighting[[#This Row],[essentials]:[anim]]*lighting_ponderation)</f>
        <v>0.9</v>
      </c>
      <c r="P22" s="84">
        <f>(1-lighting[[#This Row],[Progress]])*lighting[[#This Row],[Estimated]]</f>
        <v>9.9999999999999978E-2</v>
      </c>
      <c r="Q22" s="221"/>
    </row>
    <row r="23" spans="1:17" ht="30" customHeight="1" x14ac:dyDescent="0.25">
      <c r="A23" s="3" t="str">
        <f>metaSHOTS[[#This Row],[Shot]]</f>
        <v>030_020</v>
      </c>
      <c r="B23" s="2" t="e" vm="20">
        <f>metaSHOTS[[#This Row],[Thumbnail]]</f>
        <v>#VALUE!</v>
      </c>
      <c r="C23" s="86" t="b">
        <v>0</v>
      </c>
      <c r="D23" s="186" t="s">
        <v>324</v>
      </c>
      <c r="E23" s="2">
        <f>metaSHOTS[[#This Row],[Start]]</f>
        <v>1</v>
      </c>
      <c r="F23" s="2">
        <f>metaSHOTS[[#This Row],[End]]</f>
        <v>290</v>
      </c>
      <c r="G23" s="2">
        <f>metaSHOTS[[#This Row],[Duration]]</f>
        <v>290</v>
      </c>
      <c r="H23" s="189" t="s">
        <v>312</v>
      </c>
      <c r="I23" s="8" t="s">
        <v>16</v>
      </c>
      <c r="J23"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In Progress</v>
      </c>
      <c r="K23" s="2">
        <v>1</v>
      </c>
      <c r="L23" s="185">
        <v>1</v>
      </c>
      <c r="M23" s="185">
        <v>1</v>
      </c>
      <c r="N23" s="185">
        <v>0.5</v>
      </c>
      <c r="O23" s="90" cm="1">
        <f t="array" ref="O23">SUM(lighting[[#This Row],[essentials]:[anim]]*lighting_ponderation)</f>
        <v>0.9</v>
      </c>
      <c r="P23" s="84">
        <f>(1-lighting[[#This Row],[Progress]])*lighting[[#This Row],[Estimated]]</f>
        <v>9.9999999999999978E-2</v>
      </c>
      <c r="Q23" s="221"/>
    </row>
    <row r="24" spans="1:17" ht="30" customHeight="1" x14ac:dyDescent="0.25">
      <c r="A24" s="3" t="str">
        <f>metaSHOTS[[#This Row],[Shot]]</f>
        <v>030_030</v>
      </c>
      <c r="B24" s="2" t="e" vm="21">
        <f>metaSHOTS[[#This Row],[Thumbnail]]</f>
        <v>#VALUE!</v>
      </c>
      <c r="C24" s="86" t="b">
        <v>0</v>
      </c>
      <c r="D24" s="186" t="s">
        <v>324</v>
      </c>
      <c r="E24" s="2">
        <f>metaSHOTS[[#This Row],[Start]]</f>
        <v>1</v>
      </c>
      <c r="F24" s="2">
        <f>metaSHOTS[[#This Row],[End]]</f>
        <v>141</v>
      </c>
      <c r="G24" s="2">
        <f>metaSHOTS[[#This Row],[Duration]]</f>
        <v>141</v>
      </c>
      <c r="H24" s="189" t="s">
        <v>312</v>
      </c>
      <c r="I24" s="8" t="s">
        <v>16</v>
      </c>
      <c r="J24"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24" s="2">
        <v>1</v>
      </c>
      <c r="L24" s="185">
        <v>1</v>
      </c>
      <c r="M24" s="185">
        <v>1</v>
      </c>
      <c r="N24" s="185">
        <v>1</v>
      </c>
      <c r="O24" s="90" cm="1">
        <f t="array" ref="O24">SUM(lighting[[#This Row],[essentials]:[anim]]*lighting_ponderation)</f>
        <v>1</v>
      </c>
      <c r="P24" s="84">
        <f>(1-lighting[[#This Row],[Progress]])*lighting[[#This Row],[Estimated]]</f>
        <v>0</v>
      </c>
      <c r="Q24" s="221"/>
    </row>
    <row r="25" spans="1:17" ht="30" customHeight="1" x14ac:dyDescent="0.25">
      <c r="A25" s="3" t="str">
        <f>metaSHOTS[[#This Row],[Shot]]</f>
        <v>030_040</v>
      </c>
      <c r="B25" s="2" t="e" vm="22">
        <f>metaSHOTS[[#This Row],[Thumbnail]]</f>
        <v>#VALUE!</v>
      </c>
      <c r="C25" s="86" t="b">
        <v>0</v>
      </c>
      <c r="D25" s="186" t="s">
        <v>324</v>
      </c>
      <c r="E25" s="2">
        <f>metaSHOTS[[#This Row],[Start]]</f>
        <v>1</v>
      </c>
      <c r="F25" s="2">
        <f>metaSHOTS[[#This Row],[End]]</f>
        <v>133</v>
      </c>
      <c r="G25" s="2">
        <f>metaSHOTS[[#This Row],[Duration]]</f>
        <v>133</v>
      </c>
      <c r="H25" s="189" t="s">
        <v>312</v>
      </c>
      <c r="I25" s="8" t="s">
        <v>16</v>
      </c>
      <c r="J25"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25" s="2">
        <v>0.75</v>
      </c>
      <c r="L25" s="185">
        <v>0</v>
      </c>
      <c r="M25" s="185">
        <v>0</v>
      </c>
      <c r="N25" s="185">
        <v>0</v>
      </c>
      <c r="O25" s="90" cm="1">
        <f t="array" ref="O25">SUM(lighting[[#This Row],[essentials]:[anim]]*lighting_ponderation)</f>
        <v>0</v>
      </c>
      <c r="P25" s="84">
        <f>(1-lighting[[#This Row],[Progress]])*lighting[[#This Row],[Estimated]]</f>
        <v>0.75</v>
      </c>
      <c r="Q25" s="221"/>
    </row>
    <row r="26" spans="1:17" ht="30" customHeight="1" x14ac:dyDescent="0.25">
      <c r="A26" s="3" t="str">
        <f>metaSHOTS[[#This Row],[Shot]]</f>
        <v>030_060</v>
      </c>
      <c r="B26" s="2" t="e" vm="23">
        <f>metaSHOTS[[#This Row],[Thumbnail]]</f>
        <v>#VALUE!</v>
      </c>
      <c r="C26" s="86" t="b">
        <v>0</v>
      </c>
      <c r="D26" s="186" t="s">
        <v>324</v>
      </c>
      <c r="E26" s="2">
        <f>metaSHOTS[[#This Row],[Start]]</f>
        <v>1</v>
      </c>
      <c r="F26" s="2">
        <f>metaSHOTS[[#This Row],[End]]</f>
        <v>93</v>
      </c>
      <c r="G26" s="2">
        <f>metaSHOTS[[#This Row],[Duration]]</f>
        <v>93</v>
      </c>
      <c r="H26" s="189" t="s">
        <v>312</v>
      </c>
      <c r="I26" s="8" t="s">
        <v>16</v>
      </c>
      <c r="J26"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26" s="2">
        <v>1</v>
      </c>
      <c r="L26" s="185">
        <v>0</v>
      </c>
      <c r="M26" s="185">
        <v>0</v>
      </c>
      <c r="N26" s="185">
        <v>0</v>
      </c>
      <c r="O26" s="90" cm="1">
        <f t="array" ref="O26">SUM(lighting[[#This Row],[essentials]:[anim]]*lighting_ponderation)</f>
        <v>0</v>
      </c>
      <c r="P26" s="84">
        <f>(1-lighting[[#This Row],[Progress]])*lighting[[#This Row],[Estimated]]</f>
        <v>1</v>
      </c>
      <c r="Q26" s="221"/>
    </row>
    <row r="27" spans="1:17" ht="30" customHeight="1" x14ac:dyDescent="0.25">
      <c r="A27" s="3" t="str">
        <f>metaSHOTS[[#This Row],[Shot]]</f>
        <v>030_070</v>
      </c>
      <c r="B27" s="2" t="e" vm="24">
        <f>metaSHOTS[[#This Row],[Thumbnail]]</f>
        <v>#VALUE!</v>
      </c>
      <c r="C27" s="86" t="b">
        <v>0</v>
      </c>
      <c r="D27" s="186" t="s">
        <v>324</v>
      </c>
      <c r="E27" s="2">
        <f>metaSHOTS[[#This Row],[Start]]</f>
        <v>1</v>
      </c>
      <c r="F27" s="2">
        <f>metaSHOTS[[#This Row],[End]]</f>
        <v>19</v>
      </c>
      <c r="G27" s="2">
        <f>metaSHOTS[[#This Row],[Duration]]</f>
        <v>19</v>
      </c>
      <c r="H27" s="189" t="s">
        <v>312</v>
      </c>
      <c r="I27" s="8" t="s">
        <v>16</v>
      </c>
      <c r="J27"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27" s="2">
        <v>1</v>
      </c>
      <c r="L27" s="185">
        <v>0</v>
      </c>
      <c r="M27" s="185">
        <v>0</v>
      </c>
      <c r="N27" s="185">
        <v>0</v>
      </c>
      <c r="O27" s="90" cm="1">
        <f t="array" ref="O27">SUM(lighting[[#This Row],[essentials]:[anim]]*lighting_ponderation)</f>
        <v>0</v>
      </c>
      <c r="P27" s="84">
        <f>(1-lighting[[#This Row],[Progress]])*lighting[[#This Row],[Estimated]]</f>
        <v>1</v>
      </c>
      <c r="Q27" s="221"/>
    </row>
    <row r="28" spans="1:17" ht="30" customHeight="1" x14ac:dyDescent="0.25">
      <c r="A28" s="3" t="str">
        <f>metaSHOTS[[#This Row],[Shot]]</f>
        <v>030_080</v>
      </c>
      <c r="B28" s="2" t="e" vm="25">
        <f>metaSHOTS[[#This Row],[Thumbnail]]</f>
        <v>#VALUE!</v>
      </c>
      <c r="C28" s="86" t="b">
        <v>0</v>
      </c>
      <c r="D28" s="186" t="s">
        <v>324</v>
      </c>
      <c r="E28" s="2">
        <f>metaSHOTS[[#This Row],[Start]]</f>
        <v>1</v>
      </c>
      <c r="F28" s="2">
        <f>metaSHOTS[[#This Row],[End]]</f>
        <v>51</v>
      </c>
      <c r="G28" s="2">
        <f>metaSHOTS[[#This Row],[Duration]]</f>
        <v>51</v>
      </c>
      <c r="H28" s="189" t="s">
        <v>312</v>
      </c>
      <c r="I28" s="8" t="s">
        <v>16</v>
      </c>
      <c r="J28"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28" s="2">
        <v>1</v>
      </c>
      <c r="L28" s="185">
        <v>0</v>
      </c>
      <c r="M28" s="185">
        <v>0</v>
      </c>
      <c r="N28" s="185">
        <v>0</v>
      </c>
      <c r="O28" s="90" cm="1">
        <f t="array" ref="O28">SUM(lighting[[#This Row],[essentials]:[anim]]*lighting_ponderation)</f>
        <v>0</v>
      </c>
      <c r="P28" s="84">
        <f>(1-lighting[[#This Row],[Progress]])*lighting[[#This Row],[Estimated]]</f>
        <v>1</v>
      </c>
      <c r="Q28" s="221"/>
    </row>
    <row r="29" spans="1:17" ht="30" customHeight="1" x14ac:dyDescent="0.25">
      <c r="A29" s="3" t="str">
        <f>metaSHOTS[[#This Row],[Shot]]</f>
        <v>030_100</v>
      </c>
      <c r="B29" s="2" t="e" vm="26">
        <f>metaSHOTS[[#This Row],[Thumbnail]]</f>
        <v>#VALUE!</v>
      </c>
      <c r="C29" s="86" t="b">
        <v>0</v>
      </c>
      <c r="D29" s="186" t="s">
        <v>324</v>
      </c>
      <c r="E29" s="2">
        <f>metaSHOTS[[#This Row],[Start]]</f>
        <v>1</v>
      </c>
      <c r="F29" s="2">
        <f>metaSHOTS[[#This Row],[End]]</f>
        <v>87</v>
      </c>
      <c r="G29" s="2">
        <f>metaSHOTS[[#This Row],[Duration]]</f>
        <v>87</v>
      </c>
      <c r="H29" s="189" t="s">
        <v>312</v>
      </c>
      <c r="I29" s="8" t="s">
        <v>16</v>
      </c>
      <c r="J29"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29" s="2">
        <v>1</v>
      </c>
      <c r="L29" s="185">
        <v>0</v>
      </c>
      <c r="M29" s="185">
        <v>0</v>
      </c>
      <c r="N29" s="185">
        <v>0</v>
      </c>
      <c r="O29" s="90" cm="1">
        <f t="array" ref="O29">SUM(lighting[[#This Row],[essentials]:[anim]]*lighting_ponderation)</f>
        <v>0</v>
      </c>
      <c r="P29" s="84">
        <f>(1-lighting[[#This Row],[Progress]])*lighting[[#This Row],[Estimated]]</f>
        <v>1</v>
      </c>
      <c r="Q29" s="221"/>
    </row>
    <row r="30" spans="1:17" ht="30" customHeight="1" x14ac:dyDescent="0.25">
      <c r="A30" s="3" t="str">
        <f>metaSHOTS[[#This Row],[Shot]]</f>
        <v>030_110</v>
      </c>
      <c r="B30" s="2" t="e" vm="27">
        <f>metaSHOTS[[#This Row],[Thumbnail]]</f>
        <v>#VALUE!</v>
      </c>
      <c r="C30" s="86" t="b">
        <v>0</v>
      </c>
      <c r="D30" s="186" t="s">
        <v>324</v>
      </c>
      <c r="E30" s="2">
        <f>metaSHOTS[[#This Row],[Start]]</f>
        <v>1</v>
      </c>
      <c r="F30" s="2">
        <f>metaSHOTS[[#This Row],[End]]</f>
        <v>64</v>
      </c>
      <c r="G30" s="2">
        <f>metaSHOTS[[#This Row],[Duration]]</f>
        <v>64</v>
      </c>
      <c r="H30" s="189" t="s">
        <v>312</v>
      </c>
      <c r="I30" s="8" t="s">
        <v>16</v>
      </c>
      <c r="J30"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30" s="2">
        <v>1</v>
      </c>
      <c r="L30" s="185">
        <v>0</v>
      </c>
      <c r="M30" s="185">
        <v>0</v>
      </c>
      <c r="N30" s="185">
        <v>0</v>
      </c>
      <c r="O30" s="90" cm="1">
        <f t="array" ref="O30">SUM(lighting[[#This Row],[essentials]:[anim]]*lighting_ponderation)</f>
        <v>0</v>
      </c>
      <c r="P30" s="84">
        <f>(1-lighting[[#This Row],[Progress]])*lighting[[#This Row],[Estimated]]</f>
        <v>1</v>
      </c>
      <c r="Q30" s="221"/>
    </row>
    <row r="31" spans="1:17" ht="30" customHeight="1" x14ac:dyDescent="0.25">
      <c r="A31" s="3" t="str">
        <f>metaSHOTS[[#This Row],[Shot]]</f>
        <v>030_120</v>
      </c>
      <c r="B31" s="2" t="e" vm="28">
        <f>metaSHOTS[[#This Row],[Thumbnail]]</f>
        <v>#VALUE!</v>
      </c>
      <c r="C31" s="86" t="b">
        <v>0</v>
      </c>
      <c r="D31" s="186" t="s">
        <v>324</v>
      </c>
      <c r="E31" s="2">
        <f>metaSHOTS[[#This Row],[Start]]</f>
        <v>1</v>
      </c>
      <c r="F31" s="2">
        <f>metaSHOTS[[#This Row],[End]]</f>
        <v>71</v>
      </c>
      <c r="G31" s="2">
        <f>metaSHOTS[[#This Row],[Duration]]</f>
        <v>71</v>
      </c>
      <c r="H31" s="189" t="s">
        <v>312</v>
      </c>
      <c r="I31" s="8" t="s">
        <v>16</v>
      </c>
      <c r="J31"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31" s="2">
        <v>1</v>
      </c>
      <c r="L31" s="185">
        <v>0</v>
      </c>
      <c r="M31" s="185">
        <v>0</v>
      </c>
      <c r="N31" s="185">
        <v>0</v>
      </c>
      <c r="O31" s="90" cm="1">
        <f t="array" ref="O31">SUM(lighting[[#This Row],[essentials]:[anim]]*lighting_ponderation)</f>
        <v>0</v>
      </c>
      <c r="P31" s="84">
        <f>(1-lighting[[#This Row],[Progress]])*lighting[[#This Row],[Estimated]]</f>
        <v>1</v>
      </c>
      <c r="Q31" s="221"/>
    </row>
    <row r="32" spans="1:17" ht="30" customHeight="1" x14ac:dyDescent="0.25">
      <c r="A32" s="3" t="str">
        <f>metaSHOTS[[#This Row],[Shot]]</f>
        <v>030_130</v>
      </c>
      <c r="B32" s="2" t="e" vm="29">
        <f>metaSHOTS[[#This Row],[Thumbnail]]</f>
        <v>#VALUE!</v>
      </c>
      <c r="C32" s="86" t="b">
        <v>0</v>
      </c>
      <c r="D32" s="186" t="s">
        <v>324</v>
      </c>
      <c r="E32" s="2">
        <f>metaSHOTS[[#This Row],[Start]]</f>
        <v>1</v>
      </c>
      <c r="F32" s="2">
        <f>metaSHOTS[[#This Row],[End]]</f>
        <v>46</v>
      </c>
      <c r="G32" s="2">
        <f>metaSHOTS[[#This Row],[Duration]]</f>
        <v>46</v>
      </c>
      <c r="H32" s="189" t="s">
        <v>312</v>
      </c>
      <c r="I32" s="8" t="s">
        <v>16</v>
      </c>
      <c r="J32"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32" s="2">
        <v>1</v>
      </c>
      <c r="L32" s="185">
        <v>0</v>
      </c>
      <c r="M32" s="185">
        <v>0</v>
      </c>
      <c r="N32" s="185">
        <v>0</v>
      </c>
      <c r="O32" s="90" cm="1">
        <f t="array" ref="O32">SUM(lighting[[#This Row],[essentials]:[anim]]*lighting_ponderation)</f>
        <v>0</v>
      </c>
      <c r="P32" s="84">
        <f>(1-lighting[[#This Row],[Progress]])*lighting[[#This Row],[Estimated]]</f>
        <v>1</v>
      </c>
      <c r="Q32" s="221"/>
    </row>
    <row r="33" spans="1:17" ht="30" customHeight="1" x14ac:dyDescent="0.25">
      <c r="A33" s="3" t="str">
        <f>metaSHOTS[[#This Row],[Shot]]</f>
        <v>030_140</v>
      </c>
      <c r="B33" s="2" t="e" vm="30">
        <f>metaSHOTS[[#This Row],[Thumbnail]]</f>
        <v>#VALUE!</v>
      </c>
      <c r="C33" s="86" t="b">
        <v>0</v>
      </c>
      <c r="D33" s="186" t="s">
        <v>324</v>
      </c>
      <c r="E33" s="2">
        <f>metaSHOTS[[#This Row],[Start]]</f>
        <v>1</v>
      </c>
      <c r="F33" s="2">
        <f>metaSHOTS[[#This Row],[End]]</f>
        <v>29</v>
      </c>
      <c r="G33" s="2">
        <f>metaSHOTS[[#This Row],[Duration]]</f>
        <v>29</v>
      </c>
      <c r="H33" s="189" t="s">
        <v>312</v>
      </c>
      <c r="I33" s="8" t="s">
        <v>16</v>
      </c>
      <c r="J33"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33" s="2">
        <v>1</v>
      </c>
      <c r="L33" s="185">
        <v>0</v>
      </c>
      <c r="M33" s="185">
        <v>0</v>
      </c>
      <c r="N33" s="185">
        <v>0</v>
      </c>
      <c r="O33" s="90" cm="1">
        <f t="array" ref="O33">SUM(lighting[[#This Row],[essentials]:[anim]]*lighting_ponderation)</f>
        <v>0</v>
      </c>
      <c r="P33" s="84">
        <f>(1-lighting[[#This Row],[Progress]])*lighting[[#This Row],[Estimated]]</f>
        <v>1</v>
      </c>
      <c r="Q33" s="221"/>
    </row>
    <row r="34" spans="1:17" ht="30" customHeight="1" x14ac:dyDescent="0.25">
      <c r="A34" s="3" t="str">
        <f>metaSHOTS[[#This Row],[Shot]]</f>
        <v>030_150</v>
      </c>
      <c r="B34" s="2" t="e" vm="31">
        <f>metaSHOTS[[#This Row],[Thumbnail]]</f>
        <v>#VALUE!</v>
      </c>
      <c r="C34" s="86" t="b">
        <v>0</v>
      </c>
      <c r="D34" s="186" t="s">
        <v>324</v>
      </c>
      <c r="E34" s="2">
        <f>metaSHOTS[[#This Row],[Start]]</f>
        <v>1</v>
      </c>
      <c r="F34" s="2">
        <f>metaSHOTS[[#This Row],[End]]</f>
        <v>19</v>
      </c>
      <c r="G34" s="2">
        <f>metaSHOTS[[#This Row],[Duration]]</f>
        <v>19</v>
      </c>
      <c r="H34" s="189" t="s">
        <v>312</v>
      </c>
      <c r="I34" s="8" t="s">
        <v>16</v>
      </c>
      <c r="J34"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34" s="2">
        <v>1</v>
      </c>
      <c r="L34" s="185">
        <v>0</v>
      </c>
      <c r="M34" s="185">
        <v>0</v>
      </c>
      <c r="N34" s="185">
        <v>0</v>
      </c>
      <c r="O34" s="90" cm="1">
        <f t="array" ref="O34">SUM(lighting[[#This Row],[essentials]:[anim]]*lighting_ponderation)</f>
        <v>0</v>
      </c>
      <c r="P34" s="84">
        <f>(1-lighting[[#This Row],[Progress]])*lighting[[#This Row],[Estimated]]</f>
        <v>1</v>
      </c>
      <c r="Q34" s="221"/>
    </row>
    <row r="35" spans="1:17" ht="30" customHeight="1" x14ac:dyDescent="0.25">
      <c r="A35" s="3" t="str">
        <f>metaSHOTS[[#This Row],[Shot]]</f>
        <v>040_010</v>
      </c>
      <c r="B35" s="2" t="e" vm="32">
        <f>metaSHOTS[[#This Row],[Thumbnail]]</f>
        <v>#VALUE!</v>
      </c>
      <c r="C35" s="86" t="b">
        <v>0</v>
      </c>
      <c r="D35" s="186" t="s">
        <v>324</v>
      </c>
      <c r="E35" s="2">
        <f>metaSHOTS[[#This Row],[Start]]</f>
        <v>20</v>
      </c>
      <c r="F35" s="2">
        <f>metaSHOTS[[#This Row],[End]]</f>
        <v>108</v>
      </c>
      <c r="G35" s="2">
        <f>metaSHOTS[[#This Row],[Duration]]</f>
        <v>89</v>
      </c>
      <c r="H35" s="189" t="s">
        <v>312</v>
      </c>
      <c r="I35" s="8" t="s">
        <v>16</v>
      </c>
      <c r="J35"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35" s="2">
        <v>1</v>
      </c>
      <c r="L35" s="185">
        <v>0</v>
      </c>
      <c r="M35" s="185">
        <v>0</v>
      </c>
      <c r="N35" s="185">
        <v>0</v>
      </c>
      <c r="O35" s="90" cm="1">
        <f t="array" ref="O35">SUM(lighting[[#This Row],[essentials]:[anim]]*lighting_ponderation)</f>
        <v>0</v>
      </c>
      <c r="P35" s="84">
        <f>(1-lighting[[#This Row],[Progress]])*lighting[[#This Row],[Estimated]]</f>
        <v>1</v>
      </c>
      <c r="Q35" s="221"/>
    </row>
    <row r="36" spans="1:17" ht="30" customHeight="1" x14ac:dyDescent="0.25">
      <c r="A36" s="3" t="str">
        <f>metaSHOTS[[#This Row],[Shot]]</f>
        <v>040_020</v>
      </c>
      <c r="B36" s="2" t="e" vm="33">
        <f>metaSHOTS[[#This Row],[Thumbnail]]</f>
        <v>#VALUE!</v>
      </c>
      <c r="C36" s="86" t="b">
        <v>0</v>
      </c>
      <c r="D36" s="186" t="s">
        <v>324</v>
      </c>
      <c r="E36" s="2">
        <f>metaSHOTS[[#This Row],[Start]]</f>
        <v>1</v>
      </c>
      <c r="F36" s="2">
        <f>metaSHOTS[[#This Row],[End]]</f>
        <v>150</v>
      </c>
      <c r="G36" s="2">
        <f>metaSHOTS[[#This Row],[Duration]]</f>
        <v>150</v>
      </c>
      <c r="H36" s="189" t="s">
        <v>312</v>
      </c>
      <c r="I36" s="8" t="s">
        <v>16</v>
      </c>
      <c r="J36"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36" s="2">
        <v>1</v>
      </c>
      <c r="L36" s="185">
        <v>0</v>
      </c>
      <c r="M36" s="185">
        <v>0</v>
      </c>
      <c r="N36" s="185">
        <v>0</v>
      </c>
      <c r="O36" s="90" cm="1">
        <f t="array" ref="O36">SUM(lighting[[#This Row],[essentials]:[anim]]*lighting_ponderation)</f>
        <v>0</v>
      </c>
      <c r="P36" s="84">
        <f>(1-lighting[[#This Row],[Progress]])*lighting[[#This Row],[Estimated]]</f>
        <v>1</v>
      </c>
      <c r="Q36" s="221"/>
    </row>
    <row r="37" spans="1:17" ht="30" customHeight="1" x14ac:dyDescent="0.25">
      <c r="A37" s="3" t="str">
        <f>metaSHOTS[[#This Row],[Shot]]</f>
        <v>040_030</v>
      </c>
      <c r="B37" s="2" t="e" vm="34">
        <f>metaSHOTS[[#This Row],[Thumbnail]]</f>
        <v>#VALUE!</v>
      </c>
      <c r="C37" s="86" t="b">
        <v>0</v>
      </c>
      <c r="D37" s="186" t="s">
        <v>324</v>
      </c>
      <c r="E37" s="2">
        <f>metaSHOTS[[#This Row],[Start]]</f>
        <v>1</v>
      </c>
      <c r="F37" s="2">
        <f>metaSHOTS[[#This Row],[End]]</f>
        <v>115</v>
      </c>
      <c r="G37" s="2">
        <f>metaSHOTS[[#This Row],[Duration]]</f>
        <v>115</v>
      </c>
      <c r="H37" s="189" t="s">
        <v>312</v>
      </c>
      <c r="I37" s="8" t="s">
        <v>16</v>
      </c>
      <c r="J37"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37" s="2">
        <v>1</v>
      </c>
      <c r="L37" s="185">
        <v>0</v>
      </c>
      <c r="M37" s="185">
        <v>0</v>
      </c>
      <c r="N37" s="185">
        <v>0</v>
      </c>
      <c r="O37" s="90" cm="1">
        <f t="array" ref="O37">SUM(lighting[[#This Row],[essentials]:[anim]]*lighting_ponderation)</f>
        <v>0</v>
      </c>
      <c r="P37" s="84">
        <f>(1-lighting[[#This Row],[Progress]])*lighting[[#This Row],[Estimated]]</f>
        <v>1</v>
      </c>
      <c r="Q37" s="221"/>
    </row>
    <row r="38" spans="1:17" ht="30" customHeight="1" x14ac:dyDescent="0.25">
      <c r="A38" s="3" t="str">
        <f>metaSHOTS[[#This Row],[Shot]]</f>
        <v>040_040</v>
      </c>
      <c r="B38" s="2" t="e" vm="35">
        <f>metaSHOTS[[#This Row],[Thumbnail]]</f>
        <v>#VALUE!</v>
      </c>
      <c r="C38" s="86" t="b">
        <v>0</v>
      </c>
      <c r="D38" s="186" t="s">
        <v>324</v>
      </c>
      <c r="E38" s="2">
        <f>metaSHOTS[[#This Row],[Start]]</f>
        <v>1</v>
      </c>
      <c r="F38" s="2">
        <f>metaSHOTS[[#This Row],[End]]</f>
        <v>81</v>
      </c>
      <c r="G38" s="2">
        <f>metaSHOTS[[#This Row],[Duration]]</f>
        <v>81</v>
      </c>
      <c r="H38" s="189" t="s">
        <v>312</v>
      </c>
      <c r="I38" s="8" t="s">
        <v>16</v>
      </c>
      <c r="J38"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38" s="2">
        <v>1</v>
      </c>
      <c r="L38" s="185">
        <v>0</v>
      </c>
      <c r="M38" s="185">
        <v>0</v>
      </c>
      <c r="N38" s="185">
        <v>0</v>
      </c>
      <c r="O38" s="90" cm="1">
        <f t="array" ref="O38">SUM(lighting[[#This Row],[essentials]:[anim]]*lighting_ponderation)</f>
        <v>0</v>
      </c>
      <c r="P38" s="84">
        <f>(1-lighting[[#This Row],[Progress]])*lighting[[#This Row],[Estimated]]</f>
        <v>1</v>
      </c>
      <c r="Q38" s="221"/>
    </row>
    <row r="39" spans="1:17" ht="30" customHeight="1" x14ac:dyDescent="0.25">
      <c r="A39" s="3" t="str">
        <f>metaSHOTS[[#This Row],[Shot]]</f>
        <v>040_050</v>
      </c>
      <c r="B39" s="2" t="e" vm="36">
        <f>metaSHOTS[[#This Row],[Thumbnail]]</f>
        <v>#VALUE!</v>
      </c>
      <c r="C39" s="86" t="b">
        <v>0</v>
      </c>
      <c r="D39" s="186" t="s">
        <v>324</v>
      </c>
      <c r="E39" s="2">
        <f>metaSHOTS[[#This Row],[Start]]</f>
        <v>1</v>
      </c>
      <c r="F39" s="2">
        <f>metaSHOTS[[#This Row],[End]]</f>
        <v>79</v>
      </c>
      <c r="G39" s="2">
        <f>metaSHOTS[[#This Row],[Duration]]</f>
        <v>79</v>
      </c>
      <c r="H39" s="189" t="s">
        <v>312</v>
      </c>
      <c r="I39" s="8" t="s">
        <v>16</v>
      </c>
      <c r="J39"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39" s="2">
        <v>1</v>
      </c>
      <c r="L39" s="185">
        <v>0</v>
      </c>
      <c r="M39" s="185">
        <v>0</v>
      </c>
      <c r="N39" s="185">
        <v>0</v>
      </c>
      <c r="O39" s="90" cm="1">
        <f t="array" ref="O39">SUM(lighting[[#This Row],[essentials]:[anim]]*lighting_ponderation)</f>
        <v>0</v>
      </c>
      <c r="P39" s="84">
        <f>(1-lighting[[#This Row],[Progress]])*lighting[[#This Row],[Estimated]]</f>
        <v>1</v>
      </c>
      <c r="Q39" s="221"/>
    </row>
    <row r="40" spans="1:17" ht="30" customHeight="1" x14ac:dyDescent="0.25">
      <c r="A40" s="3" t="str">
        <f>metaSHOTS[[#This Row],[Shot]]</f>
        <v>040_070</v>
      </c>
      <c r="B40" s="2" t="e" vm="37">
        <f>metaSHOTS[[#This Row],[Thumbnail]]</f>
        <v>#VALUE!</v>
      </c>
      <c r="C40" s="86" t="b">
        <v>0</v>
      </c>
      <c r="D40" s="186" t="s">
        <v>324</v>
      </c>
      <c r="E40" s="2">
        <f>metaSHOTS[[#This Row],[Start]]</f>
        <v>1</v>
      </c>
      <c r="F40" s="2">
        <f>metaSHOTS[[#This Row],[End]]</f>
        <v>39</v>
      </c>
      <c r="G40" s="2">
        <f>metaSHOTS[[#This Row],[Duration]]</f>
        <v>39</v>
      </c>
      <c r="H40" s="189" t="s">
        <v>312</v>
      </c>
      <c r="I40" s="8" t="s">
        <v>16</v>
      </c>
      <c r="J40"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40" s="2">
        <v>0.75</v>
      </c>
      <c r="L40" s="185">
        <v>0</v>
      </c>
      <c r="M40" s="185">
        <v>0</v>
      </c>
      <c r="N40" s="185">
        <v>0</v>
      </c>
      <c r="O40" s="90" cm="1">
        <f t="array" ref="O40">SUM(lighting[[#This Row],[essentials]:[anim]]*lighting_ponderation)</f>
        <v>0</v>
      </c>
      <c r="P40" s="84">
        <f>(1-lighting[[#This Row],[Progress]])*lighting[[#This Row],[Estimated]]</f>
        <v>0.75</v>
      </c>
      <c r="Q40" s="221"/>
    </row>
    <row r="41" spans="1:17" ht="30" customHeight="1" x14ac:dyDescent="0.25">
      <c r="A41" s="3" t="str">
        <f>metaSHOTS[[#This Row],[Shot]]</f>
        <v>040_090</v>
      </c>
      <c r="B41" s="2" t="e" vm="38">
        <f>metaSHOTS[[#This Row],[Thumbnail]]</f>
        <v>#VALUE!</v>
      </c>
      <c r="C41" s="86" t="b">
        <v>0</v>
      </c>
      <c r="D41" s="186" t="s">
        <v>324</v>
      </c>
      <c r="E41" s="2">
        <f>metaSHOTS[[#This Row],[Start]]</f>
        <v>1</v>
      </c>
      <c r="F41" s="2">
        <f>metaSHOTS[[#This Row],[End]]</f>
        <v>63</v>
      </c>
      <c r="G41" s="2">
        <f>metaSHOTS[[#This Row],[Duration]]</f>
        <v>63</v>
      </c>
      <c r="H41" s="189" t="s">
        <v>312</v>
      </c>
      <c r="I41" s="8" t="s">
        <v>16</v>
      </c>
      <c r="J41"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41" s="2">
        <v>1</v>
      </c>
      <c r="L41" s="185">
        <v>0</v>
      </c>
      <c r="M41" s="185">
        <v>0</v>
      </c>
      <c r="N41" s="185">
        <v>0</v>
      </c>
      <c r="O41" s="90" cm="1">
        <f t="array" ref="O41">SUM(lighting[[#This Row],[essentials]:[anim]]*lighting_ponderation)</f>
        <v>0</v>
      </c>
      <c r="P41" s="84">
        <f>(1-lighting[[#This Row],[Progress]])*lighting[[#This Row],[Estimated]]</f>
        <v>1</v>
      </c>
      <c r="Q41" s="221"/>
    </row>
    <row r="42" spans="1:17" ht="30" customHeight="1" x14ac:dyDescent="0.25">
      <c r="A42" s="3" t="str">
        <f>metaSHOTS[[#This Row],[Shot]]</f>
        <v>040_100</v>
      </c>
      <c r="B42" s="2" t="e" vm="39">
        <f>metaSHOTS[[#This Row],[Thumbnail]]</f>
        <v>#VALUE!</v>
      </c>
      <c r="C42" s="86" t="b">
        <v>0</v>
      </c>
      <c r="D42" s="186" t="s">
        <v>324</v>
      </c>
      <c r="E42" s="2">
        <f>metaSHOTS[[#This Row],[Start]]</f>
        <v>1</v>
      </c>
      <c r="F42" s="2">
        <f>metaSHOTS[[#This Row],[End]]</f>
        <v>55</v>
      </c>
      <c r="G42" s="2">
        <f>metaSHOTS[[#This Row],[Duration]]</f>
        <v>55</v>
      </c>
      <c r="H42" s="189" t="s">
        <v>312</v>
      </c>
      <c r="I42" s="8" t="s">
        <v>16</v>
      </c>
      <c r="J42"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42" s="2">
        <v>1</v>
      </c>
      <c r="L42" s="185">
        <v>0</v>
      </c>
      <c r="M42" s="185">
        <v>0</v>
      </c>
      <c r="N42" s="185">
        <v>0</v>
      </c>
      <c r="O42" s="90" cm="1">
        <f t="array" ref="O42">SUM(lighting[[#This Row],[essentials]:[anim]]*lighting_ponderation)</f>
        <v>0</v>
      </c>
      <c r="P42" s="84">
        <f>(1-lighting[[#This Row],[Progress]])*lighting[[#This Row],[Estimated]]</f>
        <v>1</v>
      </c>
      <c r="Q42" s="221"/>
    </row>
    <row r="43" spans="1:17" ht="30" customHeight="1" x14ac:dyDescent="0.25">
      <c r="A43" s="3" t="str">
        <f>metaSHOTS[[#This Row],[Shot]]</f>
        <v>040_110</v>
      </c>
      <c r="B43" s="2" t="e" vm="40">
        <f>metaSHOTS[[#This Row],[Thumbnail]]</f>
        <v>#VALUE!</v>
      </c>
      <c r="C43" s="86" t="b">
        <v>0</v>
      </c>
      <c r="D43" s="186" t="s">
        <v>324</v>
      </c>
      <c r="E43" s="2">
        <f>metaSHOTS[[#This Row],[Start]]</f>
        <v>1</v>
      </c>
      <c r="F43" s="2">
        <f>metaSHOTS[[#This Row],[End]]</f>
        <v>76</v>
      </c>
      <c r="G43" s="2">
        <f>metaSHOTS[[#This Row],[Duration]]</f>
        <v>76</v>
      </c>
      <c r="H43" s="189" t="s">
        <v>312</v>
      </c>
      <c r="I43" s="8" t="s">
        <v>16</v>
      </c>
      <c r="J43"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43" s="2">
        <v>2</v>
      </c>
      <c r="L43" s="185">
        <v>0</v>
      </c>
      <c r="M43" s="185">
        <v>0</v>
      </c>
      <c r="N43" s="185">
        <v>0</v>
      </c>
      <c r="O43" s="90" cm="1">
        <f t="array" ref="O43">SUM(lighting[[#This Row],[essentials]:[anim]]*lighting_ponderation)</f>
        <v>0</v>
      </c>
      <c r="P43" s="84">
        <f>(1-lighting[[#This Row],[Progress]])*lighting[[#This Row],[Estimated]]</f>
        <v>2</v>
      </c>
      <c r="Q43" s="221"/>
    </row>
    <row r="44" spans="1:17" ht="30" customHeight="1" x14ac:dyDescent="0.25">
      <c r="A44" s="3" t="str">
        <f>metaSHOTS[[#This Row],[Shot]]</f>
        <v>040_120</v>
      </c>
      <c r="B44" s="2" t="e" vm="41">
        <f>metaSHOTS[[#This Row],[Thumbnail]]</f>
        <v>#VALUE!</v>
      </c>
      <c r="C44" s="86" t="b">
        <v>0</v>
      </c>
      <c r="D44" s="186" t="s">
        <v>324</v>
      </c>
      <c r="E44" s="2">
        <f>metaSHOTS[[#This Row],[Start]]</f>
        <v>1</v>
      </c>
      <c r="F44" s="2">
        <f>metaSHOTS[[#This Row],[End]]</f>
        <v>90</v>
      </c>
      <c r="G44" s="2">
        <f>metaSHOTS[[#This Row],[Duration]]</f>
        <v>90</v>
      </c>
      <c r="H44" s="189" t="s">
        <v>312</v>
      </c>
      <c r="I44" s="8" t="s">
        <v>16</v>
      </c>
      <c r="J44"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Ready</v>
      </c>
      <c r="K44" s="2">
        <v>3</v>
      </c>
      <c r="L44" s="185">
        <v>0</v>
      </c>
      <c r="M44" s="185">
        <v>0</v>
      </c>
      <c r="N44" s="185">
        <v>0</v>
      </c>
      <c r="O44" s="90" cm="1">
        <f t="array" ref="O44">SUM(lighting[[#This Row],[essentials]:[anim]]*lighting_ponderation)</f>
        <v>0</v>
      </c>
      <c r="P44" s="84">
        <f>(1-lighting[[#This Row],[Progress]])*lighting[[#This Row],[Estimated]]</f>
        <v>3</v>
      </c>
      <c r="Q44" s="221"/>
    </row>
    <row r="45" spans="1:17" ht="30" customHeight="1" x14ac:dyDescent="0.25">
      <c r="A45" s="3" t="str">
        <f>metaSHOTS[[#This Row],[Shot]]</f>
        <v>050_005</v>
      </c>
      <c r="B45" s="2" t="e" vm="42">
        <f>metaSHOTS[[#This Row],[Thumbnail]]</f>
        <v>#VALUE!</v>
      </c>
      <c r="C45" s="86" t="b">
        <v>0</v>
      </c>
      <c r="D45" s="186" t="s">
        <v>324</v>
      </c>
      <c r="E45" s="2">
        <f>metaSHOTS[[#This Row],[Start]]</f>
        <v>1</v>
      </c>
      <c r="F45" s="2">
        <f>metaSHOTS[[#This Row],[End]]</f>
        <v>137</v>
      </c>
      <c r="G45" s="2">
        <f>metaSHOTS[[#This Row],[Duration]]</f>
        <v>137</v>
      </c>
      <c r="H45" s="189" t="s">
        <v>312</v>
      </c>
      <c r="I45" s="8" t="s">
        <v>16</v>
      </c>
      <c r="J45"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45" s="2">
        <v>2</v>
      </c>
      <c r="L45" s="185">
        <v>0</v>
      </c>
      <c r="M45" s="185">
        <v>0</v>
      </c>
      <c r="N45" s="185">
        <v>0</v>
      </c>
      <c r="O45" s="90" cm="1">
        <f t="array" ref="O45">SUM(lighting[[#This Row],[essentials]:[anim]]*lighting_ponderation)</f>
        <v>0</v>
      </c>
      <c r="P45" s="84">
        <f>(1-lighting[[#This Row],[Progress]])*lighting[[#This Row],[Estimated]]</f>
        <v>2</v>
      </c>
      <c r="Q45" s="221"/>
    </row>
    <row r="46" spans="1:17" ht="30" customHeight="1" x14ac:dyDescent="0.25">
      <c r="A46" s="3" t="str">
        <f>metaSHOTS[[#This Row],[Shot]]</f>
        <v>050_020</v>
      </c>
      <c r="B46" s="2" t="e" vm="43">
        <f>metaSHOTS[[#This Row],[Thumbnail]]</f>
        <v>#VALUE!</v>
      </c>
      <c r="C46" s="86" t="b">
        <v>0</v>
      </c>
      <c r="D46" s="186" t="s">
        <v>324</v>
      </c>
      <c r="E46" s="2">
        <f>metaSHOTS[[#This Row],[Start]]</f>
        <v>1</v>
      </c>
      <c r="F46" s="2">
        <f>metaSHOTS[[#This Row],[End]]</f>
        <v>510</v>
      </c>
      <c r="G46" s="2">
        <f>metaSHOTS[[#This Row],[Duration]]</f>
        <v>510</v>
      </c>
      <c r="H46" s="189" t="s">
        <v>312</v>
      </c>
      <c r="I46" s="8" t="s">
        <v>16</v>
      </c>
      <c r="J46" s="2" t="str">
        <f ca="1">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46" s="2">
        <v>1</v>
      </c>
      <c r="L46" s="185">
        <v>0</v>
      </c>
      <c r="M46" s="185">
        <v>0</v>
      </c>
      <c r="N46" s="185">
        <v>0</v>
      </c>
      <c r="O46" s="90" cm="1">
        <f t="array" ref="O46">SUM(lighting[[#This Row],[essentials]:[anim]]*lighting_ponderation)</f>
        <v>0</v>
      </c>
      <c r="P46" s="84">
        <f>(1-lighting[[#This Row],[Progress]])*lighting[[#This Row],[Estimated]]</f>
        <v>1</v>
      </c>
      <c r="Q46" s="221"/>
    </row>
    <row r="47" spans="1:17" ht="30" customHeight="1" x14ac:dyDescent="0.25">
      <c r="A47" s="3" t="str">
        <f>metaSHOTS[[#This Row],[Shot]]</f>
        <v>060_010</v>
      </c>
      <c r="B47" s="2" t="e" vm="44">
        <f>metaSHOTS[[#This Row],[Thumbnail]]</f>
        <v>#VALUE!</v>
      </c>
      <c r="C47" s="86" t="b">
        <v>0</v>
      </c>
      <c r="D47" s="186" t="s">
        <v>324</v>
      </c>
      <c r="E47" s="2">
        <f>metaSHOTS[[#This Row],[Start]]</f>
        <v>1</v>
      </c>
      <c r="F47" s="2">
        <f>metaSHOTS[[#This Row],[End]]</f>
        <v>241</v>
      </c>
      <c r="G47" s="2">
        <f>metaSHOTS[[#This Row],[Duration]]</f>
        <v>241</v>
      </c>
      <c r="H47" s="189" t="s">
        <v>312</v>
      </c>
      <c r="I47" s="8" t="s">
        <v>16</v>
      </c>
      <c r="J47"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Pending Review</v>
      </c>
      <c r="K47" s="2">
        <v>1</v>
      </c>
      <c r="L47" s="185">
        <v>1</v>
      </c>
      <c r="M47" s="185">
        <v>1</v>
      </c>
      <c r="N47" s="185">
        <v>1</v>
      </c>
      <c r="O47" s="90" cm="1">
        <f t="array" ref="O47">SUM(lighting[[#This Row],[essentials]:[anim]]*lighting_ponderation)</f>
        <v>1</v>
      </c>
      <c r="P47" s="84">
        <f>(1-lighting[[#This Row],[Progress]])*lighting[[#This Row],[Estimated]]</f>
        <v>0</v>
      </c>
      <c r="Q47" s="221"/>
    </row>
    <row r="48" spans="1:17" ht="30" customHeight="1" x14ac:dyDescent="0.25">
      <c r="A48" s="3" t="str">
        <f>metaSHOTS[[#This Row],[Shot]]</f>
        <v>060_030</v>
      </c>
      <c r="B48" s="2" t="e" vm="45">
        <f>metaSHOTS[[#This Row],[Thumbnail]]</f>
        <v>#VALUE!</v>
      </c>
      <c r="C48" s="86" t="b">
        <v>0</v>
      </c>
      <c r="D48" s="186" t="s">
        <v>324</v>
      </c>
      <c r="E48" s="2">
        <f>metaSHOTS[[#This Row],[Start]]</f>
        <v>1</v>
      </c>
      <c r="F48" s="2">
        <f>metaSHOTS[[#This Row],[End]]</f>
        <v>511</v>
      </c>
      <c r="G48" s="2">
        <f>metaSHOTS[[#This Row],[Duration]]</f>
        <v>511</v>
      </c>
      <c r="H48" s="189" t="s">
        <v>312</v>
      </c>
      <c r="I48" s="8" t="s">
        <v>16</v>
      </c>
      <c r="J48"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In Progress</v>
      </c>
      <c r="K48" s="2">
        <v>3</v>
      </c>
      <c r="L48" s="185">
        <v>1</v>
      </c>
      <c r="M48" s="185">
        <v>0</v>
      </c>
      <c r="N48" s="185">
        <v>1</v>
      </c>
      <c r="O48" s="90" cm="1">
        <f t="array" ref="O48">SUM(lighting[[#This Row],[essentials]:[anim]]*lighting_ponderation)</f>
        <v>0.7</v>
      </c>
      <c r="P48" s="84">
        <f>(1-lighting[[#This Row],[Progress]])*lighting[[#This Row],[Estimated]]</f>
        <v>0.90000000000000013</v>
      </c>
      <c r="Q48" s="221"/>
    </row>
    <row r="49" spans="1:17" ht="30" customHeight="1" x14ac:dyDescent="0.25">
      <c r="A49" s="3" t="str">
        <f>metaSHOTS[[#This Row],[Shot]]</f>
        <v>040_045</v>
      </c>
      <c r="B49" s="2" t="e" vm="46">
        <f>metaSHOTS[[#This Row],[Thumbnail]]</f>
        <v>#VALUE!</v>
      </c>
      <c r="C49" s="86" t="b">
        <v>0</v>
      </c>
      <c r="D49" s="186" t="s">
        <v>324</v>
      </c>
      <c r="E49" s="2">
        <f>metaSHOTS[[#This Row],[Start]]</f>
        <v>1</v>
      </c>
      <c r="F49" s="2">
        <f>metaSHOTS[[#This Row],[End]]</f>
        <v>55</v>
      </c>
      <c r="G49" s="2">
        <f>metaSHOTS[[#This Row],[Duration]]</f>
        <v>55</v>
      </c>
      <c r="H49" s="189" t="s">
        <v>312</v>
      </c>
      <c r="I49" s="8" t="s">
        <v>16</v>
      </c>
      <c r="J49"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49" s="2">
        <v>3</v>
      </c>
      <c r="L49" s="185">
        <v>0</v>
      </c>
      <c r="M49" s="185">
        <v>0</v>
      </c>
      <c r="N49" s="185">
        <v>0</v>
      </c>
      <c r="O49" s="90" cm="1">
        <f t="array" ref="O49">SUM(lighting[[#This Row],[essentials]:[anim]]*lighting_ponderation)</f>
        <v>0</v>
      </c>
      <c r="P49" s="84">
        <f>(1-lighting[[#This Row],[Progress]])*lighting[[#This Row],[Estimated]]</f>
        <v>3</v>
      </c>
      <c r="Q49" s="221"/>
    </row>
    <row r="50" spans="1:17" ht="30" customHeight="1" x14ac:dyDescent="0.25">
      <c r="A50" s="3" t="str">
        <f>metaSHOTS[[#This Row],[Shot]]</f>
        <v>040_135</v>
      </c>
      <c r="B50" s="2" t="e" vm="47">
        <f>metaSHOTS[[#This Row],[Thumbnail]]</f>
        <v>#VALUE!</v>
      </c>
      <c r="C50" s="86" t="b">
        <v>0</v>
      </c>
      <c r="D50" s="186" t="s">
        <v>324</v>
      </c>
      <c r="E50" s="2">
        <f>metaSHOTS[[#This Row],[Start]]</f>
        <v>1</v>
      </c>
      <c r="F50" s="2">
        <f>metaSHOTS[[#This Row],[End]]</f>
        <v>126</v>
      </c>
      <c r="G50" s="2">
        <f>metaSHOTS[[#This Row],[Duration]]</f>
        <v>126</v>
      </c>
      <c r="H50" s="189" t="s">
        <v>312</v>
      </c>
      <c r="I50" s="8" t="s">
        <v>16</v>
      </c>
      <c r="J50"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50" s="2">
        <v>3</v>
      </c>
      <c r="L50" s="185">
        <v>0</v>
      </c>
      <c r="M50" s="185">
        <v>0</v>
      </c>
      <c r="N50" s="185">
        <v>0</v>
      </c>
      <c r="O50" s="90" cm="1">
        <f t="array" ref="O50">SUM(lighting[[#This Row],[essentials]:[anim]]*lighting_ponderation)</f>
        <v>0</v>
      </c>
      <c r="P50" s="84">
        <f>(1-lighting[[#This Row],[Progress]])*lighting[[#This Row],[Estimated]]</f>
        <v>3</v>
      </c>
      <c r="Q50" s="221"/>
    </row>
    <row r="51" spans="1:17" ht="30" customHeight="1" x14ac:dyDescent="0.25">
      <c r="A51" s="3" t="str">
        <f>metaSHOTS[[#This Row],[Shot]]</f>
        <v>050_010</v>
      </c>
      <c r="B51" s="2" t="e" vm="48">
        <f>metaSHOTS[[#This Row],[Thumbnail]]</f>
        <v>#VALUE!</v>
      </c>
      <c r="C51" s="86" t="b">
        <v>0</v>
      </c>
      <c r="D51" s="186" t="s">
        <v>324</v>
      </c>
      <c r="E51" s="2">
        <f>metaSHOTS[[#This Row],[Start]]</f>
        <v>1</v>
      </c>
      <c r="F51" s="2">
        <f>metaSHOTS[[#This Row],[End]]</f>
        <v>71</v>
      </c>
      <c r="G51" s="2">
        <f>metaSHOTS[[#This Row],[Duration]]</f>
        <v>71</v>
      </c>
      <c r="H51" s="189" t="s">
        <v>312</v>
      </c>
      <c r="I51" s="8" t="s">
        <v>16</v>
      </c>
      <c r="J51" s="2" t="str">
        <f>IF(
    NOT(ISBLANK(lighting[[#This Row],[Commentaires]])), "Needs Fix",
    IF(lighting[[#This Row],[Review]]&lt;&gt;"inactive", lighting[[#This Row],[Review]],
        IF(lighting[[#This Row],[Progress]]=100%, "Pending Review",
            IF(
                AND(0%&lt;lighting[[#This Row],[Progress]], lighting[[#This Row],[Progress]]&lt;100%), "In Progress",
                IF(
                    AND(
                        layout[[#This Row],[Status]]="Approved", anim[[#This Row],[blocking 1]]=100%
                    ), "Ready",
                    IF(
                        AND(
                            AND(layout[[#This Row],[Progress]]&gt;=upcomingThreshold, layout[[#This Row],[Progress]]&lt;=100%), AND(anim[[#This Row],[blocking 1]]&gt;=upcomingThreshold, anim[[#This Row],[blocking 1]]&lt;=100%)
                        ), "Upcoming",
                        IF(
                            OR(layout[[#This Row],[Progress]]&lt;upcomingThreshold, anim[[#This Row],[blocking 1]]&lt;upcomingThreshold), "Waiting"
                        )
                    )
                )
            )
        )
    )
)</f>
        <v>Upcoming</v>
      </c>
      <c r="K51" s="2">
        <v>1</v>
      </c>
      <c r="L51" s="185">
        <v>0</v>
      </c>
      <c r="M51" s="185">
        <v>0</v>
      </c>
      <c r="N51" s="185">
        <v>0</v>
      </c>
      <c r="O51" s="90" cm="1">
        <f t="array" ref="O51">SUM(lighting[[#This Row],[essentials]:[anim]]*lighting_ponderation)</f>
        <v>0</v>
      </c>
      <c r="P51" s="84">
        <f>(1-lighting[[#This Row],[Progress]])*lighting[[#This Row],[Estimated]]</f>
        <v>1</v>
      </c>
      <c r="Q51" s="221"/>
    </row>
    <row r="52" spans="1:17" ht="30" customHeight="1" x14ac:dyDescent="0.25">
      <c r="A52" s="2" t="s">
        <v>22</v>
      </c>
      <c r="K52" s="2">
        <f>SUBTOTAL(109,lighting[Estimated])</f>
        <v>62</v>
      </c>
      <c r="L52" s="16">
        <f>SUBTOTAL(101,lighting[essentials])</f>
        <v>0.47916666666666669</v>
      </c>
      <c r="M52" s="16">
        <f>SUBTOTAL(101,lighting[crowd])</f>
        <v>0.4375</v>
      </c>
      <c r="N52" s="16">
        <f>SUBTOTAL(101,lighting[anim])</f>
        <v>0.43124999999999997</v>
      </c>
      <c r="O52" s="16">
        <f>(lighting[[#Totals],[Estimated]]-lighting[[#Totals],[Hours to do]])/lighting[[#Totals],[Estimated]]</f>
        <v>0.44225806451612903</v>
      </c>
      <c r="P52" s="84">
        <f>SUBTOTAL(109,lighting[Hours to do])</f>
        <v>34.58</v>
      </c>
      <c r="Q52" s="8"/>
    </row>
  </sheetData>
  <sheetProtection algorithmName="SHA-512" hashValue="TRh+3lVMd/psQNYquaZDBSQH/iMm8l1BeP7XP2tzTM68JQ2FsgNmCG3PCfubEzj1vTXhYKkOUXC/H4aAt2DKtw==" saltValue="bz+Pev8E3MoanCaGKDlgfQ==" spinCount="100000" sheet="1" selectLockedCells="1" autoFilter="0"/>
  <mergeCells count="1">
    <mergeCell ref="A1:I2"/>
  </mergeCells>
  <conditionalFormatting sqref="J4:J51">
    <cfRule type="containsText" dxfId="50" priority="1" operator="containsText" text="Needs Fix">
      <formula>NOT(ISERROR(SEARCH("Needs Fix",J4)))</formula>
    </cfRule>
    <cfRule type="containsText" dxfId="49" priority="2" operator="containsText" text="Approved">
      <formula>NOT(ISERROR(SEARCH("Approved",J4)))</formula>
    </cfRule>
    <cfRule type="containsText" dxfId="48" priority="3" operator="containsText" text="Pending Review">
      <formula>NOT(ISERROR(SEARCH("Pending Review",J4)))</formula>
    </cfRule>
    <cfRule type="containsText" dxfId="47" priority="4" operator="containsText" text="In Progress">
      <formula>NOT(ISERROR(SEARCH("In Progress",J4)))</formula>
    </cfRule>
    <cfRule type="containsText" dxfId="46" priority="5" operator="containsText" text="Ready">
      <formula>NOT(ISERROR(SEARCH("Ready",J4)))</formula>
    </cfRule>
    <cfRule type="containsText" dxfId="45" priority="6" operator="containsText" text="Upcoming">
      <formula>NOT(ISERROR(SEARCH("Upcoming",J4)))</formula>
    </cfRule>
    <cfRule type="containsText" dxfId="44" priority="7" operator="containsText" text="Waiting">
      <formula>NOT(ISERROR(SEARCH("Waiting",J4)))</formula>
    </cfRule>
  </conditionalFormatting>
  <conditionalFormatting sqref="L4:O51">
    <cfRule type="colorScale" priority="8">
      <colorScale>
        <cfvo type="num" val="0"/>
        <cfvo type="num" val="0.5"/>
        <cfvo type="num" val="1"/>
        <color rgb="FFFF0000"/>
        <color rgb="FFFFFF00"/>
        <color theme="9" tint="-0.249977111117893"/>
      </colorScale>
    </cfRule>
  </conditionalFormatting>
  <conditionalFormatting sqref="P4:Q51">
    <cfRule type="dataBar" priority="803">
      <dataBar>
        <cfvo type="min"/>
        <cfvo type="max"/>
        <color rgb="FF008AEF"/>
      </dataBar>
      <extLst>
        <ext xmlns:x14="http://schemas.microsoft.com/office/spreadsheetml/2009/9/main" uri="{B025F937-C7B1-47D3-B67F-A62EFF666E3E}">
          <x14:id>{DC3EA59F-595D-4B77-A375-02BF713AE2F3}</x14:id>
        </ext>
      </extLst>
    </cfRule>
  </conditionalFormatting>
  <pageMargins left="0.7" right="0.7" top="0.75" bottom="0.75" header="0.3" footer="0.3"/>
  <ignoredErrors>
    <ignoredError sqref="L27:N28 L26:M26 L30:N30 L29:M29 L32:N33 M31:N31" calculatedColumn="1"/>
  </ignoredErrors>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C3EA59F-595D-4B77-A375-02BF713AE2F3}">
            <x14:dataBar minLength="0" maxLength="100" border="1" negativeBarBorderColorSameAsPositive="0">
              <x14:cfvo type="autoMin"/>
              <x14:cfvo type="autoMax"/>
              <x14:borderColor rgb="FF008AEF"/>
              <x14:negativeFillColor rgb="FFFF0000"/>
              <x14:negativeBorderColor rgb="FFFF0000"/>
              <x14:axisColor rgb="FF000000"/>
            </x14:dataBar>
          </x14:cfRule>
          <xm:sqref>P4:Q51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7061771-7153-44CE-8EF8-37976F8E9AC3}">
          <x14:formula1>
            <xm:f>_data_!$T$8:$T$10</xm:f>
          </x14:formula1>
          <xm:sqref>D4:D51</xm:sqref>
        </x14:dataValidation>
        <x14:dataValidation type="list" allowBlank="1" showInputMessage="1" showErrorMessage="1" xr:uid="{EB1CC6C0-DAD5-46E2-9866-EE8DA2AD35BF}">
          <x14:formula1>
            <xm:f>_data_!$R$15:$R$16</xm:f>
          </x14:formula1>
          <xm:sqref>C4:C51</xm:sqref>
        </x14:dataValidation>
        <x14:dataValidation type="list" allowBlank="1" showInputMessage="1" showErrorMessage="1" xr:uid="{C4293F36-1FB0-4A5D-9E4E-044CCE593DF5}">
          <x14:formula1>
            <xm:f>_data_!$M$18:$M$22</xm:f>
          </x14:formula1>
          <xm:sqref>H4:H51</xm:sqref>
        </x14:dataValidation>
        <x14:dataValidation type="list" allowBlank="1" showInputMessage="1" showErrorMessage="1" xr:uid="{7656490F-906F-4477-B5C5-F2EC26A04350}">
          <x14:formula1>
            <xm:f>_data_!$X$28:$X$32</xm:f>
          </x14:formula1>
          <xm:sqref>I4:I51</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85A1-AA34-43DA-8CA2-287CEBE05DCD}">
  <sheetPr codeName="Feuil13">
    <tabColor rgb="FFF29F05"/>
  </sheetPr>
  <dimension ref="A1:U52"/>
  <sheetViews>
    <sheetView showGridLines="0" showRowColHeaders="0" zoomScaleNormal="100" workbookViewId="0">
      <pane ySplit="3" topLeftCell="A6" activePane="bottomLeft" state="frozen"/>
      <selection activeCell="L41" sqref="L41"/>
      <selection pane="bottomLeft" activeCell="O29" sqref="O29"/>
    </sheetView>
  </sheetViews>
  <sheetFormatPr baseColWidth="10" defaultColWidth="16" defaultRowHeight="30" customHeight="1" x14ac:dyDescent="0.25"/>
  <cols>
    <col min="1" max="16" width="12.85546875" style="2" customWidth="1"/>
    <col min="17" max="17" width="59.85546875" style="2" customWidth="1"/>
    <col min="18" max="16384" width="16" style="2"/>
  </cols>
  <sheetData>
    <row r="1" spans="1:21" s="140" customFormat="1" ht="41.25" customHeight="1" x14ac:dyDescent="0.25">
      <c r="A1" s="294" t="s">
        <v>360</v>
      </c>
      <c r="B1" s="294"/>
      <c r="C1" s="294"/>
      <c r="D1" s="294"/>
      <c r="E1" s="294"/>
      <c r="F1" s="294"/>
      <c r="G1" s="294"/>
      <c r="H1" s="294"/>
      <c r="I1" s="294"/>
      <c r="K1" s="141" t="s">
        <v>297</v>
      </c>
      <c r="L1" s="142">
        <v>0.5</v>
      </c>
      <c r="M1" s="142">
        <v>0.3</v>
      </c>
      <c r="N1" s="142">
        <v>0.2</v>
      </c>
    </row>
    <row r="2" spans="1:21" s="140" customFormat="1" ht="41.25" customHeight="1" x14ac:dyDescent="0.25">
      <c r="A2" s="294"/>
      <c r="B2" s="294"/>
      <c r="C2" s="294"/>
      <c r="D2" s="294"/>
      <c r="E2" s="294"/>
      <c r="F2" s="294"/>
      <c r="G2" s="294"/>
      <c r="H2" s="294"/>
      <c r="I2" s="294"/>
      <c r="K2" s="140" t="s">
        <v>298</v>
      </c>
      <c r="L2" s="143" cm="1">
        <f t="array" ref="L2">IF(L52="Done", "Done",L1*SUM(vfx[[Estimated]:[Estimated]]*(1-vfx[rnd])))</f>
        <v>78.900000000000006</v>
      </c>
      <c r="M2" s="143" cm="1">
        <f t="array" ref="M2">IF(M52="Done", "Done",M1*SUM(vfx[[Estimated]:[Estimated]]*(1-vfx[blocking])))</f>
        <v>61.199999999999996</v>
      </c>
      <c r="N2" s="143" cm="1">
        <f t="array" ref="N2">IF(N52="Done", "Done",N1*SUM(vfx[[Estimated]:[Estimated]]*(1-vfx[polish])))</f>
        <v>49.1</v>
      </c>
    </row>
    <row r="3" spans="1:21" ht="23.25" customHeight="1" x14ac:dyDescent="0.25">
      <c r="A3" s="2" t="s">
        <v>343</v>
      </c>
      <c r="B3" s="2" t="s">
        <v>300</v>
      </c>
      <c r="C3" s="2" t="s">
        <v>301</v>
      </c>
      <c r="D3" s="2" t="s">
        <v>302</v>
      </c>
      <c r="E3" s="2" t="s">
        <v>344</v>
      </c>
      <c r="F3" s="2" t="s">
        <v>345</v>
      </c>
      <c r="G3" s="2" t="s">
        <v>346</v>
      </c>
      <c r="H3" s="2" t="s">
        <v>303</v>
      </c>
      <c r="I3" s="2" t="s">
        <v>6</v>
      </c>
      <c r="J3" s="2" t="s">
        <v>269</v>
      </c>
      <c r="K3" s="2" t="s">
        <v>304</v>
      </c>
      <c r="L3" s="171" t="s">
        <v>305</v>
      </c>
      <c r="M3" s="171" t="s">
        <v>316</v>
      </c>
      <c r="N3" s="171" t="s">
        <v>317</v>
      </c>
      <c r="O3" s="2" t="s">
        <v>295</v>
      </c>
      <c r="P3" s="2" t="s">
        <v>308</v>
      </c>
      <c r="Q3" s="2" t="s">
        <v>270</v>
      </c>
    </row>
    <row r="4" spans="1:21" ht="30" hidden="1" customHeight="1" x14ac:dyDescent="0.25">
      <c r="A4" s="3" t="str">
        <f>metaSHOTS[[#This Row],[Shot]]</f>
        <v>000_010</v>
      </c>
      <c r="B4" s="2" t="e" vm="1">
        <f>metaSHOTS[[#This Row],[Thumbnail]]</f>
        <v>#VALUE!</v>
      </c>
      <c r="C4" s="86" t="b">
        <v>0</v>
      </c>
      <c r="D4" s="186" t="s">
        <v>324</v>
      </c>
      <c r="E4" s="2">
        <f>metaSHOTS[[#This Row],[Start]]</f>
        <v>1</v>
      </c>
      <c r="F4" s="2">
        <f>metaSHOTS[[#This Row],[End]]</f>
        <v>339</v>
      </c>
      <c r="G4" s="2">
        <f>metaSHOTS[[#This Row],[Duration]]</f>
        <v>339</v>
      </c>
      <c r="H4" s="8" t="s">
        <v>312</v>
      </c>
      <c r="I4" s="8" t="s">
        <v>16</v>
      </c>
      <c r="J4"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4" s="2">
        <v>0</v>
      </c>
      <c r="L4" s="185">
        <v>0</v>
      </c>
      <c r="M4" s="185">
        <v>0</v>
      </c>
      <c r="N4" s="185">
        <v>0</v>
      </c>
      <c r="O4" s="91" cm="1">
        <f t="array" ref="O4">SUM(vfx[[#This Row],[rnd]:[polish]]*vfx_ponderation)</f>
        <v>0</v>
      </c>
      <c r="P4" s="84">
        <f>IF(vfx[[#This Row],[Progress]]="Done", "Done", (1-vfx[[#This Row],[Progress]])*vfx[[#This Row],[Estimated]])</f>
        <v>0</v>
      </c>
      <c r="Q4" s="188"/>
    </row>
    <row r="5" spans="1:21" ht="30" hidden="1" customHeight="1" x14ac:dyDescent="0.25">
      <c r="A5" s="3" t="str">
        <f>metaSHOTS[[#This Row],[Shot]]</f>
        <v>010_010</v>
      </c>
      <c r="B5" s="2" t="e" vm="2">
        <f>metaSHOTS[[#This Row],[Thumbnail]]</f>
        <v>#VALUE!</v>
      </c>
      <c r="C5" s="86" t="b">
        <v>0</v>
      </c>
      <c r="D5" s="186" t="s">
        <v>324</v>
      </c>
      <c r="E5" s="2">
        <f>metaSHOTS[[#This Row],[Start]]</f>
        <v>1</v>
      </c>
      <c r="F5" s="2">
        <f>metaSHOTS[[#This Row],[End]]</f>
        <v>93</v>
      </c>
      <c r="G5" s="2">
        <f>metaSHOTS[[#This Row],[Duration]]</f>
        <v>93</v>
      </c>
      <c r="H5" s="8" t="s">
        <v>312</v>
      </c>
      <c r="I5" s="8" t="s">
        <v>16</v>
      </c>
      <c r="J5"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Pending Review</v>
      </c>
      <c r="K5" s="2">
        <v>4</v>
      </c>
      <c r="L5" s="185">
        <v>1</v>
      </c>
      <c r="M5" s="185">
        <v>1</v>
      </c>
      <c r="N5" s="185">
        <v>1</v>
      </c>
      <c r="O5" s="91" cm="1">
        <f t="array" ref="O5">SUM(vfx[[#This Row],[rnd]:[polish]]*vfx_ponderation)</f>
        <v>1</v>
      </c>
      <c r="P5" s="84">
        <f>IF(vfx[[#This Row],[Progress]]="Done", "Done", (1-vfx[[#This Row],[Progress]])*vfx[[#This Row],[Estimated]])</f>
        <v>0</v>
      </c>
      <c r="Q5" s="188"/>
    </row>
    <row r="6" spans="1:21" ht="30" customHeight="1" x14ac:dyDescent="0.25">
      <c r="A6" s="3" t="str">
        <f>metaSHOTS[[#This Row],[Shot]]</f>
        <v>010_040</v>
      </c>
      <c r="B6" s="2" t="e" vm="3">
        <f>metaSHOTS[[#This Row],[Thumbnail]]</f>
        <v>#VALUE!</v>
      </c>
      <c r="C6" s="86" t="b">
        <v>0</v>
      </c>
      <c r="D6" s="186" t="s">
        <v>324</v>
      </c>
      <c r="E6" s="2">
        <f>metaSHOTS[[#This Row],[Start]]</f>
        <v>1</v>
      </c>
      <c r="F6" s="2">
        <f>metaSHOTS[[#This Row],[End]]</f>
        <v>111</v>
      </c>
      <c r="G6" s="2">
        <f>metaSHOTS[[#This Row],[Duration]]</f>
        <v>111</v>
      </c>
      <c r="H6" s="8" t="s">
        <v>312</v>
      </c>
      <c r="I6" s="8" t="s">
        <v>20</v>
      </c>
      <c r="J6"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Pending Review</v>
      </c>
      <c r="K6" s="2">
        <v>10</v>
      </c>
      <c r="L6" s="185">
        <v>1</v>
      </c>
      <c r="M6" s="185">
        <v>1</v>
      </c>
      <c r="N6" s="185">
        <v>1</v>
      </c>
      <c r="O6" s="91" cm="1">
        <f t="array" ref="O6">SUM(vfx[[#This Row],[rnd]:[polish]]*vfx_ponderation)</f>
        <v>1</v>
      </c>
      <c r="P6" s="84">
        <f>IF(vfx[[#This Row],[Progress]]="Done", "Done", (1-vfx[[#This Row],[Progress]])*vfx[[#This Row],[Estimated]])</f>
        <v>0</v>
      </c>
      <c r="Q6" s="188"/>
      <c r="S6" s="81"/>
      <c r="T6" s="165"/>
      <c r="U6" s="81"/>
    </row>
    <row r="7" spans="1:21" ht="30" customHeight="1" x14ac:dyDescent="0.25">
      <c r="A7" s="3" t="str">
        <f>metaSHOTS[[#This Row],[Shot]]</f>
        <v>010_050</v>
      </c>
      <c r="B7" s="2" t="e" vm="4">
        <f>metaSHOTS[[#This Row],[Thumbnail]]</f>
        <v>#VALUE!</v>
      </c>
      <c r="C7" s="86" t="b">
        <v>0</v>
      </c>
      <c r="D7" s="186" t="s">
        <v>324</v>
      </c>
      <c r="E7" s="2">
        <f>metaSHOTS[[#This Row],[Start]]</f>
        <v>1</v>
      </c>
      <c r="F7" s="2">
        <f>metaSHOTS[[#This Row],[End]]</f>
        <v>65</v>
      </c>
      <c r="G7" s="2">
        <f>metaSHOTS[[#This Row],[Duration]]</f>
        <v>65</v>
      </c>
      <c r="H7" s="8" t="s">
        <v>312</v>
      </c>
      <c r="I7" s="8" t="s">
        <v>20</v>
      </c>
      <c r="J7"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Pending Review</v>
      </c>
      <c r="K7" s="2">
        <v>10</v>
      </c>
      <c r="L7" s="185">
        <v>1</v>
      </c>
      <c r="M7" s="185">
        <v>1</v>
      </c>
      <c r="N7" s="185">
        <v>1</v>
      </c>
      <c r="O7" s="91" cm="1">
        <f t="array" ref="O7">SUM(vfx[[#This Row],[rnd]:[polish]]*vfx_ponderation)</f>
        <v>1</v>
      </c>
      <c r="P7" s="84">
        <f>IF(vfx[[#This Row],[Progress]]="Done", "Done", (1-vfx[[#This Row],[Progress]])*vfx[[#This Row],[Estimated]])</f>
        <v>0</v>
      </c>
      <c r="Q7" s="188"/>
      <c r="S7" s="81"/>
      <c r="T7" s="165"/>
      <c r="U7" s="81"/>
    </row>
    <row r="8" spans="1:21" ht="30" customHeight="1" x14ac:dyDescent="0.25">
      <c r="A8" s="3" t="str">
        <f>metaSHOTS[[#This Row],[Shot]]</f>
        <v>010_060</v>
      </c>
      <c r="B8" s="2" t="e" vm="5">
        <f>metaSHOTS[[#This Row],[Thumbnail]]</f>
        <v>#VALUE!</v>
      </c>
      <c r="C8" s="86" t="b">
        <v>0</v>
      </c>
      <c r="D8" s="186" t="s">
        <v>324</v>
      </c>
      <c r="E8" s="2">
        <f>metaSHOTS[[#This Row],[Start]]</f>
        <v>1</v>
      </c>
      <c r="F8" s="2">
        <f>metaSHOTS[[#This Row],[End]]</f>
        <v>76</v>
      </c>
      <c r="G8" s="2">
        <f>metaSHOTS[[#This Row],[Duration]]</f>
        <v>76</v>
      </c>
      <c r="H8" s="8" t="s">
        <v>312</v>
      </c>
      <c r="I8" s="8" t="s">
        <v>20</v>
      </c>
      <c r="J8"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Pending Review</v>
      </c>
      <c r="K8" s="2">
        <v>3</v>
      </c>
      <c r="L8" s="185">
        <v>1</v>
      </c>
      <c r="M8" s="185">
        <v>1</v>
      </c>
      <c r="N8" s="185">
        <v>1</v>
      </c>
      <c r="O8" s="91" cm="1">
        <f t="array" ref="O8">SUM(vfx[[#This Row],[rnd]:[polish]]*vfx_ponderation)</f>
        <v>1</v>
      </c>
      <c r="P8" s="84">
        <f>IF(vfx[[#This Row],[Progress]]="Done", "Done", (1-vfx[[#This Row],[Progress]])*vfx[[#This Row],[Estimated]])</f>
        <v>0</v>
      </c>
      <c r="Q8" s="188"/>
      <c r="S8" s="81"/>
      <c r="T8" s="165"/>
      <c r="U8" s="81"/>
    </row>
    <row r="9" spans="1:21" ht="30" customHeight="1" x14ac:dyDescent="0.25">
      <c r="A9" s="3" t="str">
        <f>metaSHOTS[[#This Row],[Shot]]</f>
        <v>010_070</v>
      </c>
      <c r="B9" s="2" t="e" vm="6">
        <f>metaSHOTS[[#This Row],[Thumbnail]]</f>
        <v>#VALUE!</v>
      </c>
      <c r="C9" s="86" t="b">
        <v>0</v>
      </c>
      <c r="D9" s="186" t="s">
        <v>324</v>
      </c>
      <c r="E9" s="2">
        <f>metaSHOTS[[#This Row],[Start]]</f>
        <v>1</v>
      </c>
      <c r="F9" s="2">
        <f>metaSHOTS[[#This Row],[End]]</f>
        <v>41</v>
      </c>
      <c r="G9" s="2">
        <f>metaSHOTS[[#This Row],[Duration]]</f>
        <v>41</v>
      </c>
      <c r="H9" s="8" t="s">
        <v>312</v>
      </c>
      <c r="I9" s="8" t="s">
        <v>20</v>
      </c>
      <c r="J9"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9" s="2">
        <v>0</v>
      </c>
      <c r="L9" s="185">
        <v>0</v>
      </c>
      <c r="M9" s="185">
        <v>0</v>
      </c>
      <c r="N9" s="185">
        <v>0</v>
      </c>
      <c r="O9" s="91" cm="1">
        <f t="array" ref="O9">SUM(vfx[[#This Row],[rnd]:[polish]]*vfx_ponderation)</f>
        <v>0</v>
      </c>
      <c r="P9" s="84">
        <f>IF(vfx[[#This Row],[Progress]]="Done", "Done", (1-vfx[[#This Row],[Progress]])*vfx[[#This Row],[Estimated]])</f>
        <v>0</v>
      </c>
      <c r="Q9" s="188"/>
      <c r="S9" s="81"/>
      <c r="T9" s="165"/>
      <c r="U9" s="81"/>
    </row>
    <row r="10" spans="1:21" ht="30" customHeight="1" x14ac:dyDescent="0.25">
      <c r="A10" s="3" t="str">
        <f>metaSHOTS[[#This Row],[Shot]]</f>
        <v>010_080</v>
      </c>
      <c r="B10" s="2" t="e" vm="7">
        <f>metaSHOTS[[#This Row],[Thumbnail]]</f>
        <v>#VALUE!</v>
      </c>
      <c r="C10" s="86" t="b">
        <v>0</v>
      </c>
      <c r="D10" s="186" t="s">
        <v>324</v>
      </c>
      <c r="E10" s="2">
        <f>metaSHOTS[[#This Row],[Start]]</f>
        <v>1</v>
      </c>
      <c r="F10" s="2">
        <f>metaSHOTS[[#This Row],[End]]</f>
        <v>18</v>
      </c>
      <c r="G10" s="2">
        <f>metaSHOTS[[#This Row],[Duration]]</f>
        <v>18</v>
      </c>
      <c r="H10" s="8" t="s">
        <v>312</v>
      </c>
      <c r="I10" s="8" t="s">
        <v>20</v>
      </c>
      <c r="J10"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10" s="2">
        <v>0</v>
      </c>
      <c r="L10" s="185">
        <v>0</v>
      </c>
      <c r="M10" s="185">
        <v>0</v>
      </c>
      <c r="N10" s="185">
        <v>0</v>
      </c>
      <c r="O10" s="91" cm="1">
        <f t="array" ref="O10">SUM(vfx[[#This Row],[rnd]:[polish]]*vfx_ponderation)</f>
        <v>0</v>
      </c>
      <c r="P10" s="84">
        <f>IF(vfx[[#This Row],[Progress]]="Done", "Done", (1-vfx[[#This Row],[Progress]])*vfx[[#This Row],[Estimated]])</f>
        <v>0</v>
      </c>
      <c r="Q10" s="188"/>
      <c r="S10" s="81"/>
      <c r="T10" s="165"/>
      <c r="U10" s="81"/>
    </row>
    <row r="11" spans="1:21" ht="30" customHeight="1" x14ac:dyDescent="0.25">
      <c r="A11" s="3" t="str">
        <f>metaSHOTS[[#This Row],[Shot]]</f>
        <v>010_090</v>
      </c>
      <c r="B11" s="2" t="e" vm="8">
        <f>metaSHOTS[[#This Row],[Thumbnail]]</f>
        <v>#VALUE!</v>
      </c>
      <c r="C11" s="86" t="b">
        <v>0</v>
      </c>
      <c r="D11" s="186" t="s">
        <v>324</v>
      </c>
      <c r="E11" s="2">
        <f>metaSHOTS[[#This Row],[Start]]</f>
        <v>2</v>
      </c>
      <c r="F11" s="2">
        <f>metaSHOTS[[#This Row],[End]]</f>
        <v>9</v>
      </c>
      <c r="G11" s="2">
        <f>metaSHOTS[[#This Row],[Duration]]</f>
        <v>8</v>
      </c>
      <c r="H11" s="8" t="s">
        <v>312</v>
      </c>
      <c r="I11" s="8" t="s">
        <v>20</v>
      </c>
      <c r="J11"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11" s="2">
        <v>2</v>
      </c>
      <c r="L11" s="185">
        <v>0</v>
      </c>
      <c r="M11" s="185">
        <v>0</v>
      </c>
      <c r="N11" s="185">
        <v>0</v>
      </c>
      <c r="O11" s="91" cm="1">
        <f t="array" ref="O11">SUM(vfx[[#This Row],[rnd]:[polish]]*vfx_ponderation)</f>
        <v>0</v>
      </c>
      <c r="P11" s="84">
        <f>IF(vfx[[#This Row],[Progress]]="Done", "Done", (1-vfx[[#This Row],[Progress]])*vfx[[#This Row],[Estimated]])</f>
        <v>2</v>
      </c>
      <c r="Q11" s="188"/>
      <c r="S11" s="81"/>
      <c r="T11" s="165"/>
      <c r="U11" s="81"/>
    </row>
    <row r="12" spans="1:21" ht="30" customHeight="1" x14ac:dyDescent="0.25">
      <c r="A12" s="3" t="str">
        <f>metaSHOTS[[#This Row],[Shot]]</f>
        <v>010_100</v>
      </c>
      <c r="B12" s="2" t="e" vm="9">
        <f>metaSHOTS[[#This Row],[Thumbnail]]</f>
        <v>#VALUE!</v>
      </c>
      <c r="C12" s="86" t="b">
        <v>0</v>
      </c>
      <c r="D12" s="186" t="s">
        <v>324</v>
      </c>
      <c r="E12" s="2">
        <f>metaSHOTS[[#This Row],[Start]]</f>
        <v>1</v>
      </c>
      <c r="F12" s="2">
        <f>metaSHOTS[[#This Row],[End]]</f>
        <v>75</v>
      </c>
      <c r="G12" s="2">
        <f>metaSHOTS[[#This Row],[Duration]]</f>
        <v>75</v>
      </c>
      <c r="H12" s="8" t="s">
        <v>312</v>
      </c>
      <c r="I12" s="8" t="s">
        <v>20</v>
      </c>
      <c r="J12"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12" s="2">
        <v>20</v>
      </c>
      <c r="L12" s="185">
        <v>0.5</v>
      </c>
      <c r="M12" s="185">
        <v>0.2</v>
      </c>
      <c r="N12" s="185">
        <v>0.2</v>
      </c>
      <c r="O12" s="91" cm="1">
        <f t="array" ref="O12">SUM(vfx[[#This Row],[rnd]:[polish]]*vfx_ponderation)</f>
        <v>0.35</v>
      </c>
      <c r="P12" s="84">
        <f>IF(vfx[[#This Row],[Progress]]="Done", "Done", (1-vfx[[#This Row],[Progress]])*vfx[[#This Row],[Estimated]])</f>
        <v>13</v>
      </c>
      <c r="Q12" s="188"/>
      <c r="S12" s="81"/>
      <c r="T12" s="165"/>
      <c r="U12" s="81"/>
    </row>
    <row r="13" spans="1:21" ht="30" customHeight="1" x14ac:dyDescent="0.25">
      <c r="A13" s="3" t="str">
        <f>metaSHOTS[[#This Row],[Shot]]</f>
        <v>010_110</v>
      </c>
      <c r="B13" s="2" t="e" vm="10">
        <f>metaSHOTS[[#This Row],[Thumbnail]]</f>
        <v>#VALUE!</v>
      </c>
      <c r="C13" s="86" t="b">
        <v>0</v>
      </c>
      <c r="D13" s="186" t="s">
        <v>324</v>
      </c>
      <c r="E13" s="2">
        <f>metaSHOTS[[#This Row],[Start]]</f>
        <v>1</v>
      </c>
      <c r="F13" s="2">
        <f>metaSHOTS[[#This Row],[End]]</f>
        <v>52</v>
      </c>
      <c r="G13" s="2">
        <f>metaSHOTS[[#This Row],[Duration]]</f>
        <v>52</v>
      </c>
      <c r="H13" s="8" t="s">
        <v>312</v>
      </c>
      <c r="I13" s="8" t="s">
        <v>20</v>
      </c>
      <c r="J13"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Pending Review</v>
      </c>
      <c r="K13" s="2">
        <v>0</v>
      </c>
      <c r="L13" s="185">
        <v>1</v>
      </c>
      <c r="M13" s="185">
        <v>1</v>
      </c>
      <c r="N13" s="185">
        <v>1</v>
      </c>
      <c r="O13" s="91" cm="1">
        <f t="array" ref="O13">SUM(vfx[[#This Row],[rnd]:[polish]]*vfx_ponderation)</f>
        <v>1</v>
      </c>
      <c r="P13" s="84">
        <f>IF(vfx[[#This Row],[Progress]]="Done", "Done", (1-vfx[[#This Row],[Progress]])*vfx[[#This Row],[Estimated]])</f>
        <v>0</v>
      </c>
      <c r="Q13" s="188"/>
      <c r="S13" s="81"/>
      <c r="T13" s="165"/>
      <c r="U13" s="81"/>
    </row>
    <row r="14" spans="1:21" ht="30" hidden="1" customHeight="1" x14ac:dyDescent="0.25">
      <c r="A14" s="3" t="str">
        <f>metaSHOTS[[#This Row],[Shot]]</f>
        <v>010_160</v>
      </c>
      <c r="B14" s="2" t="e" vm="11">
        <f>metaSHOTS[[#This Row],[Thumbnail]]</f>
        <v>#VALUE!</v>
      </c>
      <c r="C14" s="86" t="b">
        <v>0</v>
      </c>
      <c r="D14" s="186" t="s">
        <v>324</v>
      </c>
      <c r="E14" s="2">
        <f>metaSHOTS[[#This Row],[Start]]</f>
        <v>1</v>
      </c>
      <c r="F14" s="2">
        <f>metaSHOTS[[#This Row],[End]]</f>
        <v>21</v>
      </c>
      <c r="G14" s="2">
        <f>metaSHOTS[[#This Row],[Duration]]</f>
        <v>21</v>
      </c>
      <c r="H14" s="8" t="s">
        <v>312</v>
      </c>
      <c r="I14" s="8" t="s">
        <v>18</v>
      </c>
      <c r="J14"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14" s="2">
        <v>1</v>
      </c>
      <c r="L14" s="185">
        <v>0</v>
      </c>
      <c r="M14" s="185">
        <v>0</v>
      </c>
      <c r="N14" s="185">
        <v>0</v>
      </c>
      <c r="O14" s="91" cm="1">
        <f t="array" ref="O14">SUM(vfx[[#This Row],[rnd]:[polish]]*vfx_ponderation)</f>
        <v>0</v>
      </c>
      <c r="P14" s="84">
        <f>IF(vfx[[#This Row],[Progress]]="Done", "Done", (1-vfx[[#This Row],[Progress]])*vfx[[#This Row],[Estimated]])</f>
        <v>1</v>
      </c>
      <c r="Q14" s="188"/>
      <c r="S14" s="81"/>
      <c r="T14" s="165"/>
      <c r="U14" s="81"/>
    </row>
    <row r="15" spans="1:21" ht="30" hidden="1" customHeight="1" x14ac:dyDescent="0.25">
      <c r="A15" s="3" t="str">
        <f>metaSHOTS[[#This Row],[Shot]]</f>
        <v>010_170</v>
      </c>
      <c r="B15" s="2" t="e" vm="12">
        <f>metaSHOTS[[#This Row],[Thumbnail]]</f>
        <v>#VALUE!</v>
      </c>
      <c r="C15" s="86" t="b">
        <v>0</v>
      </c>
      <c r="D15" s="186" t="s">
        <v>324</v>
      </c>
      <c r="E15" s="2">
        <f>metaSHOTS[[#This Row],[Start]]</f>
        <v>1</v>
      </c>
      <c r="F15" s="2">
        <f>metaSHOTS[[#This Row],[End]]</f>
        <v>17</v>
      </c>
      <c r="G15" s="2">
        <f>metaSHOTS[[#This Row],[Duration]]</f>
        <v>17</v>
      </c>
      <c r="H15" s="8" t="s">
        <v>312</v>
      </c>
      <c r="I15" s="8" t="s">
        <v>18</v>
      </c>
      <c r="J15"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Pending Review</v>
      </c>
      <c r="K15" s="2">
        <v>0</v>
      </c>
      <c r="L15" s="185">
        <v>1</v>
      </c>
      <c r="M15" s="185">
        <v>1</v>
      </c>
      <c r="N15" s="185">
        <v>1</v>
      </c>
      <c r="O15" s="91" cm="1">
        <f t="array" ref="O15">SUM(vfx[[#This Row],[rnd]:[polish]]*vfx_ponderation)</f>
        <v>1</v>
      </c>
      <c r="P15" s="84">
        <f>IF(vfx[[#This Row],[Progress]]="Done", "Done", (1-vfx[[#This Row],[Progress]])*vfx[[#This Row],[Estimated]])</f>
        <v>0</v>
      </c>
      <c r="Q15" s="188"/>
      <c r="S15" s="81"/>
      <c r="T15" s="165"/>
      <c r="U15" s="81"/>
    </row>
    <row r="16" spans="1:21" ht="30" customHeight="1" x14ac:dyDescent="0.25">
      <c r="A16" s="3" t="str">
        <f>metaSHOTS[[#This Row],[Shot]]</f>
        <v>010_180</v>
      </c>
      <c r="B16" s="2" t="e" vm="13">
        <f>metaSHOTS[[#This Row],[Thumbnail]]</f>
        <v>#VALUE!</v>
      </c>
      <c r="C16" s="86" t="b">
        <v>0</v>
      </c>
      <c r="D16" s="186" t="s">
        <v>324</v>
      </c>
      <c r="E16" s="2">
        <f>metaSHOTS[[#This Row],[Start]]</f>
        <v>1</v>
      </c>
      <c r="F16" s="2">
        <f>metaSHOTS[[#This Row],[End]]</f>
        <v>124</v>
      </c>
      <c r="G16" s="2">
        <f>metaSHOTS[[#This Row],[Duration]]</f>
        <v>124</v>
      </c>
      <c r="H16" s="8" t="s">
        <v>312</v>
      </c>
      <c r="I16" s="8" t="s">
        <v>20</v>
      </c>
      <c r="J16"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16" s="2">
        <v>10</v>
      </c>
      <c r="L16" s="185">
        <v>0.5</v>
      </c>
      <c r="M16" s="185">
        <v>0</v>
      </c>
      <c r="N16" s="185">
        <v>0</v>
      </c>
      <c r="O16" s="91" cm="1">
        <f t="array" ref="O16">SUM(vfx[[#This Row],[rnd]:[polish]]*vfx_ponderation)</f>
        <v>0.25</v>
      </c>
      <c r="P16" s="84">
        <f>IF(vfx[[#This Row],[Progress]]="Done", "Done", (1-vfx[[#This Row],[Progress]])*vfx[[#This Row],[Estimated]])</f>
        <v>7.5</v>
      </c>
      <c r="Q16" s="188"/>
      <c r="S16" s="81"/>
      <c r="T16" s="165"/>
      <c r="U16" s="81"/>
    </row>
    <row r="17" spans="1:21" ht="30" customHeight="1" x14ac:dyDescent="0.25">
      <c r="A17" s="3" t="str">
        <f>metaSHOTS[[#This Row],[Shot]]</f>
        <v>010_190</v>
      </c>
      <c r="B17" s="2" t="e" vm="14">
        <f>metaSHOTS[[#This Row],[Thumbnail]]</f>
        <v>#VALUE!</v>
      </c>
      <c r="C17" s="86" t="b">
        <v>0</v>
      </c>
      <c r="D17" s="186" t="s">
        <v>324</v>
      </c>
      <c r="E17" s="2">
        <f>metaSHOTS[[#This Row],[Start]]</f>
        <v>1</v>
      </c>
      <c r="F17" s="2">
        <f>metaSHOTS[[#This Row],[End]]</f>
        <v>121</v>
      </c>
      <c r="G17" s="2">
        <f>metaSHOTS[[#This Row],[Duration]]</f>
        <v>121</v>
      </c>
      <c r="H17" s="8" t="s">
        <v>312</v>
      </c>
      <c r="I17" s="8" t="s">
        <v>20</v>
      </c>
      <c r="J17"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17" s="2">
        <v>34</v>
      </c>
      <c r="L17" s="185">
        <v>0.3</v>
      </c>
      <c r="M17" s="185">
        <v>0</v>
      </c>
      <c r="N17" s="185">
        <v>0</v>
      </c>
      <c r="O17" s="91" cm="1">
        <f t="array" ref="O17">SUM(vfx[[#This Row],[rnd]:[polish]]*vfx_ponderation)</f>
        <v>0.15</v>
      </c>
      <c r="P17" s="84">
        <f>IF(vfx[[#This Row],[Progress]]="Done", "Done", (1-vfx[[#This Row],[Progress]])*vfx[[#This Row],[Estimated]])</f>
        <v>28.9</v>
      </c>
      <c r="Q17" s="188"/>
      <c r="S17" s="81"/>
      <c r="T17" s="165"/>
      <c r="U17" s="81"/>
    </row>
    <row r="18" spans="1:21" ht="30" customHeight="1" x14ac:dyDescent="0.25">
      <c r="A18" s="3" t="str">
        <f>metaSHOTS[[#This Row],[Shot]]</f>
        <v>010_200</v>
      </c>
      <c r="B18" s="2" t="e" vm="15">
        <f>metaSHOTS[[#This Row],[Thumbnail]]</f>
        <v>#VALUE!</v>
      </c>
      <c r="C18" s="86" t="b">
        <v>0</v>
      </c>
      <c r="D18" s="186" t="s">
        <v>324</v>
      </c>
      <c r="E18" s="2">
        <f>metaSHOTS[[#This Row],[Start]]</f>
        <v>1</v>
      </c>
      <c r="F18" s="2">
        <f>metaSHOTS[[#This Row],[End]]</f>
        <v>121</v>
      </c>
      <c r="G18" s="2">
        <f>metaSHOTS[[#This Row],[Duration]]</f>
        <v>121</v>
      </c>
      <c r="H18" s="8" t="s">
        <v>312</v>
      </c>
      <c r="I18" s="8" t="s">
        <v>20</v>
      </c>
      <c r="J18"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Needs Fix</v>
      </c>
      <c r="K18" s="2">
        <v>4</v>
      </c>
      <c r="L18" s="185">
        <v>1</v>
      </c>
      <c r="M18" s="185">
        <v>1</v>
      </c>
      <c r="N18" s="185">
        <v>1</v>
      </c>
      <c r="O18" s="91" cm="1">
        <f t="array" ref="O18">SUM(vfx[[#This Row],[rnd]:[polish]]*vfx_ponderation)</f>
        <v>1</v>
      </c>
      <c r="P18" s="84">
        <f>IF(vfx[[#This Row],[Progress]]="Done", "Done", (1-vfx[[#This Row],[Progress]])*vfx[[#This Row],[Estimated]])</f>
        <v>0</v>
      </c>
      <c r="Q18" s="188" t="s">
        <v>278</v>
      </c>
      <c r="S18" s="81"/>
      <c r="T18" s="165"/>
      <c r="U18" s="81"/>
    </row>
    <row r="19" spans="1:21" ht="30" customHeight="1" x14ac:dyDescent="0.25">
      <c r="A19" s="3" t="str">
        <f>metaSHOTS[[#This Row],[Shot]]</f>
        <v>020_020</v>
      </c>
      <c r="B19" s="2" t="e" vm="16">
        <f>metaSHOTS[[#This Row],[Thumbnail]]</f>
        <v>#VALUE!</v>
      </c>
      <c r="C19" s="86" t="b">
        <v>0</v>
      </c>
      <c r="D19" s="186" t="s">
        <v>324</v>
      </c>
      <c r="E19" s="2">
        <f>metaSHOTS[[#This Row],[Start]]</f>
        <v>1</v>
      </c>
      <c r="F19" s="2">
        <f>metaSHOTS[[#This Row],[End]]</f>
        <v>102</v>
      </c>
      <c r="G19" s="2">
        <f>metaSHOTS[[#This Row],[Duration]]</f>
        <v>102</v>
      </c>
      <c r="H19" s="8" t="s">
        <v>312</v>
      </c>
      <c r="I19" s="8" t="s">
        <v>20</v>
      </c>
      <c r="J19"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19" s="2">
        <v>12</v>
      </c>
      <c r="L19" s="185">
        <v>0</v>
      </c>
      <c r="M19" s="185">
        <v>0</v>
      </c>
      <c r="N19" s="185">
        <v>0</v>
      </c>
      <c r="O19" s="91" cm="1">
        <f t="array" ref="O19">SUM(vfx[[#This Row],[rnd]:[polish]]*vfx_ponderation)</f>
        <v>0</v>
      </c>
      <c r="P19" s="84">
        <f>IF(vfx[[#This Row],[Progress]]="Done", "Done", (1-vfx[[#This Row],[Progress]])*vfx[[#This Row],[Estimated]])</f>
        <v>12</v>
      </c>
      <c r="Q19" s="188"/>
      <c r="S19" s="81"/>
      <c r="T19" s="165"/>
      <c r="U19" s="81"/>
    </row>
    <row r="20" spans="1:21" ht="30" customHeight="1" x14ac:dyDescent="0.25">
      <c r="A20" s="3" t="str">
        <f>metaSHOTS[[#This Row],[Shot]]</f>
        <v>020_030</v>
      </c>
      <c r="B20" s="2" t="e" vm="17">
        <f>metaSHOTS[[#This Row],[Thumbnail]]</f>
        <v>#VALUE!</v>
      </c>
      <c r="C20" s="86" t="b">
        <v>0</v>
      </c>
      <c r="D20" s="186" t="s">
        <v>324</v>
      </c>
      <c r="E20" s="2">
        <f>metaSHOTS[[#This Row],[Start]]</f>
        <v>1</v>
      </c>
      <c r="F20" s="2">
        <f>metaSHOTS[[#This Row],[End]]</f>
        <v>107</v>
      </c>
      <c r="G20" s="2">
        <f>metaSHOTS[[#This Row],[Duration]]</f>
        <v>107</v>
      </c>
      <c r="H20" s="8" t="s">
        <v>312</v>
      </c>
      <c r="I20" s="8" t="s">
        <v>20</v>
      </c>
      <c r="J20"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0" s="2">
        <v>0</v>
      </c>
      <c r="L20" s="185">
        <v>0</v>
      </c>
      <c r="M20" s="185">
        <v>0</v>
      </c>
      <c r="N20" s="185">
        <v>0</v>
      </c>
      <c r="O20" s="91" cm="1">
        <f t="array" ref="O20">SUM(vfx[[#This Row],[rnd]:[polish]]*vfx_ponderation)</f>
        <v>0</v>
      </c>
      <c r="P20" s="84">
        <f>IF(vfx[[#This Row],[Progress]]="Done", "Done", (1-vfx[[#This Row],[Progress]])*vfx[[#This Row],[Estimated]])</f>
        <v>0</v>
      </c>
      <c r="Q20" s="188"/>
      <c r="S20" s="81"/>
      <c r="T20" s="165"/>
      <c r="U20" s="81"/>
    </row>
    <row r="21" spans="1:21" ht="30" customHeight="1" x14ac:dyDescent="0.25">
      <c r="A21" s="3" t="str">
        <f>metaSHOTS[[#This Row],[Shot]]</f>
        <v>020_040</v>
      </c>
      <c r="B21" s="2" t="e" vm="18">
        <f>metaSHOTS[[#This Row],[Thumbnail]]</f>
        <v>#VALUE!</v>
      </c>
      <c r="C21" s="86" t="b">
        <v>0</v>
      </c>
      <c r="D21" s="186" t="s">
        <v>324</v>
      </c>
      <c r="E21" s="2">
        <f>metaSHOTS[[#This Row],[Start]]</f>
        <v>1</v>
      </c>
      <c r="F21" s="2">
        <f>metaSHOTS[[#This Row],[End]]</f>
        <v>43</v>
      </c>
      <c r="G21" s="2">
        <f>metaSHOTS[[#This Row],[Duration]]</f>
        <v>43</v>
      </c>
      <c r="H21" s="8" t="s">
        <v>312</v>
      </c>
      <c r="I21" s="8" t="s">
        <v>20</v>
      </c>
      <c r="J21"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1" s="2">
        <v>0</v>
      </c>
      <c r="L21" s="185">
        <v>0</v>
      </c>
      <c r="M21" s="185">
        <v>0</v>
      </c>
      <c r="N21" s="185">
        <v>0</v>
      </c>
      <c r="O21" s="91" cm="1">
        <f t="array" ref="O21">SUM(vfx[[#This Row],[rnd]:[polish]]*vfx_ponderation)</f>
        <v>0</v>
      </c>
      <c r="P21" s="84">
        <f>IF(vfx[[#This Row],[Progress]]="Done", "Done", (1-vfx[[#This Row],[Progress]])*vfx[[#This Row],[Estimated]])</f>
        <v>0</v>
      </c>
      <c r="Q21" s="188"/>
      <c r="S21" s="81"/>
      <c r="T21" s="165"/>
      <c r="U21" s="81"/>
    </row>
    <row r="22" spans="1:21" ht="30" hidden="1" customHeight="1" x14ac:dyDescent="0.25">
      <c r="A22" s="3" t="str">
        <f>metaSHOTS[[#This Row],[Shot]]</f>
        <v>020_050</v>
      </c>
      <c r="B22" s="2" t="e" vm="19">
        <f>metaSHOTS[[#This Row],[Thumbnail]]</f>
        <v>#VALUE!</v>
      </c>
      <c r="C22" s="86" t="b">
        <v>0</v>
      </c>
      <c r="D22" s="186" t="s">
        <v>324</v>
      </c>
      <c r="E22" s="2">
        <f>metaSHOTS[[#This Row],[Start]]</f>
        <v>1</v>
      </c>
      <c r="F22" s="2">
        <f>metaSHOTS[[#This Row],[End]]</f>
        <v>227</v>
      </c>
      <c r="G22" s="2">
        <f>metaSHOTS[[#This Row],[Duration]]</f>
        <v>227</v>
      </c>
      <c r="H22" s="8" t="s">
        <v>312</v>
      </c>
      <c r="I22" s="8" t="s">
        <v>18</v>
      </c>
      <c r="J22"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2" s="2">
        <v>0</v>
      </c>
      <c r="L22" s="185">
        <v>0</v>
      </c>
      <c r="M22" s="185">
        <v>0</v>
      </c>
      <c r="N22" s="185">
        <v>0</v>
      </c>
      <c r="O22" s="91" cm="1">
        <f t="array" ref="O22">SUM(vfx[[#This Row],[rnd]:[polish]]*vfx_ponderation)</f>
        <v>0</v>
      </c>
      <c r="P22" s="84">
        <f>IF(vfx[[#This Row],[Progress]]="Done", "Done", (1-vfx[[#This Row],[Progress]])*vfx[[#This Row],[Estimated]])</f>
        <v>0</v>
      </c>
      <c r="Q22" s="188"/>
      <c r="S22" s="81"/>
      <c r="T22" s="165"/>
      <c r="U22" s="81"/>
    </row>
    <row r="23" spans="1:21" ht="30" customHeight="1" x14ac:dyDescent="0.25">
      <c r="A23" s="3" t="str">
        <f>metaSHOTS[[#This Row],[Shot]]</f>
        <v>030_020</v>
      </c>
      <c r="B23" s="2" t="e" vm="20">
        <f>metaSHOTS[[#This Row],[Thumbnail]]</f>
        <v>#VALUE!</v>
      </c>
      <c r="C23" s="86" t="b">
        <v>0</v>
      </c>
      <c r="D23" s="186" t="s">
        <v>324</v>
      </c>
      <c r="E23" s="2">
        <f>metaSHOTS[[#This Row],[Start]]</f>
        <v>1</v>
      </c>
      <c r="F23" s="2">
        <f>metaSHOTS[[#This Row],[End]]</f>
        <v>290</v>
      </c>
      <c r="G23" s="2">
        <f>metaSHOTS[[#This Row],[Duration]]</f>
        <v>290</v>
      </c>
      <c r="H23" s="8" t="s">
        <v>312</v>
      </c>
      <c r="I23" s="8" t="s">
        <v>20</v>
      </c>
      <c r="J23"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3" s="2">
        <v>0</v>
      </c>
      <c r="L23" s="185">
        <v>0</v>
      </c>
      <c r="M23" s="185">
        <v>0</v>
      </c>
      <c r="N23" s="185">
        <v>0</v>
      </c>
      <c r="O23" s="91" cm="1">
        <f t="array" ref="O23">SUM(vfx[[#This Row],[rnd]:[polish]]*vfx_ponderation)</f>
        <v>0</v>
      </c>
      <c r="P23" s="84">
        <f>IF(vfx[[#This Row],[Progress]]="Done", "Done", (1-vfx[[#This Row],[Progress]])*vfx[[#This Row],[Estimated]])</f>
        <v>0</v>
      </c>
      <c r="Q23" s="188"/>
    </row>
    <row r="24" spans="1:21" ht="30" customHeight="1" x14ac:dyDescent="0.25">
      <c r="A24" s="3" t="str">
        <f>metaSHOTS[[#This Row],[Shot]]</f>
        <v>030_030</v>
      </c>
      <c r="B24" s="2" t="e" vm="21">
        <f>metaSHOTS[[#This Row],[Thumbnail]]</f>
        <v>#VALUE!</v>
      </c>
      <c r="C24" s="86" t="b">
        <v>0</v>
      </c>
      <c r="D24" s="186" t="s">
        <v>324</v>
      </c>
      <c r="E24" s="2">
        <f>metaSHOTS[[#This Row],[Start]]</f>
        <v>1</v>
      </c>
      <c r="F24" s="2">
        <f>metaSHOTS[[#This Row],[End]]</f>
        <v>141</v>
      </c>
      <c r="G24" s="2">
        <f>metaSHOTS[[#This Row],[Duration]]</f>
        <v>141</v>
      </c>
      <c r="H24" s="8" t="s">
        <v>312</v>
      </c>
      <c r="I24" s="8" t="s">
        <v>20</v>
      </c>
      <c r="J24"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Needs Fix</v>
      </c>
      <c r="K24" s="2">
        <v>35</v>
      </c>
      <c r="L24" s="185">
        <v>1</v>
      </c>
      <c r="M24" s="185">
        <v>1</v>
      </c>
      <c r="N24" s="185">
        <v>0</v>
      </c>
      <c r="O24" s="91" cm="1">
        <f t="array" ref="O24">SUM(vfx[[#This Row],[rnd]:[polish]]*vfx_ponderation)</f>
        <v>0.8</v>
      </c>
      <c r="P24" s="84">
        <f>IF(vfx[[#This Row],[Progress]]="Done", "Done", (1-vfx[[#This Row],[Progress]])*vfx[[#This Row],[Estimated]])</f>
        <v>6.9999999999999982</v>
      </c>
      <c r="Q24" s="188" t="s">
        <v>361</v>
      </c>
    </row>
    <row r="25" spans="1:21" ht="30" hidden="1" customHeight="1" x14ac:dyDescent="0.25">
      <c r="A25" s="3" t="str">
        <f>metaSHOTS[[#This Row],[Shot]]</f>
        <v>030_040</v>
      </c>
      <c r="B25" s="2" t="e" vm="22">
        <f>metaSHOTS[[#This Row],[Thumbnail]]</f>
        <v>#VALUE!</v>
      </c>
      <c r="C25" s="86" t="b">
        <v>0</v>
      </c>
      <c r="D25" s="186" t="s">
        <v>324</v>
      </c>
      <c r="E25" s="2">
        <f>metaSHOTS[[#This Row],[Start]]</f>
        <v>1</v>
      </c>
      <c r="F25" s="2">
        <f>metaSHOTS[[#This Row],[End]]</f>
        <v>133</v>
      </c>
      <c r="G25" s="2">
        <f>metaSHOTS[[#This Row],[Duration]]</f>
        <v>133</v>
      </c>
      <c r="H25" s="8" t="s">
        <v>312</v>
      </c>
      <c r="I25" s="8" t="s">
        <v>12</v>
      </c>
      <c r="J25"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25" s="2">
        <v>10</v>
      </c>
      <c r="L25" s="185">
        <v>1</v>
      </c>
      <c r="M25" s="185">
        <v>1</v>
      </c>
      <c r="N25" s="185">
        <v>0.9</v>
      </c>
      <c r="O25" s="91" cm="1">
        <f t="array" ref="O25">SUM(vfx[[#This Row],[rnd]:[polish]]*vfx_ponderation)</f>
        <v>0.98000000000000009</v>
      </c>
      <c r="P25" s="84">
        <f>IF(vfx[[#This Row],[Progress]]="Done", "Done", (1-vfx[[#This Row],[Progress]])*vfx[[#This Row],[Estimated]])</f>
        <v>0.19999999999999907</v>
      </c>
      <c r="Q25" s="188"/>
    </row>
    <row r="26" spans="1:21" ht="30" hidden="1" customHeight="1" x14ac:dyDescent="0.25">
      <c r="A26" s="3" t="str">
        <f>metaSHOTS[[#This Row],[Shot]]</f>
        <v>030_060</v>
      </c>
      <c r="B26" s="2" t="e" vm="23">
        <f>metaSHOTS[[#This Row],[Thumbnail]]</f>
        <v>#VALUE!</v>
      </c>
      <c r="C26" s="86" t="b">
        <v>0</v>
      </c>
      <c r="D26" s="186" t="s">
        <v>324</v>
      </c>
      <c r="E26" s="2">
        <f>metaSHOTS[[#This Row],[Start]]</f>
        <v>1</v>
      </c>
      <c r="F26" s="2">
        <f>metaSHOTS[[#This Row],[End]]</f>
        <v>93</v>
      </c>
      <c r="G26" s="2">
        <f>metaSHOTS[[#This Row],[Duration]]</f>
        <v>93</v>
      </c>
      <c r="H26" s="8" t="s">
        <v>312</v>
      </c>
      <c r="I26" s="8" t="s">
        <v>12</v>
      </c>
      <c r="J26"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6" s="2">
        <v>4</v>
      </c>
      <c r="L26" s="185">
        <v>0</v>
      </c>
      <c r="M26" s="185">
        <v>0</v>
      </c>
      <c r="N26" s="185">
        <v>0</v>
      </c>
      <c r="O26" s="91" cm="1">
        <f t="array" ref="O26">SUM(vfx[[#This Row],[rnd]:[polish]]*vfx_ponderation)</f>
        <v>0</v>
      </c>
      <c r="P26" s="84">
        <f>IF(vfx[[#This Row],[Progress]]="Done", "Done", (1-vfx[[#This Row],[Progress]])*vfx[[#This Row],[Estimated]])</f>
        <v>4</v>
      </c>
      <c r="Q26" s="188"/>
    </row>
    <row r="27" spans="1:21" ht="30" customHeight="1" x14ac:dyDescent="0.25">
      <c r="A27" s="3" t="str">
        <f>metaSHOTS[[#This Row],[Shot]]</f>
        <v>030_070</v>
      </c>
      <c r="B27" s="2" t="e" vm="24">
        <f>metaSHOTS[[#This Row],[Thumbnail]]</f>
        <v>#VALUE!</v>
      </c>
      <c r="C27" s="86" t="b">
        <v>0</v>
      </c>
      <c r="D27" s="186" t="s">
        <v>324</v>
      </c>
      <c r="E27" s="2">
        <f>metaSHOTS[[#This Row],[Start]]</f>
        <v>1</v>
      </c>
      <c r="F27" s="2">
        <f>metaSHOTS[[#This Row],[End]]</f>
        <v>19</v>
      </c>
      <c r="G27" s="2">
        <f>metaSHOTS[[#This Row],[Duration]]</f>
        <v>19</v>
      </c>
      <c r="H27" s="8" t="s">
        <v>312</v>
      </c>
      <c r="I27" s="8" t="s">
        <v>20</v>
      </c>
      <c r="J27"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7" s="2">
        <v>4</v>
      </c>
      <c r="L27" s="185">
        <v>0</v>
      </c>
      <c r="M27" s="185">
        <v>0</v>
      </c>
      <c r="N27" s="185">
        <v>0</v>
      </c>
      <c r="O27" s="91" cm="1">
        <f t="array" ref="O27">SUM(vfx[[#This Row],[rnd]:[polish]]*vfx_ponderation)</f>
        <v>0</v>
      </c>
      <c r="P27" s="84">
        <f>IF(vfx[[#This Row],[Progress]]="Done", "Done", (1-vfx[[#This Row],[Progress]])*vfx[[#This Row],[Estimated]])</f>
        <v>4</v>
      </c>
      <c r="Q27" s="188"/>
    </row>
    <row r="28" spans="1:21" ht="30" customHeight="1" x14ac:dyDescent="0.25">
      <c r="A28" s="3" t="str">
        <f>metaSHOTS[[#This Row],[Shot]]</f>
        <v>030_080</v>
      </c>
      <c r="B28" s="2" t="e" vm="25">
        <f>metaSHOTS[[#This Row],[Thumbnail]]</f>
        <v>#VALUE!</v>
      </c>
      <c r="C28" s="86" t="b">
        <v>0</v>
      </c>
      <c r="D28" s="186" t="s">
        <v>324</v>
      </c>
      <c r="E28" s="2">
        <f>metaSHOTS[[#This Row],[Start]]</f>
        <v>1</v>
      </c>
      <c r="F28" s="2">
        <f>metaSHOTS[[#This Row],[End]]</f>
        <v>51</v>
      </c>
      <c r="G28" s="2">
        <f>metaSHOTS[[#This Row],[Duration]]</f>
        <v>51</v>
      </c>
      <c r="H28" s="8" t="s">
        <v>312</v>
      </c>
      <c r="I28" s="8" t="s">
        <v>20</v>
      </c>
      <c r="J28"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8" s="2">
        <v>6</v>
      </c>
      <c r="L28" s="185">
        <v>0</v>
      </c>
      <c r="M28" s="185">
        <v>0</v>
      </c>
      <c r="N28" s="185">
        <v>0</v>
      </c>
      <c r="O28" s="91" cm="1">
        <f t="array" ref="O28">SUM(vfx[[#This Row],[rnd]:[polish]]*vfx_ponderation)</f>
        <v>0</v>
      </c>
      <c r="P28" s="84">
        <f>IF(vfx[[#This Row],[Progress]]="Done", "Done", (1-vfx[[#This Row],[Progress]])*vfx[[#This Row],[Estimated]])</f>
        <v>6</v>
      </c>
      <c r="Q28" s="188"/>
    </row>
    <row r="29" spans="1:21" ht="30" customHeight="1" x14ac:dyDescent="0.25">
      <c r="A29" s="3" t="str">
        <f>metaSHOTS[[#This Row],[Shot]]</f>
        <v>030_100</v>
      </c>
      <c r="B29" s="2" t="e" vm="26">
        <f>metaSHOTS[[#This Row],[Thumbnail]]</f>
        <v>#VALUE!</v>
      </c>
      <c r="C29" s="86" t="b">
        <v>0</v>
      </c>
      <c r="D29" s="186" t="s">
        <v>324</v>
      </c>
      <c r="E29" s="2">
        <f>metaSHOTS[[#This Row],[Start]]</f>
        <v>1</v>
      </c>
      <c r="F29" s="2">
        <f>metaSHOTS[[#This Row],[End]]</f>
        <v>87</v>
      </c>
      <c r="G29" s="2">
        <f>metaSHOTS[[#This Row],[Duration]]</f>
        <v>87</v>
      </c>
      <c r="H29" s="8" t="s">
        <v>312</v>
      </c>
      <c r="I29" s="8" t="s">
        <v>20</v>
      </c>
      <c r="J29"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29" s="2">
        <v>10</v>
      </c>
      <c r="L29" s="185">
        <v>0</v>
      </c>
      <c r="M29" s="185">
        <v>0</v>
      </c>
      <c r="N29" s="185">
        <v>0</v>
      </c>
      <c r="O29" s="91" cm="1">
        <f t="array" ref="O29">SUM(vfx[[#This Row],[rnd]:[polish]]*vfx_ponderation)</f>
        <v>0</v>
      </c>
      <c r="P29" s="84">
        <f>IF(vfx[[#This Row],[Progress]]="Done", "Done", (1-vfx[[#This Row],[Progress]])*vfx[[#This Row],[Estimated]])</f>
        <v>10</v>
      </c>
      <c r="Q29" s="188"/>
    </row>
    <row r="30" spans="1:21" ht="30" customHeight="1" x14ac:dyDescent="0.25">
      <c r="A30" s="3" t="str">
        <f>metaSHOTS[[#This Row],[Shot]]</f>
        <v>030_110</v>
      </c>
      <c r="B30" s="2" t="e" vm="27">
        <f>metaSHOTS[[#This Row],[Thumbnail]]</f>
        <v>#VALUE!</v>
      </c>
      <c r="C30" s="86" t="b">
        <v>0</v>
      </c>
      <c r="D30" s="186" t="s">
        <v>324</v>
      </c>
      <c r="E30" s="2">
        <f>metaSHOTS[[#This Row],[Start]]</f>
        <v>1</v>
      </c>
      <c r="F30" s="2">
        <f>metaSHOTS[[#This Row],[End]]</f>
        <v>64</v>
      </c>
      <c r="G30" s="2">
        <f>metaSHOTS[[#This Row],[Duration]]</f>
        <v>64</v>
      </c>
      <c r="H30" s="8" t="s">
        <v>311</v>
      </c>
      <c r="I30" s="8" t="s">
        <v>20</v>
      </c>
      <c r="J30"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30" s="2">
        <v>50</v>
      </c>
      <c r="L30" s="185">
        <v>0.5</v>
      </c>
      <c r="M30" s="185">
        <v>0</v>
      </c>
      <c r="N30" s="185">
        <v>0</v>
      </c>
      <c r="O30" s="91" cm="1">
        <f t="array" ref="O30">SUM(vfx[[#This Row],[rnd]:[polish]]*vfx_ponderation)</f>
        <v>0.25</v>
      </c>
      <c r="P30" s="84">
        <f>IF(vfx[[#This Row],[Progress]]="Done", "Done", (1-vfx[[#This Row],[Progress]])*vfx[[#This Row],[Estimated]])</f>
        <v>37.5</v>
      </c>
      <c r="Q30" s="188"/>
    </row>
    <row r="31" spans="1:21" ht="30" customHeight="1" x14ac:dyDescent="0.25">
      <c r="A31" s="3" t="str">
        <f>metaSHOTS[[#This Row],[Shot]]</f>
        <v>030_120</v>
      </c>
      <c r="B31" s="2" t="e" vm="28">
        <f>metaSHOTS[[#This Row],[Thumbnail]]</f>
        <v>#VALUE!</v>
      </c>
      <c r="C31" s="86" t="b">
        <v>0</v>
      </c>
      <c r="D31" s="186" t="s">
        <v>324</v>
      </c>
      <c r="E31" s="2">
        <f>metaSHOTS[[#This Row],[Start]]</f>
        <v>1</v>
      </c>
      <c r="F31" s="2">
        <f>metaSHOTS[[#This Row],[End]]</f>
        <v>71</v>
      </c>
      <c r="G31" s="2">
        <f>metaSHOTS[[#This Row],[Duration]]</f>
        <v>71</v>
      </c>
      <c r="H31" s="8" t="s">
        <v>311</v>
      </c>
      <c r="I31" s="8" t="s">
        <v>20</v>
      </c>
      <c r="J31"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31" s="2">
        <v>20</v>
      </c>
      <c r="L31" s="185">
        <v>0</v>
      </c>
      <c r="M31" s="185">
        <v>0</v>
      </c>
      <c r="N31" s="185">
        <v>0</v>
      </c>
      <c r="O31" s="91" cm="1">
        <f t="array" ref="O31">SUM(vfx[[#This Row],[rnd]:[polish]]*vfx_ponderation)</f>
        <v>0</v>
      </c>
      <c r="P31" s="84">
        <f>IF(vfx[[#This Row],[Progress]]="Done", "Done", (1-vfx[[#This Row],[Progress]])*vfx[[#This Row],[Estimated]])</f>
        <v>20</v>
      </c>
      <c r="Q31" s="188"/>
    </row>
    <row r="32" spans="1:21" ht="30" customHeight="1" x14ac:dyDescent="0.25">
      <c r="A32" s="3" t="str">
        <f>metaSHOTS[[#This Row],[Shot]]</f>
        <v>030_130</v>
      </c>
      <c r="B32" s="2" t="e" vm="29">
        <f>metaSHOTS[[#This Row],[Thumbnail]]</f>
        <v>#VALUE!</v>
      </c>
      <c r="C32" s="86" t="b">
        <v>0</v>
      </c>
      <c r="D32" s="186" t="s">
        <v>324</v>
      </c>
      <c r="E32" s="2">
        <f>metaSHOTS[[#This Row],[Start]]</f>
        <v>1</v>
      </c>
      <c r="F32" s="2">
        <f>metaSHOTS[[#This Row],[End]]</f>
        <v>46</v>
      </c>
      <c r="G32" s="2">
        <f>metaSHOTS[[#This Row],[Duration]]</f>
        <v>46</v>
      </c>
      <c r="H32" s="8" t="s">
        <v>311</v>
      </c>
      <c r="I32" s="8" t="s">
        <v>20</v>
      </c>
      <c r="J32"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32" s="2">
        <v>8</v>
      </c>
      <c r="L32" s="185">
        <v>0</v>
      </c>
      <c r="M32" s="185">
        <v>0</v>
      </c>
      <c r="N32" s="185">
        <v>0</v>
      </c>
      <c r="O32" s="91" cm="1">
        <f t="array" ref="O32">SUM(vfx[[#This Row],[rnd]:[polish]]*vfx_ponderation)</f>
        <v>0</v>
      </c>
      <c r="P32" s="84">
        <f>IF(vfx[[#This Row],[Progress]]="Done", "Done", (1-vfx[[#This Row],[Progress]])*vfx[[#This Row],[Estimated]])</f>
        <v>8</v>
      </c>
      <c r="Q32" s="188"/>
    </row>
    <row r="33" spans="1:17" ht="30" customHeight="1" x14ac:dyDescent="0.25">
      <c r="A33" s="3" t="str">
        <f>metaSHOTS[[#This Row],[Shot]]</f>
        <v>030_140</v>
      </c>
      <c r="B33" s="2" t="e" vm="30">
        <f>metaSHOTS[[#This Row],[Thumbnail]]</f>
        <v>#VALUE!</v>
      </c>
      <c r="C33" s="86" t="b">
        <v>0</v>
      </c>
      <c r="D33" s="186" t="s">
        <v>324</v>
      </c>
      <c r="E33" s="2">
        <f>metaSHOTS[[#This Row],[Start]]</f>
        <v>1</v>
      </c>
      <c r="F33" s="2">
        <f>metaSHOTS[[#This Row],[End]]</f>
        <v>29</v>
      </c>
      <c r="G33" s="2">
        <f>metaSHOTS[[#This Row],[Duration]]</f>
        <v>29</v>
      </c>
      <c r="H33" s="8" t="s">
        <v>311</v>
      </c>
      <c r="I33" s="8" t="s">
        <v>20</v>
      </c>
      <c r="J33"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33" s="2">
        <v>8</v>
      </c>
      <c r="L33" s="185">
        <v>0</v>
      </c>
      <c r="M33" s="185">
        <v>0</v>
      </c>
      <c r="N33" s="185">
        <v>0</v>
      </c>
      <c r="O33" s="91" cm="1">
        <f t="array" ref="O33">SUM(vfx[[#This Row],[rnd]:[polish]]*vfx_ponderation)</f>
        <v>0</v>
      </c>
      <c r="P33" s="84">
        <f>IF(vfx[[#This Row],[Progress]]="Done", "Done", (1-vfx[[#This Row],[Progress]])*vfx[[#This Row],[Estimated]])</f>
        <v>8</v>
      </c>
      <c r="Q33" s="188"/>
    </row>
    <row r="34" spans="1:17" ht="30" customHeight="1" x14ac:dyDescent="0.25">
      <c r="A34" s="3" t="str">
        <f>metaSHOTS[[#This Row],[Shot]]</f>
        <v>030_150</v>
      </c>
      <c r="B34" s="2" t="e" vm="31">
        <f>metaSHOTS[[#This Row],[Thumbnail]]</f>
        <v>#VALUE!</v>
      </c>
      <c r="C34" s="86" t="b">
        <v>0</v>
      </c>
      <c r="D34" s="186" t="s">
        <v>324</v>
      </c>
      <c r="E34" s="2">
        <f>metaSHOTS[[#This Row],[Start]]</f>
        <v>1</v>
      </c>
      <c r="F34" s="2">
        <f>metaSHOTS[[#This Row],[End]]</f>
        <v>19</v>
      </c>
      <c r="G34" s="2">
        <f>metaSHOTS[[#This Row],[Duration]]</f>
        <v>19</v>
      </c>
      <c r="H34" s="8" t="s">
        <v>311</v>
      </c>
      <c r="I34" s="8" t="s">
        <v>20</v>
      </c>
      <c r="J34"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34" s="2">
        <v>8</v>
      </c>
      <c r="L34" s="185">
        <v>0</v>
      </c>
      <c r="M34" s="185">
        <v>0</v>
      </c>
      <c r="N34" s="185">
        <v>0</v>
      </c>
      <c r="O34" s="91" cm="1">
        <f t="array" ref="O34">SUM(vfx[[#This Row],[rnd]:[polish]]*vfx_ponderation)</f>
        <v>0</v>
      </c>
      <c r="P34" s="84">
        <f>IF(vfx[[#This Row],[Progress]]="Done", "Done", (1-vfx[[#This Row],[Progress]])*vfx[[#This Row],[Estimated]])</f>
        <v>8</v>
      </c>
      <c r="Q34" s="188"/>
    </row>
    <row r="35" spans="1:17" ht="30" hidden="1" customHeight="1" x14ac:dyDescent="0.25">
      <c r="A35" s="3" t="str">
        <f>metaSHOTS[[#This Row],[Shot]]</f>
        <v>040_010</v>
      </c>
      <c r="B35" s="2" t="e" vm="32">
        <f>metaSHOTS[[#This Row],[Thumbnail]]</f>
        <v>#VALUE!</v>
      </c>
      <c r="C35" s="86" t="b">
        <v>0</v>
      </c>
      <c r="D35" s="186" t="s">
        <v>324</v>
      </c>
      <c r="E35" s="2">
        <f>metaSHOTS[[#This Row],[Start]]</f>
        <v>20</v>
      </c>
      <c r="F35" s="2">
        <f>metaSHOTS[[#This Row],[End]]</f>
        <v>108</v>
      </c>
      <c r="G35" s="2">
        <f>metaSHOTS[[#This Row],[Duration]]</f>
        <v>89</v>
      </c>
      <c r="H35" s="8" t="s">
        <v>312</v>
      </c>
      <c r="I35" s="8" t="s">
        <v>12</v>
      </c>
      <c r="J35"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35" s="2">
        <v>25</v>
      </c>
      <c r="L35" s="185">
        <v>1</v>
      </c>
      <c r="M35" s="185">
        <v>1</v>
      </c>
      <c r="N35" s="185">
        <v>0.9</v>
      </c>
      <c r="O35" s="91" cm="1">
        <f t="array" ref="O35">SUM(vfx[[#This Row],[rnd]:[polish]]*vfx_ponderation)</f>
        <v>0.98000000000000009</v>
      </c>
      <c r="P35" s="84">
        <f>IF(vfx[[#This Row],[Progress]]="Done", "Done", (1-vfx[[#This Row],[Progress]])*vfx[[#This Row],[Estimated]])</f>
        <v>0.49999999999999767</v>
      </c>
      <c r="Q35" s="188"/>
    </row>
    <row r="36" spans="1:17" ht="30" hidden="1" customHeight="1" x14ac:dyDescent="0.25">
      <c r="A36" s="3" t="str">
        <f>metaSHOTS[[#This Row],[Shot]]</f>
        <v>040_020</v>
      </c>
      <c r="B36" s="2" t="e" vm="33">
        <f>metaSHOTS[[#This Row],[Thumbnail]]</f>
        <v>#VALUE!</v>
      </c>
      <c r="C36" s="86" t="b">
        <v>0</v>
      </c>
      <c r="D36" s="186" t="s">
        <v>324</v>
      </c>
      <c r="E36" s="2">
        <f>metaSHOTS[[#This Row],[Start]]</f>
        <v>1</v>
      </c>
      <c r="F36" s="2">
        <f>metaSHOTS[[#This Row],[End]]</f>
        <v>150</v>
      </c>
      <c r="G36" s="2">
        <f>metaSHOTS[[#This Row],[Duration]]</f>
        <v>150</v>
      </c>
      <c r="H36" s="8" t="s">
        <v>312</v>
      </c>
      <c r="I36" s="8" t="s">
        <v>12</v>
      </c>
      <c r="J36"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36" s="2">
        <v>0</v>
      </c>
      <c r="L36" s="185">
        <v>0</v>
      </c>
      <c r="M36" s="185">
        <v>0</v>
      </c>
      <c r="N36" s="185">
        <v>0</v>
      </c>
      <c r="O36" s="91" cm="1">
        <f t="array" ref="O36">SUM(vfx[[#This Row],[rnd]:[polish]]*vfx_ponderation)</f>
        <v>0</v>
      </c>
      <c r="P36" s="84">
        <f>IF(vfx[[#This Row],[Progress]]="Done", "Done", (1-vfx[[#This Row],[Progress]])*vfx[[#This Row],[Estimated]])</f>
        <v>0</v>
      </c>
      <c r="Q36" s="188"/>
    </row>
    <row r="37" spans="1:17" ht="30" customHeight="1" x14ac:dyDescent="0.25">
      <c r="A37" s="3" t="str">
        <f>metaSHOTS[[#This Row],[Shot]]</f>
        <v>040_030</v>
      </c>
      <c r="B37" s="2" t="e" vm="34">
        <f>metaSHOTS[[#This Row],[Thumbnail]]</f>
        <v>#VALUE!</v>
      </c>
      <c r="C37" s="86" t="b">
        <v>0</v>
      </c>
      <c r="D37" s="186" t="s">
        <v>324</v>
      </c>
      <c r="E37" s="2">
        <f>metaSHOTS[[#This Row],[Start]]</f>
        <v>1</v>
      </c>
      <c r="F37" s="2">
        <f>metaSHOTS[[#This Row],[End]]</f>
        <v>115</v>
      </c>
      <c r="G37" s="2">
        <f>metaSHOTS[[#This Row],[Duration]]</f>
        <v>115</v>
      </c>
      <c r="H37" s="8" t="s">
        <v>312</v>
      </c>
      <c r="I37" s="8" t="s">
        <v>20</v>
      </c>
      <c r="J37"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37" s="2">
        <v>0</v>
      </c>
      <c r="L37" s="185">
        <v>0</v>
      </c>
      <c r="M37" s="185">
        <v>0</v>
      </c>
      <c r="N37" s="185">
        <v>0</v>
      </c>
      <c r="O37" s="91" cm="1">
        <f t="array" ref="O37">SUM(vfx[[#This Row],[rnd]:[polish]]*vfx_ponderation)</f>
        <v>0</v>
      </c>
      <c r="P37" s="84">
        <f>IF(vfx[[#This Row],[Progress]]="Done", "Done", (1-vfx[[#This Row],[Progress]])*vfx[[#This Row],[Estimated]])</f>
        <v>0</v>
      </c>
      <c r="Q37" s="188"/>
    </row>
    <row r="38" spans="1:17" ht="30" customHeight="1" x14ac:dyDescent="0.25">
      <c r="A38" s="3" t="str">
        <f>metaSHOTS[[#This Row],[Shot]]</f>
        <v>040_040</v>
      </c>
      <c r="B38" s="2" t="e" vm="35">
        <f>metaSHOTS[[#This Row],[Thumbnail]]</f>
        <v>#VALUE!</v>
      </c>
      <c r="C38" s="86" t="b">
        <v>0</v>
      </c>
      <c r="D38" s="186" t="s">
        <v>324</v>
      </c>
      <c r="E38" s="2">
        <f>metaSHOTS[[#This Row],[Start]]</f>
        <v>1</v>
      </c>
      <c r="F38" s="2">
        <f>metaSHOTS[[#This Row],[End]]</f>
        <v>81</v>
      </c>
      <c r="G38" s="2">
        <f>metaSHOTS[[#This Row],[Duration]]</f>
        <v>81</v>
      </c>
      <c r="H38" s="8" t="s">
        <v>312</v>
      </c>
      <c r="I38" s="8" t="s">
        <v>20</v>
      </c>
      <c r="J38"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38" s="2">
        <v>6</v>
      </c>
      <c r="L38" s="185">
        <v>0</v>
      </c>
      <c r="M38" s="185">
        <v>0</v>
      </c>
      <c r="N38" s="185">
        <v>0</v>
      </c>
      <c r="O38" s="91" cm="1">
        <f t="array" ref="O38">SUM(vfx[[#This Row],[rnd]:[polish]]*vfx_ponderation)</f>
        <v>0</v>
      </c>
      <c r="P38" s="84">
        <f>IF(vfx[[#This Row],[Progress]]="Done", "Done", (1-vfx[[#This Row],[Progress]])*vfx[[#This Row],[Estimated]])</f>
        <v>6</v>
      </c>
      <c r="Q38" s="188"/>
    </row>
    <row r="39" spans="1:17" ht="30" hidden="1" customHeight="1" x14ac:dyDescent="0.25">
      <c r="A39" s="3" t="str">
        <f>metaSHOTS[[#This Row],[Shot]]</f>
        <v>040_050</v>
      </c>
      <c r="B39" s="2" t="e" vm="36">
        <f>metaSHOTS[[#This Row],[Thumbnail]]</f>
        <v>#VALUE!</v>
      </c>
      <c r="C39" s="86" t="b">
        <v>0</v>
      </c>
      <c r="D39" s="186" t="s">
        <v>324</v>
      </c>
      <c r="E39" s="2">
        <f>metaSHOTS[[#This Row],[Start]]</f>
        <v>1</v>
      </c>
      <c r="F39" s="2">
        <f>metaSHOTS[[#This Row],[End]]</f>
        <v>79</v>
      </c>
      <c r="G39" s="2">
        <f>metaSHOTS[[#This Row],[Duration]]</f>
        <v>79</v>
      </c>
      <c r="H39" s="8" t="s">
        <v>312</v>
      </c>
      <c r="I39" s="8" t="s">
        <v>18</v>
      </c>
      <c r="J39"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39" s="2">
        <v>0</v>
      </c>
      <c r="L39" s="185">
        <v>0</v>
      </c>
      <c r="M39" s="185">
        <v>0</v>
      </c>
      <c r="N39" s="185">
        <v>0</v>
      </c>
      <c r="O39" s="91" cm="1">
        <f t="array" ref="O39">SUM(vfx[[#This Row],[rnd]:[polish]]*vfx_ponderation)</f>
        <v>0</v>
      </c>
      <c r="P39" s="84">
        <f>IF(vfx[[#This Row],[Progress]]="Done", "Done", (1-vfx[[#This Row],[Progress]])*vfx[[#This Row],[Estimated]])</f>
        <v>0</v>
      </c>
      <c r="Q39" s="188"/>
    </row>
    <row r="40" spans="1:17" ht="30" hidden="1" customHeight="1" x14ac:dyDescent="0.25">
      <c r="A40" s="3" t="str">
        <f>metaSHOTS[[#This Row],[Shot]]</f>
        <v>040_070</v>
      </c>
      <c r="B40" s="2" t="e" vm="37">
        <f>metaSHOTS[[#This Row],[Thumbnail]]</f>
        <v>#VALUE!</v>
      </c>
      <c r="C40" s="86" t="b">
        <v>0</v>
      </c>
      <c r="D40" s="186" t="s">
        <v>324</v>
      </c>
      <c r="E40" s="2">
        <f>metaSHOTS[[#This Row],[Start]]</f>
        <v>1</v>
      </c>
      <c r="F40" s="2">
        <f>metaSHOTS[[#This Row],[End]]</f>
        <v>39</v>
      </c>
      <c r="G40" s="2">
        <f>metaSHOTS[[#This Row],[Duration]]</f>
        <v>39</v>
      </c>
      <c r="H40" s="8" t="s">
        <v>312</v>
      </c>
      <c r="I40" s="8" t="s">
        <v>16</v>
      </c>
      <c r="J40"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40" s="2">
        <v>5</v>
      </c>
      <c r="L40" s="185">
        <v>0</v>
      </c>
      <c r="M40" s="185">
        <v>0</v>
      </c>
      <c r="N40" s="185">
        <v>0</v>
      </c>
      <c r="O40" s="91" cm="1">
        <f t="array" ref="O40">SUM(vfx[[#This Row],[rnd]:[polish]]*vfx_ponderation)</f>
        <v>0</v>
      </c>
      <c r="P40" s="84">
        <f>IF(vfx[[#This Row],[Progress]]="Done", "Done", (1-vfx[[#This Row],[Progress]])*vfx[[#This Row],[Estimated]])</f>
        <v>5</v>
      </c>
      <c r="Q40" s="188"/>
    </row>
    <row r="41" spans="1:17" ht="30" hidden="1" customHeight="1" x14ac:dyDescent="0.25">
      <c r="A41" s="3" t="str">
        <f>metaSHOTS[[#This Row],[Shot]]</f>
        <v>040_090</v>
      </c>
      <c r="B41" s="2" t="e" vm="38">
        <f>metaSHOTS[[#This Row],[Thumbnail]]</f>
        <v>#VALUE!</v>
      </c>
      <c r="C41" s="86" t="b">
        <v>0</v>
      </c>
      <c r="D41" s="186" t="s">
        <v>324</v>
      </c>
      <c r="E41" s="2">
        <f>metaSHOTS[[#This Row],[Start]]</f>
        <v>1</v>
      </c>
      <c r="F41" s="2">
        <f>metaSHOTS[[#This Row],[End]]</f>
        <v>63</v>
      </c>
      <c r="G41" s="2">
        <f>metaSHOTS[[#This Row],[Duration]]</f>
        <v>63</v>
      </c>
      <c r="H41" s="8" t="s">
        <v>312</v>
      </c>
      <c r="I41" s="8" t="s">
        <v>16</v>
      </c>
      <c r="J41"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41" s="2">
        <v>0</v>
      </c>
      <c r="L41" s="185">
        <v>0</v>
      </c>
      <c r="M41" s="185">
        <v>0</v>
      </c>
      <c r="N41" s="185">
        <v>0</v>
      </c>
      <c r="O41" s="91" cm="1">
        <f t="array" ref="O41">SUM(vfx[[#This Row],[rnd]:[polish]]*vfx_ponderation)</f>
        <v>0</v>
      </c>
      <c r="P41" s="84">
        <f>IF(vfx[[#This Row],[Progress]]="Done", "Done", (1-vfx[[#This Row],[Progress]])*vfx[[#This Row],[Estimated]])</f>
        <v>0</v>
      </c>
      <c r="Q41" s="188"/>
    </row>
    <row r="42" spans="1:17" ht="30" hidden="1" customHeight="1" x14ac:dyDescent="0.25">
      <c r="A42" s="3" t="str">
        <f>metaSHOTS[[#This Row],[Shot]]</f>
        <v>040_100</v>
      </c>
      <c r="B42" s="2" t="e" vm="39">
        <f>metaSHOTS[[#This Row],[Thumbnail]]</f>
        <v>#VALUE!</v>
      </c>
      <c r="C42" s="86" t="b">
        <v>0</v>
      </c>
      <c r="D42" s="186" t="s">
        <v>324</v>
      </c>
      <c r="E42" s="2">
        <f>metaSHOTS[[#This Row],[Start]]</f>
        <v>1</v>
      </c>
      <c r="F42" s="2">
        <f>metaSHOTS[[#This Row],[End]]</f>
        <v>55</v>
      </c>
      <c r="G42" s="2">
        <f>metaSHOTS[[#This Row],[Duration]]</f>
        <v>55</v>
      </c>
      <c r="H42" s="8" t="s">
        <v>312</v>
      </c>
      <c r="I42" s="8" t="s">
        <v>16</v>
      </c>
      <c r="J42"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42" s="2">
        <v>0</v>
      </c>
      <c r="L42" s="185">
        <v>0</v>
      </c>
      <c r="M42" s="185">
        <v>0</v>
      </c>
      <c r="N42" s="185">
        <v>0</v>
      </c>
      <c r="O42" s="91" cm="1">
        <f t="array" ref="O42">SUM(vfx[[#This Row],[rnd]:[polish]]*vfx_ponderation)</f>
        <v>0</v>
      </c>
      <c r="P42" s="84">
        <f>IF(vfx[[#This Row],[Progress]]="Done", "Done", (1-vfx[[#This Row],[Progress]])*vfx[[#This Row],[Estimated]])</f>
        <v>0</v>
      </c>
      <c r="Q42" s="188"/>
    </row>
    <row r="43" spans="1:17" ht="30" hidden="1" customHeight="1" x14ac:dyDescent="0.25">
      <c r="A43" s="3" t="str">
        <f>metaSHOTS[[#This Row],[Shot]]</f>
        <v>040_110</v>
      </c>
      <c r="B43" s="2" t="e" vm="40">
        <f>metaSHOTS[[#This Row],[Thumbnail]]</f>
        <v>#VALUE!</v>
      </c>
      <c r="C43" s="86" t="b">
        <v>0</v>
      </c>
      <c r="D43" s="186" t="s">
        <v>324</v>
      </c>
      <c r="E43" s="2">
        <f>metaSHOTS[[#This Row],[Start]]</f>
        <v>1</v>
      </c>
      <c r="F43" s="2">
        <f>metaSHOTS[[#This Row],[End]]</f>
        <v>76</v>
      </c>
      <c r="G43" s="2">
        <f>metaSHOTS[[#This Row],[Duration]]</f>
        <v>76</v>
      </c>
      <c r="H43" s="8" t="s">
        <v>312</v>
      </c>
      <c r="I43" s="8" t="s">
        <v>12</v>
      </c>
      <c r="J43"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43" s="2">
        <v>0</v>
      </c>
      <c r="L43" s="185">
        <v>0</v>
      </c>
      <c r="M43" s="185">
        <v>0</v>
      </c>
      <c r="N43" s="185">
        <v>0</v>
      </c>
      <c r="O43" s="91" cm="1">
        <f t="array" ref="O43">SUM(vfx[[#This Row],[rnd]:[polish]]*vfx_ponderation)</f>
        <v>0</v>
      </c>
      <c r="P43" s="84">
        <f>IF(vfx[[#This Row],[Progress]]="Done", "Done", (1-vfx[[#This Row],[Progress]])*vfx[[#This Row],[Estimated]])</f>
        <v>0</v>
      </c>
      <c r="Q43" s="188"/>
    </row>
    <row r="44" spans="1:17" ht="30" hidden="1" customHeight="1" x14ac:dyDescent="0.25">
      <c r="A44" s="3" t="str">
        <f>metaSHOTS[[#This Row],[Shot]]</f>
        <v>040_120</v>
      </c>
      <c r="B44" s="2" t="e" vm="41">
        <f>metaSHOTS[[#This Row],[Thumbnail]]</f>
        <v>#VALUE!</v>
      </c>
      <c r="C44" s="86" t="b">
        <v>0</v>
      </c>
      <c r="D44" s="186" t="s">
        <v>324</v>
      </c>
      <c r="E44" s="2">
        <f>metaSHOTS[[#This Row],[Start]]</f>
        <v>1</v>
      </c>
      <c r="F44" s="2">
        <f>metaSHOTS[[#This Row],[End]]</f>
        <v>90</v>
      </c>
      <c r="G44" s="2">
        <f>metaSHOTS[[#This Row],[Duration]]</f>
        <v>90</v>
      </c>
      <c r="H44" s="8" t="s">
        <v>312</v>
      </c>
      <c r="I44" s="8" t="s">
        <v>16</v>
      </c>
      <c r="J44"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Ready</v>
      </c>
      <c r="K44" s="2">
        <v>0</v>
      </c>
      <c r="L44" s="185">
        <v>0</v>
      </c>
      <c r="M44" s="185">
        <v>0</v>
      </c>
      <c r="N44" s="185">
        <v>0</v>
      </c>
      <c r="O44" s="91" cm="1">
        <f t="array" ref="O44">SUM(vfx[[#This Row],[rnd]:[polish]]*vfx_ponderation)</f>
        <v>0</v>
      </c>
      <c r="P44" s="84">
        <f>IF(vfx[[#This Row],[Progress]]="Done", "Done", (1-vfx[[#This Row],[Progress]])*vfx[[#This Row],[Estimated]])</f>
        <v>0</v>
      </c>
      <c r="Q44" s="188"/>
    </row>
    <row r="45" spans="1:17" ht="30" hidden="1" customHeight="1" x14ac:dyDescent="0.25">
      <c r="A45" s="3" t="str">
        <f>metaSHOTS[[#This Row],[Shot]]</f>
        <v>050_005</v>
      </c>
      <c r="B45" s="2" t="e" vm="42">
        <f>metaSHOTS[[#This Row],[Thumbnail]]</f>
        <v>#VALUE!</v>
      </c>
      <c r="C45" s="86" t="b">
        <v>0</v>
      </c>
      <c r="D45" s="186" t="s">
        <v>324</v>
      </c>
      <c r="E45" s="2">
        <f>metaSHOTS[[#This Row],[Start]]</f>
        <v>1</v>
      </c>
      <c r="F45" s="2">
        <f>metaSHOTS[[#This Row],[End]]</f>
        <v>137</v>
      </c>
      <c r="G45" s="2">
        <f>metaSHOTS[[#This Row],[Duration]]</f>
        <v>137</v>
      </c>
      <c r="H45" s="8" t="s">
        <v>312</v>
      </c>
      <c r="I45" s="8" t="s">
        <v>16</v>
      </c>
      <c r="J45"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45" s="2">
        <v>0</v>
      </c>
      <c r="L45" s="185">
        <v>0</v>
      </c>
      <c r="M45" s="185">
        <v>0</v>
      </c>
      <c r="N45" s="185">
        <v>0</v>
      </c>
      <c r="O45" s="91" cm="1">
        <f t="array" ref="O45">SUM(vfx[[#This Row],[rnd]:[polish]]*vfx_ponderation)</f>
        <v>0</v>
      </c>
      <c r="P45" s="84">
        <f>IF(vfx[[#This Row],[Progress]]="Done", "Done", (1-vfx[[#This Row],[Progress]])*vfx[[#This Row],[Estimated]])</f>
        <v>0</v>
      </c>
      <c r="Q45" s="188"/>
    </row>
    <row r="46" spans="1:17" ht="30" hidden="1" customHeight="1" x14ac:dyDescent="0.25">
      <c r="A46" s="3" t="str">
        <f>metaSHOTS[[#This Row],[Shot]]</f>
        <v>050_020</v>
      </c>
      <c r="B46" s="2" t="e" vm="43">
        <f>metaSHOTS[[#This Row],[Thumbnail]]</f>
        <v>#VALUE!</v>
      </c>
      <c r="C46" s="86" t="b">
        <v>0</v>
      </c>
      <c r="D46" s="186" t="s">
        <v>324</v>
      </c>
      <c r="E46" s="2">
        <f>metaSHOTS[[#This Row],[Start]]</f>
        <v>1</v>
      </c>
      <c r="F46" s="2">
        <f>metaSHOTS[[#This Row],[End]]</f>
        <v>510</v>
      </c>
      <c r="G46" s="2">
        <f>metaSHOTS[[#This Row],[Duration]]</f>
        <v>510</v>
      </c>
      <c r="H46" s="8" t="s">
        <v>312</v>
      </c>
      <c r="I46" s="8" t="s">
        <v>12</v>
      </c>
      <c r="J46"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In Progress</v>
      </c>
      <c r="K46" s="2">
        <v>15</v>
      </c>
      <c r="L46" s="185">
        <v>1</v>
      </c>
      <c r="M46" s="185">
        <v>1</v>
      </c>
      <c r="N46" s="185">
        <v>0.8</v>
      </c>
      <c r="O46" s="91" cm="1">
        <f t="array" ref="O46">SUM(vfx[[#This Row],[rnd]:[polish]]*vfx_ponderation)</f>
        <v>0.96000000000000008</v>
      </c>
      <c r="P46" s="84">
        <f>IF(vfx[[#This Row],[Progress]]="Done", "Done", (1-vfx[[#This Row],[Progress]])*vfx[[#This Row],[Estimated]])</f>
        <v>0.59999999999999887</v>
      </c>
      <c r="Q46" s="188"/>
    </row>
    <row r="47" spans="1:17" ht="30" hidden="1" customHeight="1" x14ac:dyDescent="0.25">
      <c r="A47" s="3" t="str">
        <f>metaSHOTS[[#This Row],[Shot]]</f>
        <v>060_010</v>
      </c>
      <c r="B47" s="2" t="e" vm="44">
        <f>metaSHOTS[[#This Row],[Thumbnail]]</f>
        <v>#VALUE!</v>
      </c>
      <c r="C47" s="86" t="b">
        <v>0</v>
      </c>
      <c r="D47" s="186" t="s">
        <v>324</v>
      </c>
      <c r="E47" s="2">
        <f>metaSHOTS[[#This Row],[Start]]</f>
        <v>1</v>
      </c>
      <c r="F47" s="2">
        <f>metaSHOTS[[#This Row],[End]]</f>
        <v>241</v>
      </c>
      <c r="G47" s="2">
        <f>metaSHOTS[[#This Row],[Duration]]</f>
        <v>241</v>
      </c>
      <c r="H47" s="8" t="s">
        <v>312</v>
      </c>
      <c r="I47" s="8" t="s">
        <v>12</v>
      </c>
      <c r="J47"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47" s="2">
        <v>0</v>
      </c>
      <c r="L47" s="185">
        <v>0</v>
      </c>
      <c r="M47" s="185">
        <v>0</v>
      </c>
      <c r="N47" s="185">
        <v>0</v>
      </c>
      <c r="O47" s="91" cm="1">
        <f t="array" ref="O47">SUM(vfx[[#This Row],[rnd]:[polish]]*vfx_ponderation)</f>
        <v>0</v>
      </c>
      <c r="P47" s="84">
        <f>IF(vfx[[#This Row],[Progress]]="Done", "Done", (1-vfx[[#This Row],[Progress]])*vfx[[#This Row],[Estimated]])</f>
        <v>0</v>
      </c>
      <c r="Q47" s="188"/>
    </row>
    <row r="48" spans="1:17" ht="30" customHeight="1" x14ac:dyDescent="0.25">
      <c r="A48" s="3" t="str">
        <f>metaSHOTS[[#This Row],[Shot]]</f>
        <v>060_030</v>
      </c>
      <c r="B48" s="2" t="e" vm="45">
        <f>metaSHOTS[[#This Row],[Thumbnail]]</f>
        <v>#VALUE!</v>
      </c>
      <c r="C48" s="86" t="b">
        <v>0</v>
      </c>
      <c r="D48" s="186" t="s">
        <v>324</v>
      </c>
      <c r="E48" s="2">
        <f>metaSHOTS[[#This Row],[Start]]</f>
        <v>1</v>
      </c>
      <c r="F48" s="2">
        <f>metaSHOTS[[#This Row],[End]]</f>
        <v>511</v>
      </c>
      <c r="G48" s="2">
        <f>metaSHOTS[[#This Row],[Duration]]</f>
        <v>511</v>
      </c>
      <c r="H48" s="8" t="s">
        <v>312</v>
      </c>
      <c r="I48" s="8" t="s">
        <v>20</v>
      </c>
      <c r="J48" s="2" t="str">
        <f ca="1">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48" s="2">
        <v>0</v>
      </c>
      <c r="L48" s="185">
        <v>0</v>
      </c>
      <c r="M48" s="185">
        <v>0</v>
      </c>
      <c r="N48" s="185">
        <v>0</v>
      </c>
      <c r="O48" s="91" cm="1">
        <f t="array" ref="O48">SUM(vfx[[#This Row],[rnd]:[polish]]*vfx_ponderation)</f>
        <v>0</v>
      </c>
      <c r="P48" s="84">
        <f>IF(vfx[[#This Row],[Progress]]="Done", "Done", (1-vfx[[#This Row],[Progress]])*vfx[[#This Row],[Estimated]])</f>
        <v>0</v>
      </c>
      <c r="Q48" s="188"/>
    </row>
    <row r="49" spans="1:17" ht="30" customHeight="1" x14ac:dyDescent="0.25">
      <c r="A49" s="3" t="str">
        <f>metaSHOTS[[#This Row],[Shot]]</f>
        <v>040_045</v>
      </c>
      <c r="B49" s="2" t="e" vm="46">
        <f>metaSHOTS[[#This Row],[Thumbnail]]</f>
        <v>#VALUE!</v>
      </c>
      <c r="C49" s="86" t="b">
        <v>0</v>
      </c>
      <c r="D49" s="186" t="s">
        <v>324</v>
      </c>
      <c r="E49" s="2">
        <f>metaSHOTS[[#This Row],[Start]]</f>
        <v>1</v>
      </c>
      <c r="F49" s="2">
        <f>metaSHOTS[[#This Row],[End]]</f>
        <v>55</v>
      </c>
      <c r="G49" s="2">
        <f>metaSHOTS[[#This Row],[Duration]]</f>
        <v>55</v>
      </c>
      <c r="H49" s="8" t="s">
        <v>312</v>
      </c>
      <c r="I49" s="8" t="s">
        <v>20</v>
      </c>
      <c r="J49"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49" s="2">
        <v>0</v>
      </c>
      <c r="L49" s="185">
        <v>0</v>
      </c>
      <c r="M49" s="185">
        <v>0</v>
      </c>
      <c r="N49" s="185">
        <v>0</v>
      </c>
      <c r="O49" s="91" cm="1">
        <f t="array" ref="O49">SUM(vfx[[#This Row],[rnd]:[polish]]*vfx_ponderation)</f>
        <v>0</v>
      </c>
      <c r="P49" s="84">
        <f>IF(vfx[[#This Row],[Progress]]="Done", "Done", (1-vfx[[#This Row],[Progress]])*vfx[[#This Row],[Estimated]])</f>
        <v>0</v>
      </c>
      <c r="Q49" s="188"/>
    </row>
    <row r="50" spans="1:17" ht="30" customHeight="1" x14ac:dyDescent="0.25">
      <c r="A50" s="3" t="str">
        <f>metaSHOTS[[#This Row],[Shot]]</f>
        <v>040_135</v>
      </c>
      <c r="B50" s="2" t="e" vm="47">
        <f>metaSHOTS[[#This Row],[Thumbnail]]</f>
        <v>#VALUE!</v>
      </c>
      <c r="C50" s="86" t="b">
        <v>0</v>
      </c>
      <c r="D50" s="186" t="s">
        <v>324</v>
      </c>
      <c r="E50" s="2">
        <f>metaSHOTS[[#This Row],[Start]]</f>
        <v>1</v>
      </c>
      <c r="F50" s="2">
        <f>metaSHOTS[[#This Row],[End]]</f>
        <v>126</v>
      </c>
      <c r="G50" s="2">
        <f>metaSHOTS[[#This Row],[Duration]]</f>
        <v>126</v>
      </c>
      <c r="H50" s="8" t="s">
        <v>312</v>
      </c>
      <c r="I50" s="8" t="s">
        <v>20</v>
      </c>
      <c r="J50"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50" s="2">
        <v>0</v>
      </c>
      <c r="L50" s="185">
        <v>0</v>
      </c>
      <c r="M50" s="185">
        <v>0</v>
      </c>
      <c r="N50" s="185">
        <v>0</v>
      </c>
      <c r="O50" s="91" cm="1">
        <f t="array" ref="O50">SUM(vfx[[#This Row],[rnd]:[polish]]*vfx_ponderation)</f>
        <v>0</v>
      </c>
      <c r="P50" s="84">
        <f>IF(vfx[[#This Row],[Progress]]="Done", "Done", (1-vfx[[#This Row],[Progress]])*vfx[[#This Row],[Estimated]])</f>
        <v>0</v>
      </c>
      <c r="Q50" s="188"/>
    </row>
    <row r="51" spans="1:17" ht="30" hidden="1" customHeight="1" x14ac:dyDescent="0.25">
      <c r="A51" s="3" t="str">
        <f>metaSHOTS[[#This Row],[Shot]]</f>
        <v>050_010</v>
      </c>
      <c r="B51" s="2" t="e" vm="48">
        <f>metaSHOTS[[#This Row],[Thumbnail]]</f>
        <v>#VALUE!</v>
      </c>
      <c r="C51" s="86" t="b">
        <v>0</v>
      </c>
      <c r="D51" s="186" t="s">
        <v>324</v>
      </c>
      <c r="E51" s="2">
        <f>metaSHOTS[[#This Row],[Start]]</f>
        <v>1</v>
      </c>
      <c r="F51" s="2">
        <f>metaSHOTS[[#This Row],[End]]</f>
        <v>71</v>
      </c>
      <c r="G51" s="2">
        <f>metaSHOTS[[#This Row],[Duration]]</f>
        <v>71</v>
      </c>
      <c r="H51" s="8" t="s">
        <v>312</v>
      </c>
      <c r="I51" s="8" t="s">
        <v>16</v>
      </c>
      <c r="J51" s="2" t="str">
        <f>IF(
    NOT(ISBLANK(vfx[[#This Row],[Commentaires]])), "Needs Fix",
    IF(vfx[[#This Row],[Review]]&lt;&gt;"inactive", vfx[[#This Row],[Review]],
        IF(vfx[[#This Row],[Progress]]=100%, "Pending Review",
            IF(
                AND(0%&lt;vfx[[#This Row],[Progress]], vfx[[#This Row],[Progress]]&lt;100%), "In Progress",
                IF(
                    AND(
                        layout[[#This Row],[Status]]="Approved", anim[[#This Row],[spline]]=100%
                    ), "Ready",
                    IF(
                        AND(
                            AND(layout[[#This Row],[Progress]]&gt;=upcomingThreshold, layout[[#This Row],[Progress]]&lt;=100%), AND(anim[[#This Row],[spline]]&gt;=upcomingThreshold, anim[[#This Row],[spline]]&lt;=100%)
                        ), "Upcoming",
                        IF(
                            OR(layout[[#This Row],[Progress]]&lt;upcomingThreshold, anim[[#This Row],[spline]]&lt;upcomingThreshold), "Waiting"
                        )
                    )
                )
            )
        )
    )
)</f>
        <v>Upcoming</v>
      </c>
      <c r="K51" s="2">
        <v>0</v>
      </c>
      <c r="L51" s="185">
        <v>0</v>
      </c>
      <c r="M51" s="185">
        <v>0</v>
      </c>
      <c r="N51" s="185">
        <v>0</v>
      </c>
      <c r="O51" s="91" cm="1">
        <f t="array" ref="O51">SUM(vfx[[#This Row],[rnd]:[polish]]*vfx_ponderation)</f>
        <v>0</v>
      </c>
      <c r="P51" s="84">
        <f>IF(vfx[[#This Row],[Progress]]="Done", "Done", (1-vfx[[#This Row],[Progress]])*vfx[[#This Row],[Estimated]])</f>
        <v>0</v>
      </c>
      <c r="Q51" s="188"/>
    </row>
    <row r="52" spans="1:17" ht="30" customHeight="1" x14ac:dyDescent="0.25">
      <c r="A52" s="2" t="s">
        <v>22</v>
      </c>
      <c r="K52" s="2">
        <f>SUBTOTAL(109,vfx[Estimated])</f>
        <v>260</v>
      </c>
      <c r="L52" s="16">
        <f>SUBTOTAL(101,vfx[rnd])</f>
        <v>0.26896551724137929</v>
      </c>
      <c r="M52" s="16">
        <f>SUBTOTAL(101,vfx[blocking])</f>
        <v>0.21379310344827587</v>
      </c>
      <c r="N52" s="16">
        <f>SUBTOTAL(101,vfx[polish])</f>
        <v>0.1793103448275862</v>
      </c>
      <c r="O52" s="16">
        <f>SUBTOTAL(101,vfx[Progress])</f>
        <v>0.23448275862068965</v>
      </c>
      <c r="P52" s="84">
        <f>SUBTOTAL(109,vfx[Hours to do])</f>
        <v>177.89999999999998</v>
      </c>
      <c r="Q52" s="8"/>
    </row>
  </sheetData>
  <sheetProtection selectLockedCells="1" autoFilter="0"/>
  <mergeCells count="1">
    <mergeCell ref="A1:I2"/>
  </mergeCells>
  <conditionalFormatting sqref="J4:J51">
    <cfRule type="containsText" dxfId="43" priority="1" operator="containsText" text="Needs Fix">
      <formula>NOT(ISERROR(SEARCH("Needs Fix",J4)))</formula>
    </cfRule>
    <cfRule type="containsText" dxfId="42" priority="2" operator="containsText" text="Approved">
      <formula>NOT(ISERROR(SEARCH("Approved",J4)))</formula>
    </cfRule>
    <cfRule type="containsText" dxfId="41" priority="3" operator="containsText" text="Pending Review">
      <formula>NOT(ISERROR(SEARCH("Pending Review",J4)))</formula>
    </cfRule>
    <cfRule type="containsText" dxfId="40" priority="4" operator="containsText" text="In Progress">
      <formula>NOT(ISERROR(SEARCH("In Progress",J4)))</formula>
    </cfRule>
    <cfRule type="containsText" dxfId="39" priority="5" operator="containsText" text="Ready">
      <formula>NOT(ISERROR(SEARCH("Ready",J4)))</formula>
    </cfRule>
    <cfRule type="containsText" dxfId="38" priority="6" operator="containsText" text="Upcoming">
      <formula>NOT(ISERROR(SEARCH("Upcoming",J4)))</formula>
    </cfRule>
    <cfRule type="containsText" dxfId="37" priority="7" operator="containsText" text="Waiting">
      <formula>NOT(ISERROR(SEARCH("Waiting",J4)))</formula>
    </cfRule>
  </conditionalFormatting>
  <conditionalFormatting sqref="L4:O51">
    <cfRule type="colorScale" priority="8">
      <colorScale>
        <cfvo type="num" val="0"/>
        <cfvo type="num" val="0.5"/>
        <cfvo type="num" val="1"/>
        <color rgb="FFFF0000"/>
        <color rgb="FFFFFF00"/>
        <color theme="9" tint="-0.249977111117893"/>
      </colorScale>
    </cfRule>
  </conditionalFormatting>
  <conditionalFormatting sqref="P4:Q51">
    <cfRule type="dataBar" priority="837">
      <dataBar>
        <cfvo type="min"/>
        <cfvo type="max"/>
        <color rgb="FF008AEF"/>
      </dataBar>
      <extLst>
        <ext xmlns:x14="http://schemas.microsoft.com/office/spreadsheetml/2009/9/main" uri="{B025F937-C7B1-47D3-B67F-A62EFF666E3E}">
          <x14:id>{C1FA2647-08DE-4B3C-A880-F1578FA69E45}</x14:id>
        </ext>
      </extLst>
    </cfRule>
  </conditionalFormatting>
  <pageMargins left="0.7" right="0.7" top="0.75" bottom="0.75" header="0.3" footer="0.3"/>
  <ignoredErrors>
    <ignoredError sqref="L9:N9 L14:N14 L29:N29 N28 L32:N33 N30:N31 L26:N26 L4:N4 L19:N22 L23:N23 L27:N27 L11:N11 N24" calculatedColumn="1"/>
  </ignoredErrors>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1FA2647-08DE-4B3C-A880-F1578FA69E45}">
            <x14:dataBar minLength="0" maxLength="100" border="1" negativeBarBorderColorSameAsPositive="0">
              <x14:cfvo type="autoMin"/>
              <x14:cfvo type="autoMax"/>
              <x14:borderColor rgb="FF008AEF"/>
              <x14:negativeFillColor rgb="FFFF0000"/>
              <x14:negativeBorderColor rgb="FFFF0000"/>
              <x14:axisColor rgb="FF000000"/>
            </x14:dataBar>
          </x14:cfRule>
          <xm:sqref>P4:Q51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44E8E80-1733-4DD5-BC64-A68272744FF0}">
          <x14:formula1>
            <xm:f>_data_!$T$8:$T$10</xm:f>
          </x14:formula1>
          <xm:sqref>D4:D51</xm:sqref>
        </x14:dataValidation>
        <x14:dataValidation type="list" allowBlank="1" showInputMessage="1" showErrorMessage="1" xr:uid="{D9BB0964-C3D6-42E3-AC8C-6D15A4767FDD}">
          <x14:formula1>
            <xm:f>_data_!$R$15:$R$16</xm:f>
          </x14:formula1>
          <xm:sqref>C4:C51</xm:sqref>
        </x14:dataValidation>
        <x14:dataValidation type="list" allowBlank="1" showInputMessage="1" showErrorMessage="1" xr:uid="{A0445A0D-5D22-45EB-B116-4E9CE3A4F7CB}">
          <x14:formula1>
            <xm:f>_data_!$M$18:$M$22</xm:f>
          </x14:formula1>
          <xm:sqref>H4:H51</xm:sqref>
        </x14:dataValidation>
        <x14:dataValidation type="list" allowBlank="1" showInputMessage="1" showErrorMessage="1" xr:uid="{E16B483A-CF87-47F2-9D00-5746F7A9D903}">
          <x14:formula1>
            <xm:f>_data_!$X$28:$X$32</xm:f>
          </x14:formula1>
          <xm:sqref>I4:I51</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A5DD5-5CAC-43EA-BAB6-CB028FB5C70D}">
  <sheetPr codeName="Feuil23"/>
  <dimension ref="A1:L50"/>
  <sheetViews>
    <sheetView showGridLines="0" showRowColHeaders="0" zoomScaleNormal="100" workbookViewId="0">
      <pane ySplit="3" topLeftCell="A28" activePane="bottomLeft" state="frozen"/>
      <selection activeCell="L41" sqref="L41"/>
      <selection pane="bottomLeft" activeCell="J35" sqref="J35"/>
    </sheetView>
  </sheetViews>
  <sheetFormatPr baseColWidth="10" defaultColWidth="11.42578125" defaultRowHeight="33.75" customHeight="1" x14ac:dyDescent="0.25"/>
  <cols>
    <col min="1" max="1" width="11.42578125" style="2"/>
    <col min="2" max="2" width="11.28515625" style="2" customWidth="1"/>
    <col min="3" max="4" width="11.42578125" style="2"/>
    <col min="5" max="8" width="16.140625" style="2" customWidth="1"/>
    <col min="9" max="9" width="15.5703125" style="2" customWidth="1"/>
    <col min="10" max="10" width="15.140625" style="2" customWidth="1"/>
    <col min="11" max="11" width="11.42578125" style="2"/>
    <col min="12" max="12" width="14" style="2" customWidth="1"/>
    <col min="13" max="16384" width="11.42578125" style="2"/>
  </cols>
  <sheetData>
    <row r="1" spans="1:12" ht="33.75" customHeight="1" x14ac:dyDescent="0.25">
      <c r="A1" s="294" t="s">
        <v>362</v>
      </c>
      <c r="B1" s="294"/>
      <c r="C1" s="294"/>
      <c r="D1" s="294"/>
      <c r="E1" s="294"/>
      <c r="F1" s="294"/>
      <c r="G1" s="294"/>
      <c r="H1" s="294"/>
      <c r="I1" s="294"/>
      <c r="J1" s="294"/>
    </row>
    <row r="2" spans="1:12" ht="33.75" customHeight="1" x14ac:dyDescent="0.25">
      <c r="A2" s="294"/>
      <c r="B2" s="294"/>
      <c r="C2" s="294"/>
      <c r="D2" s="294"/>
      <c r="E2" s="294"/>
      <c r="F2" s="294"/>
      <c r="G2" s="294"/>
      <c r="H2" s="294"/>
      <c r="I2" s="294"/>
      <c r="J2" s="294"/>
    </row>
    <row r="3" spans="1:12" s="3" customFormat="1" ht="33.75" customHeight="1" x14ac:dyDescent="0.25">
      <c r="A3" s="3" t="s">
        <v>343</v>
      </c>
      <c r="B3" s="2" t="s">
        <v>300</v>
      </c>
      <c r="C3" s="2" t="s">
        <v>363</v>
      </c>
      <c r="D3" s="2" t="s">
        <v>364</v>
      </c>
      <c r="E3" s="2" t="s">
        <v>365</v>
      </c>
      <c r="F3" s="3" t="s">
        <v>366</v>
      </c>
      <c r="G3" s="3" t="s">
        <v>367</v>
      </c>
      <c r="H3" s="3" t="s">
        <v>368</v>
      </c>
      <c r="I3" s="3" t="s">
        <v>369</v>
      </c>
      <c r="J3" s="3" t="s">
        <v>370</v>
      </c>
      <c r="K3" s="3" t="s">
        <v>371</v>
      </c>
      <c r="L3" s="3" t="s">
        <v>681</v>
      </c>
    </row>
    <row r="4" spans="1:12" ht="33.75" customHeight="1" x14ac:dyDescent="0.25">
      <c r="A4" s="3" t="str">
        <f>metaSHOTS[[#This Row],[Shot]]</f>
        <v>000_010</v>
      </c>
      <c r="B4" s="2" t="e" vm="1">
        <f>metaSHOTS[[#This Row],[Thumbnail]]</f>
        <v>#VALUE!</v>
      </c>
      <c r="C4" s="2">
        <f>metaSHOTS[[#This Row],[Start]]</f>
        <v>1</v>
      </c>
      <c r="D4" s="2">
        <f>metaSHOTS[[#This Row],[End]]</f>
        <v>339</v>
      </c>
      <c r="E4" s="2">
        <f>metaSHOTS[[#This Row],[Duration]]</f>
        <v>339</v>
      </c>
      <c r="F4" s="187" t="b">
        <v>0</v>
      </c>
      <c r="G4" s="187"/>
      <c r="H4" s="187"/>
      <c r="I4" s="187"/>
      <c r="J4" s="187"/>
      <c r="K4" s="2" t="b">
        <f>AND(Tableau21[[#This Row],[Timing Locked]]="ok", Tableau21[[#This Row],[Export Cam]]="ok", Tableau21[[#This Row],[Export Env]]="ok")</f>
        <v>0</v>
      </c>
      <c r="L4" s="187"/>
    </row>
    <row r="5" spans="1:12" ht="33.75" customHeight="1" x14ac:dyDescent="0.25">
      <c r="A5" s="3" t="str">
        <f>metaSHOTS[[#This Row],[Shot]]</f>
        <v>010_010</v>
      </c>
      <c r="B5" s="2" t="e" vm="2">
        <f>metaSHOTS[[#This Row],[Thumbnail]]</f>
        <v>#VALUE!</v>
      </c>
      <c r="C5" s="2">
        <f>metaSHOTS[[#This Row],[Start]]</f>
        <v>1</v>
      </c>
      <c r="D5" s="2">
        <f>metaSHOTS[[#This Row],[End]]</f>
        <v>93</v>
      </c>
      <c r="E5" s="2">
        <f>metaSHOTS[[#This Row],[Duration]]</f>
        <v>93</v>
      </c>
      <c r="F5" s="187" t="b">
        <v>1</v>
      </c>
      <c r="G5" s="187" t="s">
        <v>372</v>
      </c>
      <c r="H5" s="187" t="s">
        <v>372</v>
      </c>
      <c r="I5" s="187" t="s">
        <v>372</v>
      </c>
      <c r="J5" s="187" t="s">
        <v>372</v>
      </c>
      <c r="K5" s="2" t="b">
        <f>AND(Tableau21[[#This Row],[Timing Locked]]="ok", Tableau21[[#This Row],[Export Cam]]="ok", Tableau21[[#This Row],[Export Env]]="ok")</f>
        <v>1</v>
      </c>
      <c r="L5" s="187"/>
    </row>
    <row r="6" spans="1:12" ht="33.75" customHeight="1" x14ac:dyDescent="0.25">
      <c r="A6" s="3" t="str">
        <f>metaSHOTS[[#This Row],[Shot]]</f>
        <v>010_040</v>
      </c>
      <c r="B6" s="2" t="e" vm="3">
        <f>metaSHOTS[[#This Row],[Thumbnail]]</f>
        <v>#VALUE!</v>
      </c>
      <c r="C6" s="2">
        <f>metaSHOTS[[#This Row],[Start]]</f>
        <v>1</v>
      </c>
      <c r="D6" s="2">
        <f>metaSHOTS[[#This Row],[End]]</f>
        <v>111</v>
      </c>
      <c r="E6" s="2">
        <f>metaSHOTS[[#This Row],[Duration]]</f>
        <v>111</v>
      </c>
      <c r="F6" s="187" t="b">
        <v>1</v>
      </c>
      <c r="G6" s="187" t="s">
        <v>372</v>
      </c>
      <c r="H6" s="187" t="s">
        <v>372</v>
      </c>
      <c r="I6" s="187" t="s">
        <v>372</v>
      </c>
      <c r="J6" s="187"/>
      <c r="K6" s="2" t="b">
        <f>AND(Tableau21[[#This Row],[Timing Locked]]="ok", Tableau21[[#This Row],[Export Cam]]="ok", Tableau21[[#This Row],[Export Env]]="ok")</f>
        <v>1</v>
      </c>
      <c r="L6" s="187"/>
    </row>
    <row r="7" spans="1:12" ht="33.75" customHeight="1" x14ac:dyDescent="0.25">
      <c r="A7" s="3" t="str">
        <f>metaSHOTS[[#This Row],[Shot]]</f>
        <v>010_050</v>
      </c>
      <c r="B7" s="2" t="e" vm="4">
        <f>metaSHOTS[[#This Row],[Thumbnail]]</f>
        <v>#VALUE!</v>
      </c>
      <c r="C7" s="2">
        <f>metaSHOTS[[#This Row],[Start]]</f>
        <v>1</v>
      </c>
      <c r="D7" s="2">
        <f>metaSHOTS[[#This Row],[End]]</f>
        <v>65</v>
      </c>
      <c r="E7" s="2">
        <f>metaSHOTS[[#This Row],[Duration]]</f>
        <v>65</v>
      </c>
      <c r="F7" s="187" t="b">
        <v>1</v>
      </c>
      <c r="G7" s="187" t="s">
        <v>372</v>
      </c>
      <c r="H7" s="187" t="s">
        <v>372</v>
      </c>
      <c r="I7" s="187" t="s">
        <v>372</v>
      </c>
      <c r="J7" s="187"/>
      <c r="K7" s="2" t="b">
        <f>AND(Tableau21[[#This Row],[Timing Locked]]="ok", Tableau21[[#This Row],[Export Cam]]="ok", Tableau21[[#This Row],[Export Env]]="ok")</f>
        <v>1</v>
      </c>
      <c r="L7" s="187"/>
    </row>
    <row r="8" spans="1:12" ht="33.75" customHeight="1" x14ac:dyDescent="0.25">
      <c r="A8" s="3" t="str">
        <f>metaSHOTS[[#This Row],[Shot]]</f>
        <v>010_060</v>
      </c>
      <c r="B8" s="2" t="e" vm="5">
        <f>metaSHOTS[[#This Row],[Thumbnail]]</f>
        <v>#VALUE!</v>
      </c>
      <c r="C8" s="2">
        <f>metaSHOTS[[#This Row],[Start]]</f>
        <v>1</v>
      </c>
      <c r="D8" s="2">
        <f>metaSHOTS[[#This Row],[End]]</f>
        <v>76</v>
      </c>
      <c r="E8" s="2">
        <f>metaSHOTS[[#This Row],[Duration]]</f>
        <v>76</v>
      </c>
      <c r="F8" s="187" t="b">
        <v>1</v>
      </c>
      <c r="G8" s="187" t="s">
        <v>372</v>
      </c>
      <c r="H8" s="187" t="s">
        <v>372</v>
      </c>
      <c r="I8" s="187" t="s">
        <v>372</v>
      </c>
      <c r="J8" s="187"/>
      <c r="K8" s="2" t="b">
        <f>AND(Tableau21[[#This Row],[Timing Locked]]="ok", Tableau21[[#This Row],[Export Cam]]="ok", Tableau21[[#This Row],[Export Env]]="ok")</f>
        <v>1</v>
      </c>
      <c r="L8" s="187"/>
    </row>
    <row r="9" spans="1:12" ht="33.75" customHeight="1" x14ac:dyDescent="0.25">
      <c r="A9" s="3" t="str">
        <f>metaSHOTS[[#This Row],[Shot]]</f>
        <v>010_070</v>
      </c>
      <c r="B9" s="2" t="e" vm="6">
        <f>metaSHOTS[[#This Row],[Thumbnail]]</f>
        <v>#VALUE!</v>
      </c>
      <c r="C9" s="2">
        <f>metaSHOTS[[#This Row],[Start]]</f>
        <v>1</v>
      </c>
      <c r="D9" s="2">
        <f>metaSHOTS[[#This Row],[End]]</f>
        <v>41</v>
      </c>
      <c r="E9" s="2">
        <f>metaSHOTS[[#This Row],[Duration]]</f>
        <v>41</v>
      </c>
      <c r="F9" s="187" t="b">
        <v>0</v>
      </c>
      <c r="G9" s="187"/>
      <c r="H9" s="187"/>
      <c r="I9" s="187"/>
      <c r="J9" s="187"/>
      <c r="K9" s="2" t="b">
        <f>AND(Tableau21[[#This Row],[Timing Locked]]="ok", Tableau21[[#This Row],[Export Cam]]="ok", Tableau21[[#This Row],[Export Env]]="ok")</f>
        <v>0</v>
      </c>
      <c r="L9" s="187"/>
    </row>
    <row r="10" spans="1:12" ht="33.75" customHeight="1" x14ac:dyDescent="0.25">
      <c r="A10" s="3" t="str">
        <f>metaSHOTS[[#This Row],[Shot]]</f>
        <v>010_080</v>
      </c>
      <c r="B10" s="2" t="e" vm="7">
        <f>metaSHOTS[[#This Row],[Thumbnail]]</f>
        <v>#VALUE!</v>
      </c>
      <c r="C10" s="2">
        <f>metaSHOTS[[#This Row],[Start]]</f>
        <v>1</v>
      </c>
      <c r="D10" s="2">
        <f>metaSHOTS[[#This Row],[End]]</f>
        <v>18</v>
      </c>
      <c r="E10" s="2">
        <f>metaSHOTS[[#This Row],[Duration]]</f>
        <v>18</v>
      </c>
      <c r="F10" s="187" t="b">
        <v>0</v>
      </c>
      <c r="G10" s="187"/>
      <c r="H10" s="187"/>
      <c r="I10" s="187"/>
      <c r="J10" s="187"/>
      <c r="K10" s="2" t="b">
        <f>AND(Tableau21[[#This Row],[Timing Locked]]="ok", Tableau21[[#This Row],[Export Cam]]="ok", Tableau21[[#This Row],[Export Env]]="ok")</f>
        <v>0</v>
      </c>
      <c r="L10" s="187"/>
    </row>
    <row r="11" spans="1:12" ht="33.75" customHeight="1" x14ac:dyDescent="0.25">
      <c r="A11" s="3" t="str">
        <f>metaSHOTS[[#This Row],[Shot]]</f>
        <v>010_090</v>
      </c>
      <c r="B11" s="2" t="e" vm="8">
        <f>metaSHOTS[[#This Row],[Thumbnail]]</f>
        <v>#VALUE!</v>
      </c>
      <c r="C11" s="2">
        <f>metaSHOTS[[#This Row],[Start]]</f>
        <v>2</v>
      </c>
      <c r="D11" s="2">
        <f>metaSHOTS[[#This Row],[End]]</f>
        <v>9</v>
      </c>
      <c r="E11" s="2">
        <f>metaSHOTS[[#This Row],[Duration]]</f>
        <v>8</v>
      </c>
      <c r="F11" s="187" t="b">
        <v>0</v>
      </c>
      <c r="G11" s="187"/>
      <c r="H11" s="187"/>
      <c r="I11" s="187"/>
      <c r="J11" s="187"/>
      <c r="K11" s="2" t="b">
        <f>AND(Tableau21[[#This Row],[Timing Locked]]="ok", Tableau21[[#This Row],[Export Cam]]="ok", Tableau21[[#This Row],[Export Env]]="ok")</f>
        <v>0</v>
      </c>
      <c r="L11" s="187"/>
    </row>
    <row r="12" spans="1:12" ht="33.75" customHeight="1" x14ac:dyDescent="0.25">
      <c r="A12" s="3" t="str">
        <f>metaSHOTS[[#This Row],[Shot]]</f>
        <v>010_100</v>
      </c>
      <c r="B12" s="2" t="e" vm="9">
        <f>metaSHOTS[[#This Row],[Thumbnail]]</f>
        <v>#VALUE!</v>
      </c>
      <c r="C12" s="2">
        <f>metaSHOTS[[#This Row],[Start]]</f>
        <v>1</v>
      </c>
      <c r="D12" s="2">
        <f>metaSHOTS[[#This Row],[End]]</f>
        <v>75</v>
      </c>
      <c r="E12" s="2">
        <f>metaSHOTS[[#This Row],[Duration]]</f>
        <v>75</v>
      </c>
      <c r="F12" s="187" t="b">
        <v>1</v>
      </c>
      <c r="G12" s="187" t="s">
        <v>372</v>
      </c>
      <c r="H12" s="187" t="s">
        <v>372</v>
      </c>
      <c r="I12" s="187" t="s">
        <v>372</v>
      </c>
      <c r="J12" s="187"/>
      <c r="K12" s="2" t="b">
        <f>AND(Tableau21[[#This Row],[Timing Locked]]="ok", Tableau21[[#This Row],[Export Cam]]="ok", Tableau21[[#This Row],[Export Env]]="ok")</f>
        <v>1</v>
      </c>
      <c r="L12" s="187"/>
    </row>
    <row r="13" spans="1:12" ht="33.75" customHeight="1" x14ac:dyDescent="0.25">
      <c r="A13" s="3" t="str">
        <f>metaSHOTS[[#This Row],[Shot]]</f>
        <v>010_110</v>
      </c>
      <c r="B13" s="2" t="e" vm="10">
        <f>metaSHOTS[[#This Row],[Thumbnail]]</f>
        <v>#VALUE!</v>
      </c>
      <c r="C13" s="2">
        <f>metaSHOTS[[#This Row],[Start]]</f>
        <v>1</v>
      </c>
      <c r="D13" s="2">
        <f>metaSHOTS[[#This Row],[End]]</f>
        <v>52</v>
      </c>
      <c r="E13" s="2">
        <f>metaSHOTS[[#This Row],[Duration]]</f>
        <v>52</v>
      </c>
      <c r="F13" s="187" t="b">
        <v>1</v>
      </c>
      <c r="G13" s="187" t="s">
        <v>372</v>
      </c>
      <c r="H13" s="187" t="s">
        <v>372</v>
      </c>
      <c r="I13" s="187" t="s">
        <v>372</v>
      </c>
      <c r="J13" s="187"/>
      <c r="K13" s="2" t="b">
        <f>AND(Tableau21[[#This Row],[Timing Locked]]="ok", Tableau21[[#This Row],[Export Cam]]="ok", Tableau21[[#This Row],[Export Env]]="ok")</f>
        <v>1</v>
      </c>
      <c r="L13" s="187"/>
    </row>
    <row r="14" spans="1:12" ht="33.75" customHeight="1" x14ac:dyDescent="0.25">
      <c r="A14" s="3" t="str">
        <f>metaSHOTS[[#This Row],[Shot]]</f>
        <v>010_160</v>
      </c>
      <c r="B14" s="2" t="e" vm="11">
        <f>metaSHOTS[[#This Row],[Thumbnail]]</f>
        <v>#VALUE!</v>
      </c>
      <c r="C14" s="2">
        <f>metaSHOTS[[#This Row],[Start]]</f>
        <v>1</v>
      </c>
      <c r="D14" s="2">
        <f>metaSHOTS[[#This Row],[End]]</f>
        <v>21</v>
      </c>
      <c r="E14" s="2">
        <f>metaSHOTS[[#This Row],[Duration]]</f>
        <v>21</v>
      </c>
      <c r="F14" s="187" t="b">
        <v>0</v>
      </c>
      <c r="G14" s="187"/>
      <c r="H14" s="187"/>
      <c r="I14" s="187"/>
      <c r="J14" s="187"/>
      <c r="K14" s="2" t="b">
        <f>AND(Tableau21[[#This Row],[Timing Locked]]="ok", Tableau21[[#This Row],[Export Cam]]="ok", Tableau21[[#This Row],[Export Env]]="ok")</f>
        <v>0</v>
      </c>
      <c r="L14" s="187"/>
    </row>
    <row r="15" spans="1:12" ht="33.75" customHeight="1" x14ac:dyDescent="0.25">
      <c r="A15" s="3" t="str">
        <f>metaSHOTS[[#This Row],[Shot]]</f>
        <v>010_170</v>
      </c>
      <c r="B15" s="2" t="e" vm="12">
        <f>metaSHOTS[[#This Row],[Thumbnail]]</f>
        <v>#VALUE!</v>
      </c>
      <c r="C15" s="2">
        <f>metaSHOTS[[#This Row],[Start]]</f>
        <v>1</v>
      </c>
      <c r="D15" s="2">
        <f>metaSHOTS[[#This Row],[End]]</f>
        <v>17</v>
      </c>
      <c r="E15" s="2">
        <f>metaSHOTS[[#This Row],[Duration]]</f>
        <v>17</v>
      </c>
      <c r="F15" s="187" t="b">
        <v>1</v>
      </c>
      <c r="G15" s="187" t="s">
        <v>372</v>
      </c>
      <c r="H15" s="187" t="s">
        <v>372</v>
      </c>
      <c r="I15" s="187" t="s">
        <v>372</v>
      </c>
      <c r="J15" s="187"/>
      <c r="K15" s="2" t="b">
        <f>AND(Tableau21[[#This Row],[Timing Locked]]="ok", Tableau21[[#This Row],[Export Cam]]="ok", Tableau21[[#This Row],[Export Env]]="ok")</f>
        <v>1</v>
      </c>
      <c r="L15" s="187"/>
    </row>
    <row r="16" spans="1:12" ht="33.75" customHeight="1" x14ac:dyDescent="0.25">
      <c r="A16" s="3" t="str">
        <f>metaSHOTS[[#This Row],[Shot]]</f>
        <v>010_180</v>
      </c>
      <c r="B16" s="2" t="e" vm="13">
        <f>metaSHOTS[[#This Row],[Thumbnail]]</f>
        <v>#VALUE!</v>
      </c>
      <c r="C16" s="2">
        <f>metaSHOTS[[#This Row],[Start]]</f>
        <v>1</v>
      </c>
      <c r="D16" s="2">
        <f>metaSHOTS[[#This Row],[End]]</f>
        <v>124</v>
      </c>
      <c r="E16" s="2">
        <f>metaSHOTS[[#This Row],[Duration]]</f>
        <v>124</v>
      </c>
      <c r="F16" s="187" t="b">
        <v>1</v>
      </c>
      <c r="G16" s="187" t="s">
        <v>372</v>
      </c>
      <c r="H16" s="187" t="s">
        <v>372</v>
      </c>
      <c r="I16" s="187" t="s">
        <v>372</v>
      </c>
      <c r="J16" s="187"/>
      <c r="K16" s="2" t="b">
        <f>AND(Tableau21[[#This Row],[Timing Locked]]="ok", Tableau21[[#This Row],[Export Cam]]="ok", Tableau21[[#This Row],[Export Env]]="ok")</f>
        <v>1</v>
      </c>
      <c r="L16" s="187"/>
    </row>
    <row r="17" spans="1:12" ht="33.75" customHeight="1" x14ac:dyDescent="0.25">
      <c r="A17" s="3" t="str">
        <f>metaSHOTS[[#This Row],[Shot]]</f>
        <v>010_190</v>
      </c>
      <c r="B17" s="2" t="e" vm="14">
        <f>metaSHOTS[[#This Row],[Thumbnail]]</f>
        <v>#VALUE!</v>
      </c>
      <c r="C17" s="2">
        <f>metaSHOTS[[#This Row],[Start]]</f>
        <v>1</v>
      </c>
      <c r="D17" s="2">
        <f>metaSHOTS[[#This Row],[End]]</f>
        <v>121</v>
      </c>
      <c r="E17" s="2">
        <f>metaSHOTS[[#This Row],[Duration]]</f>
        <v>121</v>
      </c>
      <c r="F17" s="187" t="b">
        <v>1</v>
      </c>
      <c r="G17" s="187" t="s">
        <v>372</v>
      </c>
      <c r="H17" s="187"/>
      <c r="I17" s="187" t="s">
        <v>372</v>
      </c>
      <c r="J17" s="187"/>
      <c r="K17" s="2" t="b">
        <f>AND(Tableau21[[#This Row],[Timing Locked]]="ok", Tableau21[[#This Row],[Export Cam]]="ok", Tableau21[[#This Row],[Export Env]]="ok")</f>
        <v>0</v>
      </c>
      <c r="L17" s="187"/>
    </row>
    <row r="18" spans="1:12" ht="33.75" customHeight="1" x14ac:dyDescent="0.25">
      <c r="A18" s="3" t="str">
        <f>metaSHOTS[[#This Row],[Shot]]</f>
        <v>010_200</v>
      </c>
      <c r="B18" s="2" t="e" vm="15">
        <f>metaSHOTS[[#This Row],[Thumbnail]]</f>
        <v>#VALUE!</v>
      </c>
      <c r="C18" s="2">
        <f>metaSHOTS[[#This Row],[Start]]</f>
        <v>1</v>
      </c>
      <c r="D18" s="2">
        <f>metaSHOTS[[#This Row],[End]]</f>
        <v>121</v>
      </c>
      <c r="E18" s="2">
        <f>metaSHOTS[[#This Row],[Duration]]</f>
        <v>121</v>
      </c>
      <c r="F18" s="187" t="b">
        <v>1</v>
      </c>
      <c r="G18" s="187" t="s">
        <v>372</v>
      </c>
      <c r="H18" s="187"/>
      <c r="I18" s="187" t="s">
        <v>372</v>
      </c>
      <c r="J18" s="187"/>
      <c r="K18" s="2" t="b">
        <f>AND(Tableau21[[#This Row],[Timing Locked]]="ok", Tableau21[[#This Row],[Export Cam]]="ok", Tableau21[[#This Row],[Export Env]]="ok")</f>
        <v>0</v>
      </c>
      <c r="L18" s="187"/>
    </row>
    <row r="19" spans="1:12" ht="33.75" customHeight="1" x14ac:dyDescent="0.25">
      <c r="A19" s="3" t="str">
        <f>metaSHOTS[[#This Row],[Shot]]</f>
        <v>020_020</v>
      </c>
      <c r="B19" s="2" t="e" vm="16">
        <f>metaSHOTS[[#This Row],[Thumbnail]]</f>
        <v>#VALUE!</v>
      </c>
      <c r="C19" s="2">
        <f>metaSHOTS[[#This Row],[Start]]</f>
        <v>1</v>
      </c>
      <c r="D19" s="2">
        <f>metaSHOTS[[#This Row],[End]]</f>
        <v>102</v>
      </c>
      <c r="E19" s="2">
        <f>metaSHOTS[[#This Row],[Duration]]</f>
        <v>102</v>
      </c>
      <c r="F19" s="187" t="b">
        <v>1</v>
      </c>
      <c r="G19" s="187" t="s">
        <v>372</v>
      </c>
      <c r="H19" s="187" t="s">
        <v>372</v>
      </c>
      <c r="I19" s="187" t="s">
        <v>372</v>
      </c>
      <c r="J19" s="187" t="s">
        <v>326</v>
      </c>
      <c r="K19" s="2" t="b">
        <f>AND(Tableau21[[#This Row],[Timing Locked]]="ok", Tableau21[[#This Row],[Export Cam]]="ok", Tableau21[[#This Row],[Export Env]]="ok")</f>
        <v>1</v>
      </c>
      <c r="L19" s="187"/>
    </row>
    <row r="20" spans="1:12" ht="33.75" customHeight="1" x14ac:dyDescent="0.25">
      <c r="A20" s="3" t="str">
        <f>metaSHOTS[[#This Row],[Shot]]</f>
        <v>020_030</v>
      </c>
      <c r="B20" s="2" t="e" vm="17">
        <f>metaSHOTS[[#This Row],[Thumbnail]]</f>
        <v>#VALUE!</v>
      </c>
      <c r="C20" s="2">
        <f>metaSHOTS[[#This Row],[Start]]</f>
        <v>1</v>
      </c>
      <c r="D20" s="2">
        <f>metaSHOTS[[#This Row],[End]]</f>
        <v>107</v>
      </c>
      <c r="E20" s="2">
        <f>metaSHOTS[[#This Row],[Duration]]</f>
        <v>107</v>
      </c>
      <c r="F20" s="187" t="b">
        <v>1</v>
      </c>
      <c r="G20" s="187" t="s">
        <v>372</v>
      </c>
      <c r="H20" s="187" t="s">
        <v>372</v>
      </c>
      <c r="I20" s="187" t="s">
        <v>372</v>
      </c>
      <c r="J20" s="187" t="s">
        <v>372</v>
      </c>
      <c r="K20" s="2" t="b">
        <f>AND(Tableau21[[#This Row],[Timing Locked]]="ok", Tableau21[[#This Row],[Export Cam]]="ok", Tableau21[[#This Row],[Export Env]]="ok")</f>
        <v>1</v>
      </c>
      <c r="L20" s="187"/>
    </row>
    <row r="21" spans="1:12" ht="33.75" customHeight="1" x14ac:dyDescent="0.25">
      <c r="A21" s="3" t="str">
        <f>metaSHOTS[[#This Row],[Shot]]</f>
        <v>020_040</v>
      </c>
      <c r="B21" s="2" t="e" vm="18">
        <f>metaSHOTS[[#This Row],[Thumbnail]]</f>
        <v>#VALUE!</v>
      </c>
      <c r="C21" s="2">
        <f>metaSHOTS[[#This Row],[Start]]</f>
        <v>1</v>
      </c>
      <c r="D21" s="2">
        <f>metaSHOTS[[#This Row],[End]]</f>
        <v>43</v>
      </c>
      <c r="E21" s="2">
        <f>metaSHOTS[[#This Row],[Duration]]</f>
        <v>43</v>
      </c>
      <c r="F21" s="187" t="b">
        <v>1</v>
      </c>
      <c r="G21" s="187" t="s">
        <v>372</v>
      </c>
      <c r="H21" s="187" t="s">
        <v>372</v>
      </c>
      <c r="I21" s="187" t="s">
        <v>372</v>
      </c>
      <c r="J21" s="187"/>
      <c r="K21" s="2" t="b">
        <f>AND(Tableau21[[#This Row],[Timing Locked]]="ok", Tableau21[[#This Row],[Export Cam]]="ok", Tableau21[[#This Row],[Export Env]]="ok")</f>
        <v>1</v>
      </c>
      <c r="L21" s="187"/>
    </row>
    <row r="22" spans="1:12" ht="33.75" customHeight="1" x14ac:dyDescent="0.25">
      <c r="A22" s="3" t="str">
        <f>metaSHOTS[[#This Row],[Shot]]</f>
        <v>020_050</v>
      </c>
      <c r="B22" s="2" t="e" vm="19">
        <f>metaSHOTS[[#This Row],[Thumbnail]]</f>
        <v>#VALUE!</v>
      </c>
      <c r="C22" s="2">
        <f>metaSHOTS[[#This Row],[Start]]</f>
        <v>1</v>
      </c>
      <c r="D22" s="2">
        <f>metaSHOTS[[#This Row],[End]]</f>
        <v>227</v>
      </c>
      <c r="E22" s="2">
        <f>metaSHOTS[[#This Row],[Duration]]</f>
        <v>227</v>
      </c>
      <c r="F22" s="187" t="b">
        <v>1</v>
      </c>
      <c r="G22" s="187" t="s">
        <v>372</v>
      </c>
      <c r="H22" s="187" t="s">
        <v>372</v>
      </c>
      <c r="I22" s="187" t="s">
        <v>372</v>
      </c>
      <c r="J22" s="187"/>
      <c r="K22" s="2" t="b">
        <f>AND(Tableau21[[#This Row],[Timing Locked]]="ok", Tableau21[[#This Row],[Export Cam]]="ok", Tableau21[[#This Row],[Export Env]]="ok")</f>
        <v>1</v>
      </c>
      <c r="L22" s="187" t="s">
        <v>565</v>
      </c>
    </row>
    <row r="23" spans="1:12" ht="33.75" customHeight="1" x14ac:dyDescent="0.25">
      <c r="A23" s="3" t="str">
        <f>metaSHOTS[[#This Row],[Shot]]</f>
        <v>030_020</v>
      </c>
      <c r="B23" s="2" t="e" vm="20">
        <f>metaSHOTS[[#This Row],[Thumbnail]]</f>
        <v>#VALUE!</v>
      </c>
      <c r="C23" s="2">
        <f>metaSHOTS[[#This Row],[Start]]</f>
        <v>1</v>
      </c>
      <c r="D23" s="2">
        <f>metaSHOTS[[#This Row],[End]]</f>
        <v>290</v>
      </c>
      <c r="E23" s="2">
        <f>metaSHOTS[[#This Row],[Duration]]</f>
        <v>290</v>
      </c>
      <c r="F23" s="187" t="b">
        <v>1</v>
      </c>
      <c r="G23" s="187" t="s">
        <v>372</v>
      </c>
      <c r="H23" s="187" t="s">
        <v>372</v>
      </c>
      <c r="I23" s="187" t="s">
        <v>372</v>
      </c>
      <c r="J23" s="187"/>
      <c r="K23" s="2" t="b">
        <f>AND(Tableau21[[#This Row],[Timing Locked]]="ok", Tableau21[[#This Row],[Export Cam]]="ok", Tableau21[[#This Row],[Export Env]]="ok")</f>
        <v>1</v>
      </c>
      <c r="L23" s="187" t="s">
        <v>565</v>
      </c>
    </row>
    <row r="24" spans="1:12" ht="33.75" customHeight="1" x14ac:dyDescent="0.25">
      <c r="A24" s="3" t="str">
        <f>metaSHOTS[[#This Row],[Shot]]</f>
        <v>030_030</v>
      </c>
      <c r="B24" s="2" t="e" vm="21">
        <f>metaSHOTS[[#This Row],[Thumbnail]]</f>
        <v>#VALUE!</v>
      </c>
      <c r="C24" s="2">
        <f>metaSHOTS[[#This Row],[Start]]</f>
        <v>1</v>
      </c>
      <c r="D24" s="2">
        <f>metaSHOTS[[#This Row],[End]]</f>
        <v>141</v>
      </c>
      <c r="E24" s="2">
        <f>metaSHOTS[[#This Row],[Duration]]</f>
        <v>141</v>
      </c>
      <c r="F24" s="187" t="b">
        <v>1</v>
      </c>
      <c r="G24" s="187" t="s">
        <v>372</v>
      </c>
      <c r="H24" s="187" t="s">
        <v>372</v>
      </c>
      <c r="I24" s="187" t="s">
        <v>372</v>
      </c>
      <c r="J24" s="187"/>
      <c r="K24" s="2" t="b">
        <f>AND(Tableau21[[#This Row],[Timing Locked]]="ok", Tableau21[[#This Row],[Export Cam]]="ok", Tableau21[[#This Row],[Export Env]]="ok")</f>
        <v>1</v>
      </c>
      <c r="L24" s="187"/>
    </row>
    <row r="25" spans="1:12" ht="33.75" customHeight="1" x14ac:dyDescent="0.25">
      <c r="A25" s="3" t="str">
        <f>metaSHOTS[[#This Row],[Shot]]</f>
        <v>030_040</v>
      </c>
      <c r="B25" s="2" t="e" vm="22">
        <f>metaSHOTS[[#This Row],[Thumbnail]]</f>
        <v>#VALUE!</v>
      </c>
      <c r="C25" s="2">
        <f>metaSHOTS[[#This Row],[Start]]</f>
        <v>1</v>
      </c>
      <c r="D25" s="2">
        <f>metaSHOTS[[#This Row],[End]]</f>
        <v>133</v>
      </c>
      <c r="E25" s="2">
        <f>metaSHOTS[[#This Row],[Duration]]</f>
        <v>133</v>
      </c>
      <c r="F25" s="187" t="b">
        <v>1</v>
      </c>
      <c r="G25" s="187" t="s">
        <v>372</v>
      </c>
      <c r="H25" s="187" t="s">
        <v>326</v>
      </c>
      <c r="I25" s="187" t="s">
        <v>372</v>
      </c>
      <c r="J25" s="187"/>
      <c r="K25" s="2" t="b">
        <f>AND(Tableau21[[#This Row],[Timing Locked]]="ok", Tableau21[[#This Row],[Export Cam]]="ok", Tableau21[[#This Row],[Export Env]]="ok")</f>
        <v>0</v>
      </c>
      <c r="L25" s="187"/>
    </row>
    <row r="26" spans="1:12" ht="33.75" customHeight="1" x14ac:dyDescent="0.25">
      <c r="A26" s="3" t="str">
        <f>metaSHOTS[[#This Row],[Shot]]</f>
        <v>030_060</v>
      </c>
      <c r="B26" s="2" t="e" vm="23">
        <f>metaSHOTS[[#This Row],[Thumbnail]]</f>
        <v>#VALUE!</v>
      </c>
      <c r="C26" s="2">
        <f>metaSHOTS[[#This Row],[Start]]</f>
        <v>1</v>
      </c>
      <c r="D26" s="2">
        <f>metaSHOTS[[#This Row],[End]]</f>
        <v>93</v>
      </c>
      <c r="E26" s="2">
        <f>metaSHOTS[[#This Row],[Duration]]</f>
        <v>93</v>
      </c>
      <c r="F26" s="187" t="b">
        <v>1</v>
      </c>
      <c r="G26" s="187" t="s">
        <v>372</v>
      </c>
      <c r="H26" s="187" t="s">
        <v>372</v>
      </c>
      <c r="I26" s="187" t="s">
        <v>372</v>
      </c>
      <c r="J26" s="187"/>
      <c r="K26" s="2" t="b">
        <f>AND(Tableau21[[#This Row],[Timing Locked]]="ok", Tableau21[[#This Row],[Export Cam]]="ok", Tableau21[[#This Row],[Export Env]]="ok")</f>
        <v>1</v>
      </c>
      <c r="L26" s="187"/>
    </row>
    <row r="27" spans="1:12" ht="33.75" customHeight="1" x14ac:dyDescent="0.25">
      <c r="A27" s="3" t="str">
        <f>metaSHOTS[[#This Row],[Shot]]</f>
        <v>030_070</v>
      </c>
      <c r="B27" s="2" t="e" vm="24">
        <f>metaSHOTS[[#This Row],[Thumbnail]]</f>
        <v>#VALUE!</v>
      </c>
      <c r="C27" s="2">
        <f>metaSHOTS[[#This Row],[Start]]</f>
        <v>1</v>
      </c>
      <c r="D27" s="2">
        <f>metaSHOTS[[#This Row],[End]]</f>
        <v>19</v>
      </c>
      <c r="E27" s="2">
        <f>metaSHOTS[[#This Row],[Duration]]</f>
        <v>19</v>
      </c>
      <c r="F27" s="187" t="b">
        <v>1</v>
      </c>
      <c r="G27" s="187" t="s">
        <v>372</v>
      </c>
      <c r="H27" s="187" t="s">
        <v>372</v>
      </c>
      <c r="I27" s="187" t="s">
        <v>372</v>
      </c>
      <c r="J27" s="187"/>
      <c r="K27" s="2" t="b">
        <f>AND(Tableau21[[#This Row],[Timing Locked]]="ok", Tableau21[[#This Row],[Export Cam]]="ok", Tableau21[[#This Row],[Export Env]]="ok")</f>
        <v>1</v>
      </c>
      <c r="L27" s="187"/>
    </row>
    <row r="28" spans="1:12" ht="33.75" customHeight="1" x14ac:dyDescent="0.25">
      <c r="A28" s="3" t="str">
        <f>metaSHOTS[[#This Row],[Shot]]</f>
        <v>030_080</v>
      </c>
      <c r="B28" s="2" t="e" vm="25">
        <f>metaSHOTS[[#This Row],[Thumbnail]]</f>
        <v>#VALUE!</v>
      </c>
      <c r="C28" s="2">
        <f>metaSHOTS[[#This Row],[Start]]</f>
        <v>1</v>
      </c>
      <c r="D28" s="2">
        <f>metaSHOTS[[#This Row],[End]]</f>
        <v>51</v>
      </c>
      <c r="E28" s="2">
        <f>metaSHOTS[[#This Row],[Duration]]</f>
        <v>51</v>
      </c>
      <c r="F28" s="187" t="b">
        <v>1</v>
      </c>
      <c r="G28" s="187" t="s">
        <v>372</v>
      </c>
      <c r="H28" s="187" t="s">
        <v>372</v>
      </c>
      <c r="I28" s="187" t="s">
        <v>372</v>
      </c>
      <c r="J28" s="187"/>
      <c r="K28" s="2" t="b">
        <f>AND(Tableau21[[#This Row],[Timing Locked]]="ok", Tableau21[[#This Row],[Export Cam]]="ok", Tableau21[[#This Row],[Export Env]]="ok")</f>
        <v>1</v>
      </c>
      <c r="L28" s="187" t="s">
        <v>565</v>
      </c>
    </row>
    <row r="29" spans="1:12" ht="33.75" customHeight="1" x14ac:dyDescent="0.25">
      <c r="A29" s="3" t="str">
        <f>metaSHOTS[[#This Row],[Shot]]</f>
        <v>030_100</v>
      </c>
      <c r="B29" s="2" t="e" vm="26">
        <f>metaSHOTS[[#This Row],[Thumbnail]]</f>
        <v>#VALUE!</v>
      </c>
      <c r="C29" s="2">
        <f>metaSHOTS[[#This Row],[Start]]</f>
        <v>1</v>
      </c>
      <c r="D29" s="2">
        <f>metaSHOTS[[#This Row],[End]]</f>
        <v>87</v>
      </c>
      <c r="E29" s="2">
        <f>metaSHOTS[[#This Row],[Duration]]</f>
        <v>87</v>
      </c>
      <c r="F29" s="187" t="b">
        <v>1</v>
      </c>
      <c r="G29" s="187" t="s">
        <v>372</v>
      </c>
      <c r="H29" s="187" t="s">
        <v>372</v>
      </c>
      <c r="I29" s="187" t="s">
        <v>372</v>
      </c>
      <c r="J29" s="187"/>
      <c r="K29" s="2" t="b">
        <f>AND(Tableau21[[#This Row],[Timing Locked]]="ok", Tableau21[[#This Row],[Export Cam]]="ok", Tableau21[[#This Row],[Export Env]]="ok")</f>
        <v>1</v>
      </c>
      <c r="L29" s="187"/>
    </row>
    <row r="30" spans="1:12" ht="33.75" customHeight="1" x14ac:dyDescent="0.25">
      <c r="A30" s="3" t="str">
        <f>metaSHOTS[[#This Row],[Shot]]</f>
        <v>030_110</v>
      </c>
      <c r="B30" s="2" t="e" vm="27">
        <f>metaSHOTS[[#This Row],[Thumbnail]]</f>
        <v>#VALUE!</v>
      </c>
      <c r="C30" s="2">
        <f>metaSHOTS[[#This Row],[Start]]</f>
        <v>1</v>
      </c>
      <c r="D30" s="2">
        <f>metaSHOTS[[#This Row],[End]]</f>
        <v>64</v>
      </c>
      <c r="E30" s="2">
        <f>metaSHOTS[[#This Row],[Duration]]</f>
        <v>64</v>
      </c>
      <c r="F30" s="187" t="b">
        <v>1</v>
      </c>
      <c r="G30" s="187" t="s">
        <v>372</v>
      </c>
      <c r="H30" s="187" t="s">
        <v>372</v>
      </c>
      <c r="I30" s="187" t="s">
        <v>372</v>
      </c>
      <c r="J30" s="187" t="s">
        <v>372</v>
      </c>
      <c r="K30" s="2" t="b">
        <f>AND(Tableau21[[#This Row],[Timing Locked]]="ok", Tableau21[[#This Row],[Export Cam]]="ok", Tableau21[[#This Row],[Export Env]]="ok")</f>
        <v>1</v>
      </c>
      <c r="L30" s="187"/>
    </row>
    <row r="31" spans="1:12" ht="33.75" customHeight="1" x14ac:dyDescent="0.25">
      <c r="A31" s="3" t="str">
        <f>metaSHOTS[[#This Row],[Shot]]</f>
        <v>030_120</v>
      </c>
      <c r="B31" s="2" t="e" vm="28">
        <f>metaSHOTS[[#This Row],[Thumbnail]]</f>
        <v>#VALUE!</v>
      </c>
      <c r="C31" s="2">
        <f>metaSHOTS[[#This Row],[Start]]</f>
        <v>1</v>
      </c>
      <c r="D31" s="2">
        <f>metaSHOTS[[#This Row],[End]]</f>
        <v>71</v>
      </c>
      <c r="E31" s="2">
        <f>metaSHOTS[[#This Row],[Duration]]</f>
        <v>71</v>
      </c>
      <c r="F31" s="187" t="b">
        <v>1</v>
      </c>
      <c r="G31" s="187" t="s">
        <v>372</v>
      </c>
      <c r="H31" s="187" t="s">
        <v>372</v>
      </c>
      <c r="I31" s="187" t="s">
        <v>372</v>
      </c>
      <c r="J31" s="187" t="s">
        <v>372</v>
      </c>
      <c r="K31" s="2" t="b">
        <f>AND(Tableau21[[#This Row],[Timing Locked]]="ok", Tableau21[[#This Row],[Export Cam]]="ok", Tableau21[[#This Row],[Export Env]]="ok")</f>
        <v>1</v>
      </c>
      <c r="L31" s="187"/>
    </row>
    <row r="32" spans="1:12" ht="33.75" customHeight="1" x14ac:dyDescent="0.25">
      <c r="A32" s="3" t="str">
        <f>metaSHOTS[[#This Row],[Shot]]</f>
        <v>030_130</v>
      </c>
      <c r="B32" s="2" t="e" vm="29">
        <f>metaSHOTS[[#This Row],[Thumbnail]]</f>
        <v>#VALUE!</v>
      </c>
      <c r="C32" s="2">
        <f>metaSHOTS[[#This Row],[Start]]</f>
        <v>1</v>
      </c>
      <c r="D32" s="2">
        <f>metaSHOTS[[#This Row],[End]]</f>
        <v>46</v>
      </c>
      <c r="E32" s="2">
        <f>metaSHOTS[[#This Row],[Duration]]</f>
        <v>46</v>
      </c>
      <c r="F32" s="187" t="b">
        <v>1</v>
      </c>
      <c r="G32" s="187" t="s">
        <v>372</v>
      </c>
      <c r="H32" s="187" t="s">
        <v>372</v>
      </c>
      <c r="I32" s="187" t="s">
        <v>372</v>
      </c>
      <c r="J32" s="187" t="s">
        <v>372</v>
      </c>
      <c r="K32" s="2" t="b">
        <f>AND(Tableau21[[#This Row],[Timing Locked]]="ok", Tableau21[[#This Row],[Export Cam]]="ok", Tableau21[[#This Row],[Export Env]]="ok")</f>
        <v>1</v>
      </c>
      <c r="L32" s="187"/>
    </row>
    <row r="33" spans="1:12" ht="33.75" customHeight="1" x14ac:dyDescent="0.25">
      <c r="A33" s="3" t="str">
        <f>metaSHOTS[[#This Row],[Shot]]</f>
        <v>030_140</v>
      </c>
      <c r="B33" s="2" t="e" vm="30">
        <f>metaSHOTS[[#This Row],[Thumbnail]]</f>
        <v>#VALUE!</v>
      </c>
      <c r="C33" s="2">
        <f>metaSHOTS[[#This Row],[Start]]</f>
        <v>1</v>
      </c>
      <c r="D33" s="2">
        <f>metaSHOTS[[#This Row],[End]]</f>
        <v>29</v>
      </c>
      <c r="E33" s="2">
        <f>metaSHOTS[[#This Row],[Duration]]</f>
        <v>29</v>
      </c>
      <c r="F33" s="187" t="b">
        <v>1</v>
      </c>
      <c r="G33" s="187" t="s">
        <v>372</v>
      </c>
      <c r="H33" s="187" t="s">
        <v>372</v>
      </c>
      <c r="I33" s="187" t="s">
        <v>372</v>
      </c>
      <c r="J33" s="187"/>
      <c r="K33" s="2" t="b">
        <f>AND(Tableau21[[#This Row],[Timing Locked]]="ok", Tableau21[[#This Row],[Export Cam]]="ok", Tableau21[[#This Row],[Export Env]]="ok")</f>
        <v>1</v>
      </c>
      <c r="L33" s="187"/>
    </row>
    <row r="34" spans="1:12" ht="33.75" customHeight="1" x14ac:dyDescent="0.25">
      <c r="A34" s="3" t="str">
        <f>metaSHOTS[[#This Row],[Shot]]</f>
        <v>030_150</v>
      </c>
      <c r="B34" s="2" t="e" vm="31">
        <f>metaSHOTS[[#This Row],[Thumbnail]]</f>
        <v>#VALUE!</v>
      </c>
      <c r="C34" s="2">
        <f>metaSHOTS[[#This Row],[Start]]</f>
        <v>1</v>
      </c>
      <c r="D34" s="2">
        <f>metaSHOTS[[#This Row],[End]]</f>
        <v>19</v>
      </c>
      <c r="E34" s="2">
        <f>metaSHOTS[[#This Row],[Duration]]</f>
        <v>19</v>
      </c>
      <c r="F34" s="187" t="b">
        <v>1</v>
      </c>
      <c r="G34" s="187" t="s">
        <v>372</v>
      </c>
      <c r="H34" s="187" t="s">
        <v>372</v>
      </c>
      <c r="I34" s="187" t="s">
        <v>372</v>
      </c>
      <c r="J34" s="187" t="s">
        <v>372</v>
      </c>
      <c r="K34" s="2" t="b">
        <f>AND(Tableau21[[#This Row],[Timing Locked]]="ok", Tableau21[[#This Row],[Export Cam]]="ok", Tableau21[[#This Row],[Export Env]]="ok")</f>
        <v>1</v>
      </c>
      <c r="L34" s="187"/>
    </row>
    <row r="35" spans="1:12" ht="33.75" customHeight="1" x14ac:dyDescent="0.25">
      <c r="A35" s="3" t="str">
        <f>metaSHOTS[[#This Row],[Shot]]</f>
        <v>040_010</v>
      </c>
      <c r="B35" s="2" t="e" vm="32">
        <f>metaSHOTS[[#This Row],[Thumbnail]]</f>
        <v>#VALUE!</v>
      </c>
      <c r="C35" s="2">
        <f>metaSHOTS[[#This Row],[Start]]</f>
        <v>20</v>
      </c>
      <c r="D35" s="2">
        <f>metaSHOTS[[#This Row],[End]]</f>
        <v>108</v>
      </c>
      <c r="E35" s="2">
        <f>metaSHOTS[[#This Row],[Duration]]</f>
        <v>89</v>
      </c>
      <c r="F35" s="187" t="b">
        <v>1</v>
      </c>
      <c r="G35" s="187"/>
      <c r="H35" s="187"/>
      <c r="I35" s="187"/>
      <c r="J35" s="187"/>
      <c r="K35" s="2" t="b">
        <f>AND(Tableau21[[#This Row],[Timing Locked]]="ok", Tableau21[[#This Row],[Export Cam]]="ok", Tableau21[[#This Row],[Export Env]]="ok")</f>
        <v>0</v>
      </c>
      <c r="L35" s="187"/>
    </row>
    <row r="36" spans="1:12" ht="33.75" customHeight="1" x14ac:dyDescent="0.25">
      <c r="A36" s="3" t="str">
        <f>metaSHOTS[[#This Row],[Shot]]</f>
        <v>040_020</v>
      </c>
      <c r="B36" s="2" t="e" vm="33">
        <f>metaSHOTS[[#This Row],[Thumbnail]]</f>
        <v>#VALUE!</v>
      </c>
      <c r="C36" s="2">
        <f>metaSHOTS[[#This Row],[Start]]</f>
        <v>1</v>
      </c>
      <c r="D36" s="2">
        <f>metaSHOTS[[#This Row],[End]]</f>
        <v>150</v>
      </c>
      <c r="E36" s="2">
        <f>metaSHOTS[[#This Row],[Duration]]</f>
        <v>150</v>
      </c>
      <c r="F36" s="187" t="b">
        <v>0</v>
      </c>
      <c r="G36" s="187"/>
      <c r="H36" s="187"/>
      <c r="I36" s="187"/>
      <c r="J36" s="187"/>
      <c r="K36" s="2" t="b">
        <f>AND(Tableau21[[#This Row],[Timing Locked]]="ok", Tableau21[[#This Row],[Export Cam]]="ok", Tableau21[[#This Row],[Export Env]]="ok")</f>
        <v>0</v>
      </c>
      <c r="L36" s="187"/>
    </row>
    <row r="37" spans="1:12" ht="33.75" customHeight="1" x14ac:dyDescent="0.25">
      <c r="A37" s="3" t="str">
        <f>metaSHOTS[[#This Row],[Shot]]</f>
        <v>040_030</v>
      </c>
      <c r="B37" s="2" t="e" vm="34">
        <f>metaSHOTS[[#This Row],[Thumbnail]]</f>
        <v>#VALUE!</v>
      </c>
      <c r="C37" s="2">
        <f>metaSHOTS[[#This Row],[Start]]</f>
        <v>1</v>
      </c>
      <c r="D37" s="2">
        <f>metaSHOTS[[#This Row],[End]]</f>
        <v>115</v>
      </c>
      <c r="E37" s="2">
        <f>metaSHOTS[[#This Row],[Duration]]</f>
        <v>115</v>
      </c>
      <c r="F37" s="187" t="b">
        <v>0</v>
      </c>
      <c r="G37" s="187"/>
      <c r="H37" s="187"/>
      <c r="I37" s="187"/>
      <c r="J37" s="187"/>
      <c r="K37" s="2" t="b">
        <f>AND(Tableau21[[#This Row],[Timing Locked]]="ok", Tableau21[[#This Row],[Export Cam]]="ok", Tableau21[[#This Row],[Export Env]]="ok")</f>
        <v>0</v>
      </c>
      <c r="L37" s="187"/>
    </row>
    <row r="38" spans="1:12" ht="33.75" customHeight="1" x14ac:dyDescent="0.25">
      <c r="A38" s="3" t="str">
        <f>metaSHOTS[[#This Row],[Shot]]</f>
        <v>040_040</v>
      </c>
      <c r="B38" s="2" t="e" vm="35">
        <f>metaSHOTS[[#This Row],[Thumbnail]]</f>
        <v>#VALUE!</v>
      </c>
      <c r="C38" s="2">
        <f>metaSHOTS[[#This Row],[Start]]</f>
        <v>1</v>
      </c>
      <c r="D38" s="2">
        <f>metaSHOTS[[#This Row],[End]]</f>
        <v>81</v>
      </c>
      <c r="E38" s="2">
        <f>metaSHOTS[[#This Row],[Duration]]</f>
        <v>81</v>
      </c>
      <c r="F38" s="187" t="b">
        <v>0</v>
      </c>
      <c r="G38" s="187"/>
      <c r="H38" s="187"/>
      <c r="I38" s="187"/>
      <c r="J38" s="187"/>
      <c r="K38" s="2" t="b">
        <f>AND(Tableau21[[#This Row],[Timing Locked]]="ok", Tableau21[[#This Row],[Export Cam]]="ok", Tableau21[[#This Row],[Export Env]]="ok")</f>
        <v>0</v>
      </c>
      <c r="L38" s="187"/>
    </row>
    <row r="39" spans="1:12" ht="33.75" customHeight="1" x14ac:dyDescent="0.25">
      <c r="A39" s="3" t="str">
        <f>metaSHOTS[[#This Row],[Shot]]</f>
        <v>040_050</v>
      </c>
      <c r="B39" s="2" t="e" vm="36">
        <f>metaSHOTS[[#This Row],[Thumbnail]]</f>
        <v>#VALUE!</v>
      </c>
      <c r="C39" s="2">
        <f>metaSHOTS[[#This Row],[Start]]</f>
        <v>1</v>
      </c>
      <c r="D39" s="2">
        <f>metaSHOTS[[#This Row],[End]]</f>
        <v>79</v>
      </c>
      <c r="E39" s="2">
        <f>metaSHOTS[[#This Row],[Duration]]</f>
        <v>79</v>
      </c>
      <c r="F39" s="187" t="b">
        <v>0</v>
      </c>
      <c r="G39" s="187"/>
      <c r="H39" s="187"/>
      <c r="I39" s="187"/>
      <c r="J39" s="187"/>
      <c r="K39" s="2" t="b">
        <f>AND(Tableau21[[#This Row],[Timing Locked]]="ok", Tableau21[[#This Row],[Export Cam]]="ok", Tableau21[[#This Row],[Export Env]]="ok")</f>
        <v>0</v>
      </c>
      <c r="L39" s="187"/>
    </row>
    <row r="40" spans="1:12" ht="33.75" customHeight="1" x14ac:dyDescent="0.25">
      <c r="A40" s="3" t="str">
        <f>metaSHOTS[[#This Row],[Shot]]</f>
        <v>040_070</v>
      </c>
      <c r="B40" s="2" t="e" vm="37">
        <f>metaSHOTS[[#This Row],[Thumbnail]]</f>
        <v>#VALUE!</v>
      </c>
      <c r="C40" s="2">
        <f>metaSHOTS[[#This Row],[Start]]</f>
        <v>1</v>
      </c>
      <c r="D40" s="2">
        <f>metaSHOTS[[#This Row],[End]]</f>
        <v>39</v>
      </c>
      <c r="E40" s="2">
        <f>metaSHOTS[[#This Row],[Duration]]</f>
        <v>39</v>
      </c>
      <c r="F40" s="187" t="b">
        <v>1</v>
      </c>
      <c r="G40" s="187"/>
      <c r="H40" s="187"/>
      <c r="I40" s="187"/>
      <c r="J40" s="187"/>
      <c r="K40" s="2" t="b">
        <f>AND(Tableau21[[#This Row],[Timing Locked]]="ok", Tableau21[[#This Row],[Export Cam]]="ok", Tableau21[[#This Row],[Export Env]]="ok")</f>
        <v>0</v>
      </c>
      <c r="L40" s="187"/>
    </row>
    <row r="41" spans="1:12" ht="33.75" customHeight="1" x14ac:dyDescent="0.25">
      <c r="A41" s="3" t="str">
        <f>metaSHOTS[[#This Row],[Shot]]</f>
        <v>040_090</v>
      </c>
      <c r="B41" s="2" t="e" vm="38">
        <f>metaSHOTS[[#This Row],[Thumbnail]]</f>
        <v>#VALUE!</v>
      </c>
      <c r="C41" s="2">
        <f>metaSHOTS[[#This Row],[Start]]</f>
        <v>1</v>
      </c>
      <c r="D41" s="2">
        <f>metaSHOTS[[#This Row],[End]]</f>
        <v>63</v>
      </c>
      <c r="E41" s="2">
        <f>metaSHOTS[[#This Row],[Duration]]</f>
        <v>63</v>
      </c>
      <c r="F41" s="187" t="b">
        <v>1</v>
      </c>
      <c r="G41" s="187"/>
      <c r="H41" s="187"/>
      <c r="I41" s="187"/>
      <c r="J41" s="187"/>
      <c r="K41" s="2" t="b">
        <f>AND(Tableau21[[#This Row],[Timing Locked]]="ok", Tableau21[[#This Row],[Export Cam]]="ok", Tableau21[[#This Row],[Export Env]]="ok")</f>
        <v>0</v>
      </c>
      <c r="L41" s="187"/>
    </row>
    <row r="42" spans="1:12" ht="33.75" customHeight="1" x14ac:dyDescent="0.25">
      <c r="A42" s="3" t="str">
        <f>metaSHOTS[[#This Row],[Shot]]</f>
        <v>040_100</v>
      </c>
      <c r="B42" s="2" t="e" vm="39">
        <f>metaSHOTS[[#This Row],[Thumbnail]]</f>
        <v>#VALUE!</v>
      </c>
      <c r="C42" s="2">
        <f>metaSHOTS[[#This Row],[Start]]</f>
        <v>1</v>
      </c>
      <c r="D42" s="2">
        <f>metaSHOTS[[#This Row],[End]]</f>
        <v>55</v>
      </c>
      <c r="E42" s="2">
        <f>metaSHOTS[[#This Row],[Duration]]</f>
        <v>55</v>
      </c>
      <c r="F42" s="187" t="b">
        <v>1</v>
      </c>
      <c r="G42" s="187"/>
      <c r="H42" s="187"/>
      <c r="I42" s="187"/>
      <c r="J42" s="187"/>
      <c r="K42" s="2" t="b">
        <f>AND(Tableau21[[#This Row],[Timing Locked]]="ok", Tableau21[[#This Row],[Export Cam]]="ok", Tableau21[[#This Row],[Export Env]]="ok")</f>
        <v>0</v>
      </c>
      <c r="L42" s="187"/>
    </row>
    <row r="43" spans="1:12" ht="33.75" customHeight="1" x14ac:dyDescent="0.25">
      <c r="A43" s="3" t="str">
        <f>metaSHOTS[[#This Row],[Shot]]</f>
        <v>040_110</v>
      </c>
      <c r="B43" s="2" t="e" vm="40">
        <f>metaSHOTS[[#This Row],[Thumbnail]]</f>
        <v>#VALUE!</v>
      </c>
      <c r="C43" s="2">
        <f>metaSHOTS[[#This Row],[Start]]</f>
        <v>1</v>
      </c>
      <c r="D43" s="2">
        <f>metaSHOTS[[#This Row],[End]]</f>
        <v>76</v>
      </c>
      <c r="E43" s="2">
        <f>metaSHOTS[[#This Row],[Duration]]</f>
        <v>76</v>
      </c>
      <c r="F43" s="187" t="b">
        <v>0</v>
      </c>
      <c r="G43" s="187"/>
      <c r="H43" s="187"/>
      <c r="I43" s="187"/>
      <c r="J43" s="187"/>
      <c r="K43" s="2" t="b">
        <f>AND(Tableau21[[#This Row],[Timing Locked]]="ok", Tableau21[[#This Row],[Export Cam]]="ok", Tableau21[[#This Row],[Export Env]]="ok")</f>
        <v>0</v>
      </c>
      <c r="L43" s="187"/>
    </row>
    <row r="44" spans="1:12" ht="33.75" customHeight="1" x14ac:dyDescent="0.25">
      <c r="A44" s="3" t="str">
        <f>metaSHOTS[[#This Row],[Shot]]</f>
        <v>040_120</v>
      </c>
      <c r="B44" s="2" t="e" vm="41">
        <f>metaSHOTS[[#This Row],[Thumbnail]]</f>
        <v>#VALUE!</v>
      </c>
      <c r="C44" s="2">
        <f>metaSHOTS[[#This Row],[Start]]</f>
        <v>1</v>
      </c>
      <c r="D44" s="2">
        <f>metaSHOTS[[#This Row],[End]]</f>
        <v>90</v>
      </c>
      <c r="E44" s="2">
        <f>metaSHOTS[[#This Row],[Duration]]</f>
        <v>90</v>
      </c>
      <c r="F44" s="187" t="b">
        <v>0</v>
      </c>
      <c r="G44" s="187"/>
      <c r="H44" s="187"/>
      <c r="I44" s="187"/>
      <c r="J44" s="187"/>
      <c r="K44" s="2" t="b">
        <f>AND(Tableau21[[#This Row],[Timing Locked]]="ok", Tableau21[[#This Row],[Export Cam]]="ok", Tableau21[[#This Row],[Export Env]]="ok")</f>
        <v>0</v>
      </c>
      <c r="L44" s="187"/>
    </row>
    <row r="45" spans="1:12" ht="33.75" customHeight="1" x14ac:dyDescent="0.25">
      <c r="A45" s="3" t="str">
        <f>metaSHOTS[[#This Row],[Shot]]</f>
        <v>050_005</v>
      </c>
      <c r="B45" s="2" t="e" vm="42">
        <f>metaSHOTS[[#This Row],[Thumbnail]]</f>
        <v>#VALUE!</v>
      </c>
      <c r="C45" s="2">
        <f>metaSHOTS[[#This Row],[Start]]</f>
        <v>1</v>
      </c>
      <c r="D45" s="2">
        <f>metaSHOTS[[#This Row],[End]]</f>
        <v>137</v>
      </c>
      <c r="E45" s="2">
        <f>metaSHOTS[[#This Row],[Duration]]</f>
        <v>137</v>
      </c>
      <c r="F45" s="187" t="b">
        <v>1</v>
      </c>
      <c r="G45" s="187"/>
      <c r="H45" s="187" t="s">
        <v>372</v>
      </c>
      <c r="I45" s="187" t="s">
        <v>372</v>
      </c>
      <c r="J45" s="187"/>
      <c r="K45" s="2" t="b">
        <f>AND(Tableau21[[#This Row],[Timing Locked]]="ok", Tableau21[[#This Row],[Export Cam]]="ok", Tableau21[[#This Row],[Export Env]]="ok")</f>
        <v>0</v>
      </c>
      <c r="L45" s="187"/>
    </row>
    <row r="46" spans="1:12" ht="33.75" customHeight="1" x14ac:dyDescent="0.25">
      <c r="A46" s="3" t="str">
        <f>metaSHOTS[[#This Row],[Shot]]</f>
        <v>050_020</v>
      </c>
      <c r="B46" s="2" t="e" vm="43">
        <f>metaSHOTS[[#This Row],[Thumbnail]]</f>
        <v>#VALUE!</v>
      </c>
      <c r="C46" s="2">
        <f>metaSHOTS[[#This Row],[Start]]</f>
        <v>1</v>
      </c>
      <c r="D46" s="2">
        <f>metaSHOTS[[#This Row],[End]]</f>
        <v>510</v>
      </c>
      <c r="E46" s="2">
        <f>metaSHOTS[[#This Row],[Duration]]</f>
        <v>510</v>
      </c>
      <c r="F46" s="187" t="b">
        <v>1</v>
      </c>
      <c r="G46" s="187"/>
      <c r="H46" s="187" t="s">
        <v>372</v>
      </c>
      <c r="I46" s="187" t="s">
        <v>372</v>
      </c>
      <c r="J46" s="187"/>
      <c r="K46" s="2" t="b">
        <f>AND(Tableau21[[#This Row],[Timing Locked]]="ok", Tableau21[[#This Row],[Export Cam]]="ok", Tableau21[[#This Row],[Export Env]]="ok")</f>
        <v>0</v>
      </c>
      <c r="L46" s="187"/>
    </row>
    <row r="47" spans="1:12" ht="33.75" customHeight="1" x14ac:dyDescent="0.25">
      <c r="A47" s="3" t="str">
        <f>metaSHOTS[[#This Row],[Shot]]</f>
        <v>060_010</v>
      </c>
      <c r="B47" s="2" t="e" vm="44">
        <f>metaSHOTS[[#This Row],[Thumbnail]]</f>
        <v>#VALUE!</v>
      </c>
      <c r="C47" s="2">
        <f>metaSHOTS[[#This Row],[Start]]</f>
        <v>1</v>
      </c>
      <c r="D47" s="2">
        <f>metaSHOTS[[#This Row],[End]]</f>
        <v>241</v>
      </c>
      <c r="E47" s="2">
        <f>metaSHOTS[[#This Row],[Duration]]</f>
        <v>241</v>
      </c>
      <c r="F47" s="187" t="b">
        <v>0</v>
      </c>
      <c r="G47" s="187"/>
      <c r="H47" s="187"/>
      <c r="I47" s="187"/>
      <c r="J47" s="187"/>
      <c r="K47" s="2" t="b">
        <f>AND(Tableau21[[#This Row],[Timing Locked]]="ok", Tableau21[[#This Row],[Export Cam]]="ok", Tableau21[[#This Row],[Export Env]]="ok")</f>
        <v>0</v>
      </c>
      <c r="L47" s="187"/>
    </row>
    <row r="48" spans="1:12" ht="33.75" customHeight="1" x14ac:dyDescent="0.25">
      <c r="A48" s="3" t="str">
        <f>metaSHOTS[[#This Row],[Shot]]</f>
        <v>060_030</v>
      </c>
      <c r="B48" s="2" t="e" vm="45">
        <f>metaSHOTS[[#This Row],[Thumbnail]]</f>
        <v>#VALUE!</v>
      </c>
      <c r="C48" s="2">
        <f>metaSHOTS[[#This Row],[Start]]</f>
        <v>1</v>
      </c>
      <c r="D48" s="2">
        <f>metaSHOTS[[#This Row],[End]]</f>
        <v>511</v>
      </c>
      <c r="E48" s="2">
        <f>metaSHOTS[[#This Row],[Duration]]</f>
        <v>511</v>
      </c>
      <c r="F48" s="187" t="b">
        <v>0</v>
      </c>
      <c r="G48" s="187"/>
      <c r="H48" s="187"/>
      <c r="I48" s="187"/>
      <c r="J48" s="187"/>
      <c r="K48" s="2" t="b">
        <f>AND(Tableau21[[#This Row],[Timing Locked]]="ok", Tableau21[[#This Row],[Export Cam]]="ok", Tableau21[[#This Row],[Export Env]]="ok")</f>
        <v>0</v>
      </c>
      <c r="L48" s="187"/>
    </row>
    <row r="49" spans="1:12" ht="33.75" customHeight="1" x14ac:dyDescent="0.25">
      <c r="A49" s="3" t="str">
        <f>metaSHOTS[[#This Row],[Shot]]</f>
        <v>040_045</v>
      </c>
      <c r="B49" s="2" t="e" vm="46">
        <f>metaSHOTS[[#This Row],[Thumbnail]]</f>
        <v>#VALUE!</v>
      </c>
      <c r="C49" s="2">
        <f>metaSHOTS[[#This Row],[Start]]</f>
        <v>1</v>
      </c>
      <c r="D49" s="2">
        <f>metaSHOTS[[#This Row],[End]]</f>
        <v>55</v>
      </c>
      <c r="E49" s="2">
        <f>metaSHOTS[[#This Row],[Duration]]</f>
        <v>55</v>
      </c>
      <c r="F49" s="187" t="b">
        <v>0</v>
      </c>
      <c r="G49" s="187"/>
      <c r="H49" s="187"/>
      <c r="I49" s="187"/>
      <c r="J49" s="187"/>
      <c r="K49" s="2" t="b">
        <f>AND(Tableau21[[#This Row],[Timing Locked]]="ok", Tableau21[[#This Row],[Export Cam]]="ok", Tableau21[[#This Row],[Export Env]]="ok")</f>
        <v>0</v>
      </c>
      <c r="L49" s="187"/>
    </row>
    <row r="50" spans="1:12" ht="33.75" customHeight="1" x14ac:dyDescent="0.25">
      <c r="A50" s="3" t="str">
        <f>metaSHOTS[[#This Row],[Shot]]</f>
        <v>040_135</v>
      </c>
      <c r="B50" s="2" t="e" vm="47">
        <f>metaSHOTS[[#This Row],[Thumbnail]]</f>
        <v>#VALUE!</v>
      </c>
      <c r="C50" s="2">
        <f>metaSHOTS[[#This Row],[Start]]</f>
        <v>1</v>
      </c>
      <c r="D50" s="2">
        <f>metaSHOTS[[#This Row],[End]]</f>
        <v>126</v>
      </c>
      <c r="E50" s="2">
        <f>metaSHOTS[[#This Row],[Duration]]</f>
        <v>126</v>
      </c>
      <c r="F50" s="187" t="b">
        <v>0</v>
      </c>
      <c r="G50" s="187"/>
      <c r="H50" s="187"/>
      <c r="I50" s="187"/>
      <c r="J50" s="187"/>
      <c r="K50" s="2" t="b">
        <f>AND(Tableau21[[#This Row],[Timing Locked]]="ok", Tableau21[[#This Row],[Export Cam]]="ok", Tableau21[[#This Row],[Export Env]]="ok")</f>
        <v>0</v>
      </c>
      <c r="L50" s="187"/>
    </row>
  </sheetData>
  <sheetProtection algorithmName="SHA-512" hashValue="oSI6l9Cdq8xxBZJ0dgFDjvJ1t3dmE9GUHt48CUH0jAfTa3sxSvO5Yjwa7cAM4LNZtiIAdhVtJ+WiCiDGWWwZkA==" saltValue="+b16nzt36CwKo9z0BIG/rw==" spinCount="100000" sheet="1" selectLockedCells="1" autoFilter="0"/>
  <mergeCells count="1">
    <mergeCell ref="A1:J2"/>
  </mergeCells>
  <conditionalFormatting sqref="G4:J50">
    <cfRule type="containsText" dxfId="36" priority="1" operator="containsText" text="N/A">
      <formula>NOT(ISERROR(SEARCH("N/A",G4)))</formula>
    </cfRule>
    <cfRule type="containsText" dxfId="35" priority="5" operator="containsText" text="ok">
      <formula>NOT(ISERROR(SEARCH("ok",G4)))</formula>
    </cfRule>
  </conditionalFormatting>
  <conditionalFormatting sqref="G4:K50">
    <cfRule type="expression" dxfId="34" priority="4">
      <formula>$F4=FALSE</formula>
    </cfRule>
  </conditionalFormatting>
  <conditionalFormatting sqref="K4:K46">
    <cfRule type="containsText" dxfId="33" priority="3" operator="containsText" text="VRAI">
      <formula>NOT(ISERROR(SEARCH("VRAI",K4)))</formula>
    </cfRule>
  </conditionalFormatting>
  <conditionalFormatting sqref="K4:K50">
    <cfRule type="containsText" dxfId="32" priority="2" operator="containsText" text="FAUX">
      <formula>NOT(ISERROR(SEARCH("FAUX",K4)))</formula>
    </cfRule>
  </conditionalFormatting>
  <pageMargins left="0.7" right="0.7" top="0.75" bottom="0.75" header="0.3" footer="0.3"/>
  <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75E018AF-E4D8-4177-813D-43C6A5EBF83F}">
          <x14:formula1>
            <xm:f>_data_!$R$15:$R$16</xm:f>
          </x14:formula1>
          <xm:sqref>F4:F50</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A06FC-8CCB-4C9B-B1BC-C05C3894D528}">
  <sheetPr codeName="Feuil12">
    <tabColor rgb="FFBF246D"/>
  </sheetPr>
  <dimension ref="A1:R52"/>
  <sheetViews>
    <sheetView showGridLines="0" showRowColHeaders="0" zoomScaleNormal="100" workbookViewId="0">
      <pane ySplit="3" topLeftCell="A22" activePane="bottomLeft" state="frozen"/>
      <selection activeCell="L41" sqref="L41"/>
      <selection pane="bottomLeft" activeCell="N31" sqref="N31"/>
    </sheetView>
  </sheetViews>
  <sheetFormatPr baseColWidth="10" defaultColWidth="16" defaultRowHeight="30" customHeight="1" x14ac:dyDescent="0.25"/>
  <cols>
    <col min="1" max="16" width="13.5703125" style="2" customWidth="1"/>
    <col min="17" max="17" width="89.5703125" style="2" customWidth="1"/>
    <col min="18" max="16384" width="16" style="2"/>
  </cols>
  <sheetData>
    <row r="1" spans="1:18" s="146" customFormat="1" ht="41.25" customHeight="1" x14ac:dyDescent="0.25">
      <c r="A1" s="295" t="s">
        <v>373</v>
      </c>
      <c r="B1" s="295"/>
      <c r="C1" s="295"/>
      <c r="D1" s="295"/>
      <c r="E1" s="295"/>
      <c r="F1" s="295"/>
      <c r="G1" s="295"/>
      <c r="H1" s="295"/>
      <c r="I1" s="295"/>
      <c r="K1" s="144" t="s">
        <v>297</v>
      </c>
      <c r="L1" s="145">
        <v>0.5</v>
      </c>
      <c r="M1" s="145">
        <v>0.3</v>
      </c>
      <c r="N1" s="145">
        <v>0.2</v>
      </c>
      <c r="O1" s="144"/>
    </row>
    <row r="2" spans="1:18" s="146" customFormat="1" ht="41.25" customHeight="1" x14ac:dyDescent="0.25">
      <c r="A2" s="295"/>
      <c r="B2" s="295"/>
      <c r="C2" s="295"/>
      <c r="D2" s="295"/>
      <c r="E2" s="295"/>
      <c r="F2" s="295"/>
      <c r="G2" s="295"/>
      <c r="H2" s="295"/>
      <c r="I2" s="295"/>
      <c r="K2" s="146" t="s">
        <v>298</v>
      </c>
      <c r="L2" s="147" cm="1">
        <f t="array" ref="L2">IF(L52="Done", "Done",L1*SUM(render[Estimated]*(1-render[3D])))</f>
        <v>37.150000000000006</v>
      </c>
      <c r="M2" s="147" cm="1">
        <f t="array" ref="M2">IF(M52="Done", "Done",M1*SUM(render[[Estimated]:[Estimated]]*(1-render[Crowd])))</f>
        <v>16.2</v>
      </c>
      <c r="N2" s="147" cm="1">
        <f t="array" ref="N2">IF(N52="Done", "Done",N1*SUM(render[[Estimated]:[Estimated]]*(1-render[2D])))</f>
        <v>18.75</v>
      </c>
    </row>
    <row r="3" spans="1:18" ht="23.25" customHeight="1" x14ac:dyDescent="0.25">
      <c r="A3" s="2" t="s">
        <v>343</v>
      </c>
      <c r="B3" s="2" t="s">
        <v>300</v>
      </c>
      <c r="C3" s="2" t="s">
        <v>301</v>
      </c>
      <c r="D3" s="2" t="s">
        <v>302</v>
      </c>
      <c r="E3" s="2" t="s">
        <v>344</v>
      </c>
      <c r="F3" s="2" t="s">
        <v>345</v>
      </c>
      <c r="G3" s="2" t="s">
        <v>346</v>
      </c>
      <c r="H3" s="2" t="s">
        <v>303</v>
      </c>
      <c r="I3" s="2" t="s">
        <v>6</v>
      </c>
      <c r="J3" s="2" t="s">
        <v>269</v>
      </c>
      <c r="K3" s="2" t="s">
        <v>304</v>
      </c>
      <c r="L3" s="171" t="s">
        <v>374</v>
      </c>
      <c r="M3" s="171" t="s">
        <v>375</v>
      </c>
      <c r="N3" s="171" t="s">
        <v>376</v>
      </c>
      <c r="O3" s="2" t="s">
        <v>295</v>
      </c>
      <c r="P3" s="2" t="s">
        <v>308</v>
      </c>
      <c r="Q3" s="2" t="s">
        <v>270</v>
      </c>
      <c r="R3" s="2" t="s">
        <v>377</v>
      </c>
    </row>
    <row r="4" spans="1:18" ht="30" customHeight="1" x14ac:dyDescent="0.25">
      <c r="A4" s="3" t="str">
        <f>metaSHOTS[[#This Row],[Shot]]</f>
        <v>000_010</v>
      </c>
      <c r="B4" s="2" t="e" vm="1">
        <f>metaSHOTS[[#This Row],[Thumbnail]]</f>
        <v>#VALUE!</v>
      </c>
      <c r="C4" s="86" t="b">
        <v>0</v>
      </c>
      <c r="D4" s="186" t="s">
        <v>324</v>
      </c>
      <c r="E4" s="2">
        <f>metaSHOTS[[#This Row],[Start]]</f>
        <v>1</v>
      </c>
      <c r="F4" s="2">
        <f>metaSHOTS[[#This Row],[End]]</f>
        <v>339</v>
      </c>
      <c r="G4" s="2">
        <f>metaSHOTS[[#This Row],[Duration]]</f>
        <v>339</v>
      </c>
      <c r="H4" s="189" t="s">
        <v>312</v>
      </c>
      <c r="I4" s="8" t="s">
        <v>16</v>
      </c>
      <c r="J4"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4" s="2">
        <v>1</v>
      </c>
      <c r="L4" s="185">
        <v>0.9</v>
      </c>
      <c r="M4" s="185">
        <v>1</v>
      </c>
      <c r="N4" s="185">
        <v>1</v>
      </c>
      <c r="O4" s="90" cm="1">
        <f t="array" ref="O4">SUM(render[[#This Row],[3D]:[2D]]*render_ponderation)</f>
        <v>0.95</v>
      </c>
      <c r="P4" s="84">
        <f>(1-render[[#This Row],[Progress]])*render[[#This Row],[Estimated]]</f>
        <v>5.0000000000000044E-2</v>
      </c>
      <c r="Q4" s="221"/>
      <c r="R4" s="187"/>
    </row>
    <row r="5" spans="1:18" ht="30" customHeight="1" x14ac:dyDescent="0.25">
      <c r="A5" s="3" t="str">
        <f>metaSHOTS[[#This Row],[Shot]]</f>
        <v>010_010</v>
      </c>
      <c r="B5" s="2" t="e" vm="2">
        <f>metaSHOTS[[#This Row],[Thumbnail]]</f>
        <v>#VALUE!</v>
      </c>
      <c r="C5" s="86" t="b">
        <v>0</v>
      </c>
      <c r="D5" s="186" t="s">
        <v>324</v>
      </c>
      <c r="E5" s="2">
        <f>metaSHOTS[[#This Row],[Start]]</f>
        <v>1</v>
      </c>
      <c r="F5" s="2">
        <f>metaSHOTS[[#This Row],[End]]</f>
        <v>93</v>
      </c>
      <c r="G5" s="2">
        <f>metaSHOTS[[#This Row],[Duration]]</f>
        <v>93</v>
      </c>
      <c r="H5" s="189" t="s">
        <v>312</v>
      </c>
      <c r="I5" s="8" t="s">
        <v>16</v>
      </c>
      <c r="J5"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5" s="2">
        <v>4</v>
      </c>
      <c r="L5" s="185">
        <v>0.9</v>
      </c>
      <c r="M5" s="185">
        <v>1</v>
      </c>
      <c r="N5" s="185">
        <v>0</v>
      </c>
      <c r="O5" s="90" cm="1">
        <f t="array" ref="O5">SUM(render[[#This Row],[3D]:[2D]]*render_ponderation)</f>
        <v>0.75</v>
      </c>
      <c r="P5" s="84">
        <f>(1-render[[#This Row],[Progress]])*render[[#This Row],[Estimated]]</f>
        <v>1</v>
      </c>
      <c r="Q5" s="221"/>
      <c r="R5" s="187" t="s">
        <v>378</v>
      </c>
    </row>
    <row r="6" spans="1:18" ht="30" customHeight="1" x14ac:dyDescent="0.25">
      <c r="A6" s="3" t="str">
        <f>metaSHOTS[[#This Row],[Shot]]</f>
        <v>010_040</v>
      </c>
      <c r="B6" s="2" t="e" vm="3">
        <f>metaSHOTS[[#This Row],[Thumbnail]]</f>
        <v>#VALUE!</v>
      </c>
      <c r="C6" s="86" t="b">
        <v>0</v>
      </c>
      <c r="D6" s="186" t="s">
        <v>324</v>
      </c>
      <c r="E6" s="2">
        <f>metaSHOTS[[#This Row],[Start]]</f>
        <v>1</v>
      </c>
      <c r="F6" s="2">
        <f>metaSHOTS[[#This Row],[End]]</f>
        <v>111</v>
      </c>
      <c r="G6" s="2">
        <f>metaSHOTS[[#This Row],[Duration]]</f>
        <v>111</v>
      </c>
      <c r="H6" s="189" t="s">
        <v>312</v>
      </c>
      <c r="I6" s="8" t="s">
        <v>16</v>
      </c>
      <c r="J6"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6" s="2">
        <v>2</v>
      </c>
      <c r="L6" s="185">
        <v>1</v>
      </c>
      <c r="M6" s="185">
        <v>1</v>
      </c>
      <c r="N6" s="185">
        <v>0.5</v>
      </c>
      <c r="O6" s="90" cm="1">
        <f t="array" ref="O6">SUM(render[[#This Row],[3D]:[2D]]*render_ponderation)</f>
        <v>0.9</v>
      </c>
      <c r="P6" s="84">
        <f>(1-render[[#This Row],[Progress]])*render[[#This Row],[Estimated]]</f>
        <v>0.19999999999999996</v>
      </c>
      <c r="Q6" s="221"/>
      <c r="R6" s="187" t="s">
        <v>378</v>
      </c>
    </row>
    <row r="7" spans="1:18" ht="30" customHeight="1" x14ac:dyDescent="0.25">
      <c r="A7" s="3" t="str">
        <f>metaSHOTS[[#This Row],[Shot]]</f>
        <v>010_050</v>
      </c>
      <c r="B7" s="2" t="e" vm="4">
        <f>metaSHOTS[[#This Row],[Thumbnail]]</f>
        <v>#VALUE!</v>
      </c>
      <c r="C7" s="86" t="b">
        <v>0</v>
      </c>
      <c r="D7" s="186" t="s">
        <v>324</v>
      </c>
      <c r="E7" s="2">
        <f>metaSHOTS[[#This Row],[Start]]</f>
        <v>1</v>
      </c>
      <c r="F7" s="2">
        <f>metaSHOTS[[#This Row],[End]]</f>
        <v>65</v>
      </c>
      <c r="G7" s="2">
        <f>metaSHOTS[[#This Row],[Duration]]</f>
        <v>65</v>
      </c>
      <c r="H7" s="189" t="s">
        <v>311</v>
      </c>
      <c r="I7" s="8" t="s">
        <v>16</v>
      </c>
      <c r="J7"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7" s="2">
        <v>3</v>
      </c>
      <c r="L7" s="185">
        <v>1</v>
      </c>
      <c r="M7" s="185">
        <v>1</v>
      </c>
      <c r="N7" s="185">
        <v>0.5</v>
      </c>
      <c r="O7" s="90" cm="1">
        <f t="array" ref="O7">SUM(render[[#This Row],[3D]:[2D]]*render_ponderation)</f>
        <v>0.9</v>
      </c>
      <c r="P7" s="84">
        <f>(1-render[[#This Row],[Progress]])*render[[#This Row],[Estimated]]</f>
        <v>0.29999999999999993</v>
      </c>
      <c r="Q7" s="221"/>
      <c r="R7" s="187" t="s">
        <v>378</v>
      </c>
    </row>
    <row r="8" spans="1:18" ht="30" customHeight="1" x14ac:dyDescent="0.25">
      <c r="A8" s="3" t="str">
        <f>metaSHOTS[[#This Row],[Shot]]</f>
        <v>010_060</v>
      </c>
      <c r="B8" s="2" t="e" vm="5">
        <f>metaSHOTS[[#This Row],[Thumbnail]]</f>
        <v>#VALUE!</v>
      </c>
      <c r="C8" s="86" t="b">
        <v>0</v>
      </c>
      <c r="D8" s="186" t="s">
        <v>324</v>
      </c>
      <c r="E8" s="2">
        <f>metaSHOTS[[#This Row],[Start]]</f>
        <v>1</v>
      </c>
      <c r="F8" s="2">
        <f>metaSHOTS[[#This Row],[End]]</f>
        <v>76</v>
      </c>
      <c r="G8" s="2">
        <f>metaSHOTS[[#This Row],[Duration]]</f>
        <v>76</v>
      </c>
      <c r="H8" s="189" t="s">
        <v>311</v>
      </c>
      <c r="I8" s="8" t="s">
        <v>16</v>
      </c>
      <c r="J8"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Pending Review</v>
      </c>
      <c r="K8" s="2">
        <v>3</v>
      </c>
      <c r="L8" s="185">
        <v>1</v>
      </c>
      <c r="M8" s="185">
        <v>1</v>
      </c>
      <c r="N8" s="185">
        <v>1</v>
      </c>
      <c r="O8" s="90" cm="1">
        <f t="array" ref="O8">SUM(render[[#This Row],[3D]:[2D]]*render_ponderation)</f>
        <v>1</v>
      </c>
      <c r="P8" s="84">
        <f>(1-render[[#This Row],[Progress]])*render[[#This Row],[Estimated]]</f>
        <v>0</v>
      </c>
      <c r="Q8" s="221"/>
      <c r="R8" s="187"/>
    </row>
    <row r="9" spans="1:18" ht="30" customHeight="1" x14ac:dyDescent="0.25">
      <c r="A9" s="3" t="str">
        <f>metaSHOTS[[#This Row],[Shot]]</f>
        <v>010_070</v>
      </c>
      <c r="B9" s="2" t="e" vm="6">
        <f>metaSHOTS[[#This Row],[Thumbnail]]</f>
        <v>#VALUE!</v>
      </c>
      <c r="C9" s="86" t="b">
        <v>0</v>
      </c>
      <c r="D9" s="186" t="s">
        <v>324</v>
      </c>
      <c r="E9" s="2">
        <f>metaSHOTS[[#This Row],[Start]]</f>
        <v>1</v>
      </c>
      <c r="F9" s="2">
        <f>metaSHOTS[[#This Row],[End]]</f>
        <v>41</v>
      </c>
      <c r="G9" s="2">
        <f>metaSHOTS[[#This Row],[Duration]]</f>
        <v>41</v>
      </c>
      <c r="H9" s="189" t="s">
        <v>312</v>
      </c>
      <c r="I9" s="8" t="s">
        <v>16</v>
      </c>
      <c r="J9"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9" s="2">
        <v>1</v>
      </c>
      <c r="L9" s="185">
        <v>1</v>
      </c>
      <c r="M9" s="185">
        <v>1</v>
      </c>
      <c r="N9" s="185">
        <v>0.5</v>
      </c>
      <c r="O9" s="90" cm="1">
        <f t="array" ref="O9">SUM(render[[#This Row],[3D]:[2D]]*render_ponderation)</f>
        <v>0.9</v>
      </c>
      <c r="P9" s="84">
        <f>(1-render[[#This Row],[Progress]])*render[[#This Row],[Estimated]]</f>
        <v>9.9999999999999978E-2</v>
      </c>
      <c r="Q9" s="221"/>
      <c r="R9" s="187"/>
    </row>
    <row r="10" spans="1:18" ht="30" customHeight="1" x14ac:dyDescent="0.25">
      <c r="A10" s="3" t="str">
        <f>metaSHOTS[[#This Row],[Shot]]</f>
        <v>010_080</v>
      </c>
      <c r="B10" s="2" t="e" vm="7">
        <f>metaSHOTS[[#This Row],[Thumbnail]]</f>
        <v>#VALUE!</v>
      </c>
      <c r="C10" s="86" t="b">
        <v>0</v>
      </c>
      <c r="D10" s="186" t="s">
        <v>324</v>
      </c>
      <c r="E10" s="2">
        <f>metaSHOTS[[#This Row],[Start]]</f>
        <v>1</v>
      </c>
      <c r="F10" s="2">
        <f>metaSHOTS[[#This Row],[End]]</f>
        <v>18</v>
      </c>
      <c r="G10" s="2">
        <f>metaSHOTS[[#This Row],[Duration]]</f>
        <v>18</v>
      </c>
      <c r="H10" s="189" t="s">
        <v>312</v>
      </c>
      <c r="I10" s="8" t="s">
        <v>16</v>
      </c>
      <c r="J10"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10" s="2">
        <v>1</v>
      </c>
      <c r="L10" s="185">
        <v>1</v>
      </c>
      <c r="M10" s="185">
        <v>1</v>
      </c>
      <c r="N10" s="185">
        <v>0.5</v>
      </c>
      <c r="O10" s="90" cm="1">
        <f t="array" ref="O10">SUM(render[[#This Row],[3D]:[2D]]*render_ponderation)</f>
        <v>0.9</v>
      </c>
      <c r="P10" s="84">
        <f>(1-render[[#This Row],[Progress]])*render[[#This Row],[Estimated]]</f>
        <v>9.9999999999999978E-2</v>
      </c>
      <c r="Q10" s="221"/>
      <c r="R10" s="187"/>
    </row>
    <row r="11" spans="1:18" ht="30" customHeight="1" x14ac:dyDescent="0.25">
      <c r="A11" s="3" t="str">
        <f>metaSHOTS[[#This Row],[Shot]]</f>
        <v>010_090</v>
      </c>
      <c r="B11" s="2" t="e" vm="8">
        <f>metaSHOTS[[#This Row],[Thumbnail]]</f>
        <v>#VALUE!</v>
      </c>
      <c r="C11" s="86" t="b">
        <v>0</v>
      </c>
      <c r="D11" s="186" t="s">
        <v>324</v>
      </c>
      <c r="E11" s="2">
        <f>metaSHOTS[[#This Row],[Start]]</f>
        <v>2</v>
      </c>
      <c r="F11" s="2">
        <f>metaSHOTS[[#This Row],[End]]</f>
        <v>9</v>
      </c>
      <c r="G11" s="2">
        <f>metaSHOTS[[#This Row],[Duration]]</f>
        <v>8</v>
      </c>
      <c r="H11" s="189" t="s">
        <v>312</v>
      </c>
      <c r="I11" s="8" t="s">
        <v>16</v>
      </c>
      <c r="J11"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11" s="2">
        <v>0.5</v>
      </c>
      <c r="L11" s="185">
        <v>1</v>
      </c>
      <c r="M11" s="185">
        <v>1</v>
      </c>
      <c r="N11" s="185">
        <v>0.5</v>
      </c>
      <c r="O11" s="90" cm="1">
        <f t="array" ref="O11">SUM(render[[#This Row],[3D]:[2D]]*render_ponderation)</f>
        <v>0.9</v>
      </c>
      <c r="P11" s="84">
        <f>(1-render[[#This Row],[Progress]])*render[[#This Row],[Estimated]]</f>
        <v>4.9999999999999989E-2</v>
      </c>
      <c r="Q11" s="221"/>
      <c r="R11" s="187" t="s">
        <v>378</v>
      </c>
    </row>
    <row r="12" spans="1:18" ht="30" customHeight="1" x14ac:dyDescent="0.25">
      <c r="A12" s="3" t="str">
        <f>metaSHOTS[[#This Row],[Shot]]</f>
        <v>010_100</v>
      </c>
      <c r="B12" s="2" t="e" vm="9">
        <f>metaSHOTS[[#This Row],[Thumbnail]]</f>
        <v>#VALUE!</v>
      </c>
      <c r="C12" s="86" t="b">
        <v>0</v>
      </c>
      <c r="D12" s="186" t="s">
        <v>324</v>
      </c>
      <c r="E12" s="2">
        <f>metaSHOTS[[#This Row],[Start]]</f>
        <v>1</v>
      </c>
      <c r="F12" s="2">
        <f>metaSHOTS[[#This Row],[End]]</f>
        <v>75</v>
      </c>
      <c r="G12" s="2">
        <f>metaSHOTS[[#This Row],[Duration]]</f>
        <v>75</v>
      </c>
      <c r="H12" s="189" t="s">
        <v>311</v>
      </c>
      <c r="I12" s="8" t="s">
        <v>16</v>
      </c>
      <c r="J12"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Pending Review</v>
      </c>
      <c r="K12" s="2">
        <v>2</v>
      </c>
      <c r="L12" s="185">
        <v>1</v>
      </c>
      <c r="M12" s="185">
        <v>1</v>
      </c>
      <c r="N12" s="185">
        <v>1</v>
      </c>
      <c r="O12" s="90" cm="1">
        <f t="array" ref="O12">SUM(render[[#This Row],[3D]:[2D]]*render_ponderation)</f>
        <v>1</v>
      </c>
      <c r="P12" s="84">
        <f>(1-render[[#This Row],[Progress]])*render[[#This Row],[Estimated]]</f>
        <v>0</v>
      </c>
      <c r="Q12" s="221"/>
      <c r="R12" s="187"/>
    </row>
    <row r="13" spans="1:18" ht="30" customHeight="1" x14ac:dyDescent="0.25">
      <c r="A13" s="3" t="str">
        <f>metaSHOTS[[#This Row],[Shot]]</f>
        <v>010_110</v>
      </c>
      <c r="B13" s="2" t="e" vm="10">
        <f>metaSHOTS[[#This Row],[Thumbnail]]</f>
        <v>#VALUE!</v>
      </c>
      <c r="C13" s="86" t="b">
        <v>0</v>
      </c>
      <c r="D13" s="186" t="s">
        <v>324</v>
      </c>
      <c r="E13" s="2">
        <f>metaSHOTS[[#This Row],[Start]]</f>
        <v>1</v>
      </c>
      <c r="F13" s="2">
        <f>metaSHOTS[[#This Row],[End]]</f>
        <v>52</v>
      </c>
      <c r="G13" s="2">
        <f>metaSHOTS[[#This Row],[Duration]]</f>
        <v>52</v>
      </c>
      <c r="H13" s="189" t="s">
        <v>311</v>
      </c>
      <c r="I13" s="8" t="s">
        <v>16</v>
      </c>
      <c r="J13"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Pending Review</v>
      </c>
      <c r="K13" s="2">
        <v>3</v>
      </c>
      <c r="L13" s="185">
        <v>1</v>
      </c>
      <c r="M13" s="185">
        <v>1</v>
      </c>
      <c r="N13" s="185">
        <v>1</v>
      </c>
      <c r="O13" s="90" cm="1">
        <f t="array" ref="O13">SUM(render[[#This Row],[3D]:[2D]]*render_ponderation)</f>
        <v>1</v>
      </c>
      <c r="P13" s="84">
        <f>(1-render[[#This Row],[Progress]])*render[[#This Row],[Estimated]]</f>
        <v>0</v>
      </c>
      <c r="Q13" s="221"/>
      <c r="R13" s="187"/>
    </row>
    <row r="14" spans="1:18" ht="30" customHeight="1" x14ac:dyDescent="0.25">
      <c r="A14" s="3" t="str">
        <f>metaSHOTS[[#This Row],[Shot]]</f>
        <v>010_160</v>
      </c>
      <c r="B14" s="2" t="e" vm="11">
        <f>metaSHOTS[[#This Row],[Thumbnail]]</f>
        <v>#VALUE!</v>
      </c>
      <c r="C14" s="86" t="b">
        <v>0</v>
      </c>
      <c r="D14" s="186" t="s">
        <v>324</v>
      </c>
      <c r="E14" s="2">
        <f>metaSHOTS[[#This Row],[Start]]</f>
        <v>1</v>
      </c>
      <c r="F14" s="2">
        <f>metaSHOTS[[#This Row],[End]]</f>
        <v>21</v>
      </c>
      <c r="G14" s="2">
        <f>metaSHOTS[[#This Row],[Duration]]</f>
        <v>21</v>
      </c>
      <c r="H14" s="189" t="s">
        <v>311</v>
      </c>
      <c r="I14" s="8" t="s">
        <v>16</v>
      </c>
      <c r="J14"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14" s="2">
        <v>2</v>
      </c>
      <c r="L14" s="185">
        <v>1</v>
      </c>
      <c r="M14" s="185">
        <v>1</v>
      </c>
      <c r="N14" s="185">
        <v>0.5</v>
      </c>
      <c r="O14" s="90" cm="1">
        <f t="array" ref="O14">SUM(render[[#This Row],[3D]:[2D]]*render_ponderation)</f>
        <v>0.9</v>
      </c>
      <c r="P14" s="84">
        <f>(1-render[[#This Row],[Progress]])*render[[#This Row],[Estimated]]</f>
        <v>0.19999999999999996</v>
      </c>
      <c r="Q14" s="221"/>
      <c r="R14" s="187" t="s">
        <v>378</v>
      </c>
    </row>
    <row r="15" spans="1:18" ht="30" customHeight="1" x14ac:dyDescent="0.25">
      <c r="A15" s="3" t="str">
        <f>metaSHOTS[[#This Row],[Shot]]</f>
        <v>010_170</v>
      </c>
      <c r="B15" s="2" t="e" vm="12">
        <f>metaSHOTS[[#This Row],[Thumbnail]]</f>
        <v>#VALUE!</v>
      </c>
      <c r="C15" s="86" t="b">
        <v>0</v>
      </c>
      <c r="D15" s="186" t="s">
        <v>324</v>
      </c>
      <c r="E15" s="2">
        <f>metaSHOTS[[#This Row],[Start]]</f>
        <v>1</v>
      </c>
      <c r="F15" s="2">
        <f>metaSHOTS[[#This Row],[End]]</f>
        <v>17</v>
      </c>
      <c r="G15" s="2">
        <f>metaSHOTS[[#This Row],[Duration]]</f>
        <v>17</v>
      </c>
      <c r="H15" s="189" t="s">
        <v>311</v>
      </c>
      <c r="I15" s="8" t="s">
        <v>16</v>
      </c>
      <c r="J15"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15" s="2">
        <v>2</v>
      </c>
      <c r="L15" s="185">
        <v>1</v>
      </c>
      <c r="M15" s="185">
        <v>1</v>
      </c>
      <c r="N15" s="185">
        <v>0.5</v>
      </c>
      <c r="O15" s="90" cm="1">
        <f t="array" ref="O15">SUM(render[[#This Row],[3D]:[2D]]*render_ponderation)</f>
        <v>0.9</v>
      </c>
      <c r="P15" s="84">
        <f>(1-render[[#This Row],[Progress]])*render[[#This Row],[Estimated]]</f>
        <v>0.19999999999999996</v>
      </c>
      <c r="Q15" s="221"/>
      <c r="R15" s="187"/>
    </row>
    <row r="16" spans="1:18" ht="30" customHeight="1" x14ac:dyDescent="0.25">
      <c r="A16" s="3" t="str">
        <f>metaSHOTS[[#This Row],[Shot]]</f>
        <v>010_180</v>
      </c>
      <c r="B16" s="2" t="e" vm="13">
        <f>metaSHOTS[[#This Row],[Thumbnail]]</f>
        <v>#VALUE!</v>
      </c>
      <c r="C16" s="86" t="b">
        <v>0</v>
      </c>
      <c r="D16" s="186" t="s">
        <v>324</v>
      </c>
      <c r="E16" s="2">
        <f>metaSHOTS[[#This Row],[Start]]</f>
        <v>1</v>
      </c>
      <c r="F16" s="2">
        <f>metaSHOTS[[#This Row],[End]]</f>
        <v>124</v>
      </c>
      <c r="G16" s="2">
        <f>metaSHOTS[[#This Row],[Duration]]</f>
        <v>124</v>
      </c>
      <c r="H16" s="189" t="s">
        <v>311</v>
      </c>
      <c r="I16" s="8" t="s">
        <v>16</v>
      </c>
      <c r="J16"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16" s="2">
        <v>2</v>
      </c>
      <c r="L16" s="185">
        <v>1</v>
      </c>
      <c r="M16" s="185">
        <v>1</v>
      </c>
      <c r="N16" s="185">
        <v>0.5</v>
      </c>
      <c r="O16" s="90" cm="1">
        <f t="array" ref="O16">SUM(render[[#This Row],[3D]:[2D]]*render_ponderation)</f>
        <v>0.9</v>
      </c>
      <c r="P16" s="84">
        <f>(1-render[[#This Row],[Progress]])*render[[#This Row],[Estimated]]</f>
        <v>0.19999999999999996</v>
      </c>
      <c r="Q16" s="221"/>
      <c r="R16" s="187"/>
    </row>
    <row r="17" spans="1:18" ht="30" customHeight="1" x14ac:dyDescent="0.25">
      <c r="A17" s="3" t="str">
        <f>metaSHOTS[[#This Row],[Shot]]</f>
        <v>010_190</v>
      </c>
      <c r="B17" s="2" t="e" vm="14">
        <f>metaSHOTS[[#This Row],[Thumbnail]]</f>
        <v>#VALUE!</v>
      </c>
      <c r="C17" s="86" t="b">
        <v>0</v>
      </c>
      <c r="D17" s="186" t="s">
        <v>324</v>
      </c>
      <c r="E17" s="2">
        <f>metaSHOTS[[#This Row],[Start]]</f>
        <v>1</v>
      </c>
      <c r="F17" s="2">
        <f>metaSHOTS[[#This Row],[End]]</f>
        <v>121</v>
      </c>
      <c r="G17" s="2">
        <f>metaSHOTS[[#This Row],[Duration]]</f>
        <v>121</v>
      </c>
      <c r="H17" s="189" t="s">
        <v>312</v>
      </c>
      <c r="I17" s="8" t="s">
        <v>16</v>
      </c>
      <c r="J17"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17" s="2">
        <v>3</v>
      </c>
      <c r="L17" s="185">
        <v>1</v>
      </c>
      <c r="M17" s="185">
        <v>1</v>
      </c>
      <c r="N17" s="185">
        <v>0.5</v>
      </c>
      <c r="O17" s="90" cm="1">
        <f t="array" ref="O17">SUM(render[[#This Row],[3D]:[2D]]*render_ponderation)</f>
        <v>0.9</v>
      </c>
      <c r="P17" s="84">
        <f>(1-render[[#This Row],[Progress]])*render[[#This Row],[Estimated]]</f>
        <v>0.29999999999999993</v>
      </c>
      <c r="Q17" s="221"/>
      <c r="R17" s="187"/>
    </row>
    <row r="18" spans="1:18" ht="30" customHeight="1" x14ac:dyDescent="0.25">
      <c r="A18" s="3" t="str">
        <f>metaSHOTS[[#This Row],[Shot]]</f>
        <v>010_200</v>
      </c>
      <c r="B18" s="2" t="e" vm="15">
        <f>metaSHOTS[[#This Row],[Thumbnail]]</f>
        <v>#VALUE!</v>
      </c>
      <c r="C18" s="86" t="b">
        <v>0</v>
      </c>
      <c r="D18" s="186" t="s">
        <v>324</v>
      </c>
      <c r="E18" s="2">
        <f>metaSHOTS[[#This Row],[Start]]</f>
        <v>1</v>
      </c>
      <c r="F18" s="2">
        <f>metaSHOTS[[#This Row],[End]]</f>
        <v>121</v>
      </c>
      <c r="G18" s="2">
        <f>metaSHOTS[[#This Row],[Duration]]</f>
        <v>121</v>
      </c>
      <c r="H18" s="189" t="s">
        <v>311</v>
      </c>
      <c r="I18" s="8" t="s">
        <v>16</v>
      </c>
      <c r="J18"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Needs Fix</v>
      </c>
      <c r="K18" s="2">
        <v>2</v>
      </c>
      <c r="L18" s="185">
        <v>1</v>
      </c>
      <c r="M18" s="185">
        <v>1</v>
      </c>
      <c r="N18" s="185">
        <v>1</v>
      </c>
      <c r="O18" s="90" cm="1">
        <f t="array" ref="O18">SUM(render[[#This Row],[3D]:[2D]]*render_ponderation)</f>
        <v>1</v>
      </c>
      <c r="P18" s="84">
        <f>(1-render[[#This Row],[Progress]])*render[[#This Row],[Estimated]]</f>
        <v>0</v>
      </c>
      <c r="Q18" s="221" t="s">
        <v>379</v>
      </c>
      <c r="R18" s="187" t="s">
        <v>378</v>
      </c>
    </row>
    <row r="19" spans="1:18" ht="30" customHeight="1" x14ac:dyDescent="0.25">
      <c r="A19" s="3" t="str">
        <f>metaSHOTS[[#This Row],[Shot]]</f>
        <v>020_020</v>
      </c>
      <c r="B19" s="2" t="e" vm="16">
        <f>metaSHOTS[[#This Row],[Thumbnail]]</f>
        <v>#VALUE!</v>
      </c>
      <c r="C19" s="86" t="b">
        <v>0</v>
      </c>
      <c r="D19" s="186" t="s">
        <v>324</v>
      </c>
      <c r="E19" s="2">
        <f>metaSHOTS[[#This Row],[Start]]</f>
        <v>1</v>
      </c>
      <c r="F19" s="2">
        <f>metaSHOTS[[#This Row],[End]]</f>
        <v>102</v>
      </c>
      <c r="G19" s="2">
        <f>metaSHOTS[[#This Row],[Duration]]</f>
        <v>102</v>
      </c>
      <c r="H19" s="189" t="s">
        <v>312</v>
      </c>
      <c r="I19" s="8" t="s">
        <v>16</v>
      </c>
      <c r="J19"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Needs Fix</v>
      </c>
      <c r="K19" s="2">
        <v>2</v>
      </c>
      <c r="L19" s="185">
        <v>1</v>
      </c>
      <c r="M19" s="185">
        <v>1</v>
      </c>
      <c r="N19" s="185">
        <v>0</v>
      </c>
      <c r="O19" s="90" cm="1">
        <f t="array" ref="O19">SUM(render[[#This Row],[3D]:[2D]]*render_ponderation)</f>
        <v>0.8</v>
      </c>
      <c r="P19" s="84">
        <f>(1-render[[#This Row],[Progress]])*render[[#This Row],[Estimated]]</f>
        <v>0.39999999999999991</v>
      </c>
      <c r="Q19" s="221" t="s">
        <v>380</v>
      </c>
      <c r="R19" s="187"/>
    </row>
    <row r="20" spans="1:18" ht="30" customHeight="1" x14ac:dyDescent="0.25">
      <c r="A20" s="3" t="str">
        <f>metaSHOTS[[#This Row],[Shot]]</f>
        <v>020_030</v>
      </c>
      <c r="B20" s="2" t="e" vm="17">
        <f>metaSHOTS[[#This Row],[Thumbnail]]</f>
        <v>#VALUE!</v>
      </c>
      <c r="C20" s="86" t="b">
        <v>0</v>
      </c>
      <c r="D20" s="186" t="s">
        <v>324</v>
      </c>
      <c r="E20" s="2">
        <f>metaSHOTS[[#This Row],[Start]]</f>
        <v>1</v>
      </c>
      <c r="F20" s="2">
        <f>metaSHOTS[[#This Row],[End]]</f>
        <v>107</v>
      </c>
      <c r="G20" s="2">
        <f>metaSHOTS[[#This Row],[Duration]]</f>
        <v>107</v>
      </c>
      <c r="H20" s="189" t="s">
        <v>312</v>
      </c>
      <c r="I20" s="8" t="s">
        <v>16</v>
      </c>
      <c r="J20"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0" s="2">
        <v>2</v>
      </c>
      <c r="L20" s="185">
        <v>1</v>
      </c>
      <c r="M20" s="185">
        <v>1</v>
      </c>
      <c r="N20" s="185">
        <v>0</v>
      </c>
      <c r="O20" s="90" cm="1">
        <f t="array" ref="O20">SUM(render[[#This Row],[3D]:[2D]]*render_ponderation)</f>
        <v>0.8</v>
      </c>
      <c r="P20" s="84">
        <f>(1-render[[#This Row],[Progress]])*render[[#This Row],[Estimated]]</f>
        <v>0.39999999999999991</v>
      </c>
      <c r="Q20" s="221"/>
      <c r="R20" s="187"/>
    </row>
    <row r="21" spans="1:18" ht="30" customHeight="1" x14ac:dyDescent="0.25">
      <c r="A21" s="3" t="str">
        <f>metaSHOTS[[#This Row],[Shot]]</f>
        <v>020_040</v>
      </c>
      <c r="B21" s="2" t="e" vm="18">
        <f>metaSHOTS[[#This Row],[Thumbnail]]</f>
        <v>#VALUE!</v>
      </c>
      <c r="C21" s="86" t="b">
        <v>0</v>
      </c>
      <c r="D21" s="186" t="s">
        <v>324</v>
      </c>
      <c r="E21" s="2">
        <f>metaSHOTS[[#This Row],[Start]]</f>
        <v>1</v>
      </c>
      <c r="F21" s="2">
        <f>metaSHOTS[[#This Row],[End]]</f>
        <v>43</v>
      </c>
      <c r="G21" s="2">
        <f>metaSHOTS[[#This Row],[Duration]]</f>
        <v>43</v>
      </c>
      <c r="H21" s="189" t="s">
        <v>312</v>
      </c>
      <c r="I21" s="8" t="s">
        <v>16</v>
      </c>
      <c r="J21"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Needs Fix</v>
      </c>
      <c r="K21" s="2">
        <v>3</v>
      </c>
      <c r="L21" s="185">
        <v>1</v>
      </c>
      <c r="M21" s="185">
        <v>1</v>
      </c>
      <c r="N21" s="185">
        <v>0</v>
      </c>
      <c r="O21" s="90" cm="1">
        <f t="array" ref="O21">SUM(render[[#This Row],[3D]:[2D]]*render_ponderation)</f>
        <v>0.8</v>
      </c>
      <c r="P21" s="84">
        <f>(1-render[[#This Row],[Progress]])*render[[#This Row],[Estimated]]</f>
        <v>0.59999999999999987</v>
      </c>
      <c r="Q21" s="221" t="s">
        <v>381</v>
      </c>
      <c r="R21" s="187"/>
    </row>
    <row r="22" spans="1:18" ht="30" customHeight="1" x14ac:dyDescent="0.25">
      <c r="A22" s="3" t="str">
        <f>metaSHOTS[[#This Row],[Shot]]</f>
        <v>020_050</v>
      </c>
      <c r="B22" s="2" t="e" vm="19">
        <f>metaSHOTS[[#This Row],[Thumbnail]]</f>
        <v>#VALUE!</v>
      </c>
      <c r="C22" s="86" t="b">
        <v>0</v>
      </c>
      <c r="D22" s="186" t="s">
        <v>324</v>
      </c>
      <c r="E22" s="2">
        <f>metaSHOTS[[#This Row],[Start]]</f>
        <v>1</v>
      </c>
      <c r="F22" s="2">
        <f>metaSHOTS[[#This Row],[End]]</f>
        <v>227</v>
      </c>
      <c r="G22" s="2">
        <f>metaSHOTS[[#This Row],[Duration]]</f>
        <v>227</v>
      </c>
      <c r="H22" s="189" t="s">
        <v>312</v>
      </c>
      <c r="I22" s="8" t="s">
        <v>16</v>
      </c>
      <c r="J22"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2" s="2">
        <v>2</v>
      </c>
      <c r="L22" s="185">
        <v>0.5</v>
      </c>
      <c r="M22" s="185">
        <v>1</v>
      </c>
      <c r="N22" s="185">
        <v>0</v>
      </c>
      <c r="O22" s="90" cm="1">
        <f t="array" ref="O22">SUM(render[[#This Row],[3D]:[2D]]*render_ponderation)</f>
        <v>0.55000000000000004</v>
      </c>
      <c r="P22" s="84">
        <f>(1-render[[#This Row],[Progress]])*render[[#This Row],[Estimated]]</f>
        <v>0.89999999999999991</v>
      </c>
      <c r="Q22" s="221"/>
      <c r="R22" s="187"/>
    </row>
    <row r="23" spans="1:18" ht="30" customHeight="1" x14ac:dyDescent="0.25">
      <c r="A23" s="3" t="str">
        <f>metaSHOTS[[#This Row],[Shot]]</f>
        <v>030_020</v>
      </c>
      <c r="B23" s="2" t="e" vm="20">
        <f>metaSHOTS[[#This Row],[Thumbnail]]</f>
        <v>#VALUE!</v>
      </c>
      <c r="C23" s="86" t="b">
        <v>0</v>
      </c>
      <c r="D23" s="186" t="s">
        <v>324</v>
      </c>
      <c r="E23" s="2">
        <f>metaSHOTS[[#This Row],[Start]]</f>
        <v>1</v>
      </c>
      <c r="F23" s="2">
        <f>metaSHOTS[[#This Row],[End]]</f>
        <v>290</v>
      </c>
      <c r="G23" s="2">
        <f>metaSHOTS[[#This Row],[Duration]]</f>
        <v>290</v>
      </c>
      <c r="H23" s="189" t="s">
        <v>312</v>
      </c>
      <c r="I23" s="8" t="s">
        <v>16</v>
      </c>
      <c r="J23"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3" s="2">
        <v>5</v>
      </c>
      <c r="L23" s="185">
        <v>0</v>
      </c>
      <c r="M23" s="185">
        <v>1</v>
      </c>
      <c r="N23" s="185">
        <v>0</v>
      </c>
      <c r="O23" s="90" cm="1">
        <f t="array" ref="O23">SUM(render[[#This Row],[3D]:[2D]]*render_ponderation)</f>
        <v>0.3</v>
      </c>
      <c r="P23" s="84">
        <f>(1-render[[#This Row],[Progress]])*render[[#This Row],[Estimated]]</f>
        <v>3.5</v>
      </c>
      <c r="Q23" s="221"/>
      <c r="R23" s="187"/>
    </row>
    <row r="24" spans="1:18" ht="30" customHeight="1" x14ac:dyDescent="0.25">
      <c r="A24" s="3" t="str">
        <f>metaSHOTS[[#This Row],[Shot]]</f>
        <v>030_030</v>
      </c>
      <c r="B24" s="2" t="e" vm="21">
        <f>metaSHOTS[[#This Row],[Thumbnail]]</f>
        <v>#VALUE!</v>
      </c>
      <c r="C24" s="86" t="b">
        <v>0</v>
      </c>
      <c r="D24" s="186" t="s">
        <v>324</v>
      </c>
      <c r="E24" s="2">
        <f>metaSHOTS[[#This Row],[Start]]</f>
        <v>1</v>
      </c>
      <c r="F24" s="2">
        <f>metaSHOTS[[#This Row],[End]]</f>
        <v>141</v>
      </c>
      <c r="G24" s="2">
        <f>metaSHOTS[[#This Row],[Duration]]</f>
        <v>141</v>
      </c>
      <c r="H24" s="189" t="s">
        <v>312</v>
      </c>
      <c r="I24" s="8" t="s">
        <v>16</v>
      </c>
      <c r="J24"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4" s="2">
        <v>1</v>
      </c>
      <c r="L24" s="185">
        <v>0.8</v>
      </c>
      <c r="M24" s="185">
        <v>1</v>
      </c>
      <c r="N24" s="185">
        <v>1</v>
      </c>
      <c r="O24" s="90" cm="1">
        <f t="array" ref="O24">SUM(render[[#This Row],[3D]:[2D]]*render_ponderation)</f>
        <v>0.89999999999999991</v>
      </c>
      <c r="P24" s="84">
        <f>(1-render[[#This Row],[Progress]])*render[[#This Row],[Estimated]]</f>
        <v>0.10000000000000009</v>
      </c>
      <c r="Q24" s="221"/>
      <c r="R24" s="187" t="s">
        <v>378</v>
      </c>
    </row>
    <row r="25" spans="1:18" ht="30" customHeight="1" x14ac:dyDescent="0.25">
      <c r="A25" s="3" t="str">
        <f>metaSHOTS[[#This Row],[Shot]]</f>
        <v>030_040</v>
      </c>
      <c r="B25" s="2" t="e" vm="22">
        <f>metaSHOTS[[#This Row],[Thumbnail]]</f>
        <v>#VALUE!</v>
      </c>
      <c r="C25" s="86" t="b">
        <v>0</v>
      </c>
      <c r="D25" s="186" t="s">
        <v>324</v>
      </c>
      <c r="E25" s="2">
        <f>metaSHOTS[[#This Row],[Start]]</f>
        <v>1</v>
      </c>
      <c r="F25" s="2">
        <f>metaSHOTS[[#This Row],[End]]</f>
        <v>133</v>
      </c>
      <c r="G25" s="2">
        <f>metaSHOTS[[#This Row],[Duration]]</f>
        <v>133</v>
      </c>
      <c r="H25" s="189" t="s">
        <v>312</v>
      </c>
      <c r="I25" s="8" t="s">
        <v>16</v>
      </c>
      <c r="J25"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5" s="2">
        <v>1.5</v>
      </c>
      <c r="L25" s="185">
        <v>0</v>
      </c>
      <c r="M25" s="185">
        <v>1</v>
      </c>
      <c r="N25" s="185">
        <v>0</v>
      </c>
      <c r="O25" s="90" cm="1">
        <f t="array" ref="O25">SUM(render[[#This Row],[3D]:[2D]]*render_ponderation)</f>
        <v>0.3</v>
      </c>
      <c r="P25" s="84">
        <f>(1-render[[#This Row],[Progress]])*render[[#This Row],[Estimated]]</f>
        <v>1.0499999999999998</v>
      </c>
      <c r="Q25" s="221"/>
      <c r="R25" s="187"/>
    </row>
    <row r="26" spans="1:18" ht="30" customHeight="1" x14ac:dyDescent="0.25">
      <c r="A26" s="3" t="str">
        <f>metaSHOTS[[#This Row],[Shot]]</f>
        <v>030_060</v>
      </c>
      <c r="B26" s="2" t="e" vm="23">
        <f>metaSHOTS[[#This Row],[Thumbnail]]</f>
        <v>#VALUE!</v>
      </c>
      <c r="C26" s="86" t="b">
        <v>0</v>
      </c>
      <c r="D26" s="186" t="s">
        <v>324</v>
      </c>
      <c r="E26" s="2">
        <f>metaSHOTS[[#This Row],[Start]]</f>
        <v>1</v>
      </c>
      <c r="F26" s="2">
        <f>metaSHOTS[[#This Row],[End]]</f>
        <v>93</v>
      </c>
      <c r="G26" s="2">
        <f>metaSHOTS[[#This Row],[Duration]]</f>
        <v>93</v>
      </c>
      <c r="H26" s="189" t="s">
        <v>312</v>
      </c>
      <c r="I26" s="8" t="s">
        <v>16</v>
      </c>
      <c r="J26"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6" s="2">
        <v>2</v>
      </c>
      <c r="L26" s="185">
        <v>0</v>
      </c>
      <c r="M26" s="185">
        <v>1</v>
      </c>
      <c r="N26" s="185">
        <v>0</v>
      </c>
      <c r="O26" s="90" cm="1">
        <f t="array" ref="O26">SUM(render[[#This Row],[3D]:[2D]]*render_ponderation)</f>
        <v>0.3</v>
      </c>
      <c r="P26" s="84">
        <f>(1-render[[#This Row],[Progress]])*render[[#This Row],[Estimated]]</f>
        <v>1.4</v>
      </c>
      <c r="Q26" s="221"/>
      <c r="R26" s="187"/>
    </row>
    <row r="27" spans="1:18" ht="30" customHeight="1" x14ac:dyDescent="0.25">
      <c r="A27" s="3" t="str">
        <f>metaSHOTS[[#This Row],[Shot]]</f>
        <v>030_070</v>
      </c>
      <c r="B27" s="2" t="e" vm="24">
        <f>metaSHOTS[[#This Row],[Thumbnail]]</f>
        <v>#VALUE!</v>
      </c>
      <c r="C27" s="86" t="b">
        <v>0</v>
      </c>
      <c r="D27" s="186" t="s">
        <v>324</v>
      </c>
      <c r="E27" s="2">
        <f>metaSHOTS[[#This Row],[Start]]</f>
        <v>1</v>
      </c>
      <c r="F27" s="2">
        <f>metaSHOTS[[#This Row],[End]]</f>
        <v>19</v>
      </c>
      <c r="G27" s="2">
        <f>metaSHOTS[[#This Row],[Duration]]</f>
        <v>19</v>
      </c>
      <c r="H27" s="189" t="s">
        <v>312</v>
      </c>
      <c r="I27" s="8" t="s">
        <v>16</v>
      </c>
      <c r="J27"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7" s="2">
        <v>2</v>
      </c>
      <c r="L27" s="185">
        <v>0</v>
      </c>
      <c r="M27" s="185">
        <v>1</v>
      </c>
      <c r="N27" s="185">
        <v>0</v>
      </c>
      <c r="O27" s="90" cm="1">
        <f t="array" ref="O27">SUM(render[[#This Row],[3D]:[2D]]*render_ponderation)</f>
        <v>0.3</v>
      </c>
      <c r="P27" s="84">
        <f>(1-render[[#This Row],[Progress]])*render[[#This Row],[Estimated]]</f>
        <v>1.4</v>
      </c>
      <c r="Q27" s="221"/>
      <c r="R27" s="187" t="s">
        <v>378</v>
      </c>
    </row>
    <row r="28" spans="1:18" ht="30" customHeight="1" x14ac:dyDescent="0.25">
      <c r="A28" s="3" t="str">
        <f>metaSHOTS[[#This Row],[Shot]]</f>
        <v>030_080</v>
      </c>
      <c r="B28" s="2" t="e" vm="25">
        <f>metaSHOTS[[#This Row],[Thumbnail]]</f>
        <v>#VALUE!</v>
      </c>
      <c r="C28" s="86" t="b">
        <v>0</v>
      </c>
      <c r="D28" s="186" t="s">
        <v>324</v>
      </c>
      <c r="E28" s="2">
        <f>metaSHOTS[[#This Row],[Start]]</f>
        <v>1</v>
      </c>
      <c r="F28" s="2">
        <f>metaSHOTS[[#This Row],[End]]</f>
        <v>51</v>
      </c>
      <c r="G28" s="2">
        <f>metaSHOTS[[#This Row],[Duration]]</f>
        <v>51</v>
      </c>
      <c r="H28" s="189" t="s">
        <v>312</v>
      </c>
      <c r="I28" s="8" t="s">
        <v>16</v>
      </c>
      <c r="J28"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8" s="2">
        <v>3</v>
      </c>
      <c r="L28" s="185">
        <v>0</v>
      </c>
      <c r="M28" s="185">
        <v>1</v>
      </c>
      <c r="N28" s="185">
        <v>0</v>
      </c>
      <c r="O28" s="90" cm="1">
        <f t="array" ref="O28">SUM(render[[#This Row],[3D]:[2D]]*render_ponderation)</f>
        <v>0.3</v>
      </c>
      <c r="P28" s="84">
        <f>(1-render[[#This Row],[Progress]])*render[[#This Row],[Estimated]]</f>
        <v>2.0999999999999996</v>
      </c>
      <c r="Q28" s="221"/>
      <c r="R28" s="187"/>
    </row>
    <row r="29" spans="1:18" ht="30" customHeight="1" x14ac:dyDescent="0.25">
      <c r="A29" s="3" t="str">
        <f>metaSHOTS[[#This Row],[Shot]]</f>
        <v>030_100</v>
      </c>
      <c r="B29" s="2" t="e" vm="26">
        <f>metaSHOTS[[#This Row],[Thumbnail]]</f>
        <v>#VALUE!</v>
      </c>
      <c r="C29" s="86" t="b">
        <v>0</v>
      </c>
      <c r="D29" s="186" t="s">
        <v>324</v>
      </c>
      <c r="E29" s="2">
        <f>metaSHOTS[[#This Row],[Start]]</f>
        <v>1</v>
      </c>
      <c r="F29" s="2">
        <f>metaSHOTS[[#This Row],[End]]</f>
        <v>87</v>
      </c>
      <c r="G29" s="2">
        <f>metaSHOTS[[#This Row],[Duration]]</f>
        <v>87</v>
      </c>
      <c r="H29" s="189" t="s">
        <v>312</v>
      </c>
      <c r="I29" s="8" t="s">
        <v>16</v>
      </c>
      <c r="J29"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29" s="2">
        <v>3</v>
      </c>
      <c r="L29" s="185">
        <v>0</v>
      </c>
      <c r="M29" s="185">
        <v>1</v>
      </c>
      <c r="N29" s="185">
        <v>0</v>
      </c>
      <c r="O29" s="90" cm="1">
        <f t="array" ref="O29">SUM(render[[#This Row],[3D]:[2D]]*render_ponderation)</f>
        <v>0.3</v>
      </c>
      <c r="P29" s="84">
        <f>(1-render[[#This Row],[Progress]])*render[[#This Row],[Estimated]]</f>
        <v>2.0999999999999996</v>
      </c>
      <c r="Q29" s="221"/>
      <c r="R29" s="187"/>
    </row>
    <row r="30" spans="1:18" ht="30" customHeight="1" x14ac:dyDescent="0.25">
      <c r="A30" s="3" t="str">
        <f>metaSHOTS[[#This Row],[Shot]]</f>
        <v>030_110</v>
      </c>
      <c r="B30" s="2" t="e" vm="27">
        <f>metaSHOTS[[#This Row],[Thumbnail]]</f>
        <v>#VALUE!</v>
      </c>
      <c r="C30" s="86" t="b">
        <v>0</v>
      </c>
      <c r="D30" s="186" t="s">
        <v>324</v>
      </c>
      <c r="E30" s="2">
        <f>metaSHOTS[[#This Row],[Start]]</f>
        <v>1</v>
      </c>
      <c r="F30" s="2">
        <f>metaSHOTS[[#This Row],[End]]</f>
        <v>64</v>
      </c>
      <c r="G30" s="2">
        <f>metaSHOTS[[#This Row],[Duration]]</f>
        <v>64</v>
      </c>
      <c r="H30" s="189" t="s">
        <v>312</v>
      </c>
      <c r="I30" s="8" t="s">
        <v>16</v>
      </c>
      <c r="J30"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30" s="2">
        <v>2</v>
      </c>
      <c r="L30" s="185">
        <v>0</v>
      </c>
      <c r="M30" s="185">
        <v>1</v>
      </c>
      <c r="N30" s="185">
        <v>0</v>
      </c>
      <c r="O30" s="90" cm="1">
        <f t="array" ref="O30">SUM(render[[#This Row],[3D]:[2D]]*render_ponderation)</f>
        <v>0.3</v>
      </c>
      <c r="P30" s="84">
        <f>(1-render[[#This Row],[Progress]])*render[[#This Row],[Estimated]]</f>
        <v>1.4</v>
      </c>
      <c r="Q30" s="221"/>
      <c r="R30" s="187"/>
    </row>
    <row r="31" spans="1:18" ht="30" customHeight="1" x14ac:dyDescent="0.25">
      <c r="A31" s="3" t="str">
        <f>metaSHOTS[[#This Row],[Shot]]</f>
        <v>030_120</v>
      </c>
      <c r="B31" s="2" t="e" vm="28">
        <f>metaSHOTS[[#This Row],[Thumbnail]]</f>
        <v>#VALUE!</v>
      </c>
      <c r="C31" s="86" t="b">
        <v>0</v>
      </c>
      <c r="D31" s="186" t="s">
        <v>324</v>
      </c>
      <c r="E31" s="2">
        <f>metaSHOTS[[#This Row],[Start]]</f>
        <v>1</v>
      </c>
      <c r="F31" s="2">
        <f>metaSHOTS[[#This Row],[End]]</f>
        <v>71</v>
      </c>
      <c r="G31" s="2">
        <f>metaSHOTS[[#This Row],[Duration]]</f>
        <v>71</v>
      </c>
      <c r="H31" s="189" t="s">
        <v>312</v>
      </c>
      <c r="I31" s="8" t="s">
        <v>16</v>
      </c>
      <c r="J31"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1" s="2">
        <v>2</v>
      </c>
      <c r="L31" s="185">
        <v>0</v>
      </c>
      <c r="M31" s="185">
        <v>0</v>
      </c>
      <c r="N31" s="185">
        <v>0</v>
      </c>
      <c r="O31" s="90" cm="1">
        <f t="array" ref="O31">SUM(render[[#This Row],[3D]:[2D]]*render_ponderation)</f>
        <v>0</v>
      </c>
      <c r="P31" s="84">
        <f>(1-render[[#This Row],[Progress]])*render[[#This Row],[Estimated]]</f>
        <v>2</v>
      </c>
      <c r="Q31" s="221"/>
      <c r="R31" s="187"/>
    </row>
    <row r="32" spans="1:18" ht="30" customHeight="1" x14ac:dyDescent="0.25">
      <c r="A32" s="3" t="str">
        <f>metaSHOTS[[#This Row],[Shot]]</f>
        <v>030_130</v>
      </c>
      <c r="B32" s="2" t="e" vm="29">
        <f>metaSHOTS[[#This Row],[Thumbnail]]</f>
        <v>#VALUE!</v>
      </c>
      <c r="C32" s="86" t="b">
        <v>0</v>
      </c>
      <c r="D32" s="186" t="s">
        <v>324</v>
      </c>
      <c r="E32" s="2">
        <f>metaSHOTS[[#This Row],[Start]]</f>
        <v>1</v>
      </c>
      <c r="F32" s="2">
        <f>metaSHOTS[[#This Row],[End]]</f>
        <v>46</v>
      </c>
      <c r="G32" s="2">
        <f>metaSHOTS[[#This Row],[Duration]]</f>
        <v>46</v>
      </c>
      <c r="H32" s="189" t="s">
        <v>312</v>
      </c>
      <c r="I32" s="8" t="s">
        <v>16</v>
      </c>
      <c r="J32"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2" s="2">
        <v>2</v>
      </c>
      <c r="L32" s="185">
        <v>0</v>
      </c>
      <c r="M32" s="185">
        <v>0</v>
      </c>
      <c r="N32" s="185">
        <v>0</v>
      </c>
      <c r="O32" s="90" cm="1">
        <f t="array" ref="O32">SUM(render[[#This Row],[3D]:[2D]]*render_ponderation)</f>
        <v>0</v>
      </c>
      <c r="P32" s="84">
        <f>(1-render[[#This Row],[Progress]])*render[[#This Row],[Estimated]]</f>
        <v>2</v>
      </c>
      <c r="Q32" s="221"/>
      <c r="R32" s="187"/>
    </row>
    <row r="33" spans="1:18" ht="30" customHeight="1" x14ac:dyDescent="0.25">
      <c r="A33" s="3" t="str">
        <f>metaSHOTS[[#This Row],[Shot]]</f>
        <v>030_140</v>
      </c>
      <c r="B33" s="2" t="e" vm="30">
        <f>metaSHOTS[[#This Row],[Thumbnail]]</f>
        <v>#VALUE!</v>
      </c>
      <c r="C33" s="86" t="b">
        <v>0</v>
      </c>
      <c r="D33" s="186" t="s">
        <v>324</v>
      </c>
      <c r="E33" s="2">
        <f>metaSHOTS[[#This Row],[Start]]</f>
        <v>1</v>
      </c>
      <c r="F33" s="2">
        <f>metaSHOTS[[#This Row],[End]]</f>
        <v>29</v>
      </c>
      <c r="G33" s="2">
        <f>metaSHOTS[[#This Row],[Duration]]</f>
        <v>29</v>
      </c>
      <c r="H33" s="189" t="s">
        <v>312</v>
      </c>
      <c r="I33" s="8" t="s">
        <v>16</v>
      </c>
      <c r="J33"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3" s="2">
        <v>2</v>
      </c>
      <c r="L33" s="185">
        <v>0</v>
      </c>
      <c r="M33" s="185">
        <v>0</v>
      </c>
      <c r="N33" s="185">
        <v>0</v>
      </c>
      <c r="O33" s="90" cm="1">
        <f t="array" ref="O33">SUM(render[[#This Row],[3D]:[2D]]*render_ponderation)</f>
        <v>0</v>
      </c>
      <c r="P33" s="84">
        <f>(1-render[[#This Row],[Progress]])*render[[#This Row],[Estimated]]</f>
        <v>2</v>
      </c>
      <c r="Q33" s="221"/>
      <c r="R33" s="187"/>
    </row>
    <row r="34" spans="1:18" ht="30" customHeight="1" x14ac:dyDescent="0.25">
      <c r="A34" s="3" t="str">
        <f>metaSHOTS[[#This Row],[Shot]]</f>
        <v>030_150</v>
      </c>
      <c r="B34" s="2" t="e" vm="31">
        <f>metaSHOTS[[#This Row],[Thumbnail]]</f>
        <v>#VALUE!</v>
      </c>
      <c r="C34" s="86" t="b">
        <v>0</v>
      </c>
      <c r="D34" s="186" t="s">
        <v>324</v>
      </c>
      <c r="E34" s="2">
        <f>metaSHOTS[[#This Row],[Start]]</f>
        <v>1</v>
      </c>
      <c r="F34" s="2">
        <f>metaSHOTS[[#This Row],[End]]</f>
        <v>19</v>
      </c>
      <c r="G34" s="2">
        <f>metaSHOTS[[#This Row],[Duration]]</f>
        <v>19</v>
      </c>
      <c r="H34" s="189" t="s">
        <v>312</v>
      </c>
      <c r="I34" s="8" t="s">
        <v>16</v>
      </c>
      <c r="J34"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4" s="2">
        <v>2</v>
      </c>
      <c r="L34" s="185">
        <v>0</v>
      </c>
      <c r="M34" s="185">
        <v>0</v>
      </c>
      <c r="N34" s="185">
        <v>0</v>
      </c>
      <c r="O34" s="90" cm="1">
        <f t="array" ref="O34">SUM(render[[#This Row],[3D]:[2D]]*render_ponderation)</f>
        <v>0</v>
      </c>
      <c r="P34" s="84">
        <f>(1-render[[#This Row],[Progress]])*render[[#This Row],[Estimated]]</f>
        <v>2</v>
      </c>
      <c r="Q34" s="221"/>
      <c r="R34" s="187"/>
    </row>
    <row r="35" spans="1:18" ht="30" customHeight="1" x14ac:dyDescent="0.25">
      <c r="A35" s="3" t="str">
        <f>metaSHOTS[[#This Row],[Shot]]</f>
        <v>040_010</v>
      </c>
      <c r="B35" s="2" t="e" vm="32">
        <f>metaSHOTS[[#This Row],[Thumbnail]]</f>
        <v>#VALUE!</v>
      </c>
      <c r="C35" s="86" t="b">
        <v>0</v>
      </c>
      <c r="D35" s="186" t="s">
        <v>324</v>
      </c>
      <c r="E35" s="2">
        <f>metaSHOTS[[#This Row],[Start]]</f>
        <v>20</v>
      </c>
      <c r="F35" s="2">
        <f>metaSHOTS[[#This Row],[End]]</f>
        <v>108</v>
      </c>
      <c r="G35" s="2">
        <f>metaSHOTS[[#This Row],[Duration]]</f>
        <v>89</v>
      </c>
      <c r="H35" s="189" t="s">
        <v>312</v>
      </c>
      <c r="I35" s="8" t="s">
        <v>16</v>
      </c>
      <c r="J35"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5" s="2">
        <v>2</v>
      </c>
      <c r="L35" s="185">
        <v>0</v>
      </c>
      <c r="M35" s="185">
        <v>0</v>
      </c>
      <c r="N35" s="185">
        <v>0</v>
      </c>
      <c r="O35" s="90" cm="1">
        <f t="array" ref="O35">SUM(render[[#This Row],[3D]:[2D]]*render_ponderation)</f>
        <v>0</v>
      </c>
      <c r="P35" s="84">
        <f>(1-render[[#This Row],[Progress]])*render[[#This Row],[Estimated]]</f>
        <v>2</v>
      </c>
      <c r="Q35" s="221"/>
      <c r="R35" s="187"/>
    </row>
    <row r="36" spans="1:18" ht="30" customHeight="1" x14ac:dyDescent="0.25">
      <c r="A36" s="3" t="str">
        <f>metaSHOTS[[#This Row],[Shot]]</f>
        <v>040_020</v>
      </c>
      <c r="B36" s="2" t="e" vm="33">
        <f>metaSHOTS[[#This Row],[Thumbnail]]</f>
        <v>#VALUE!</v>
      </c>
      <c r="C36" s="86" t="b">
        <v>0</v>
      </c>
      <c r="D36" s="186" t="s">
        <v>324</v>
      </c>
      <c r="E36" s="2">
        <f>metaSHOTS[[#This Row],[Start]]</f>
        <v>1</v>
      </c>
      <c r="F36" s="2">
        <f>metaSHOTS[[#This Row],[End]]</f>
        <v>150</v>
      </c>
      <c r="G36" s="2">
        <f>metaSHOTS[[#This Row],[Duration]]</f>
        <v>150</v>
      </c>
      <c r="H36" s="189" t="s">
        <v>312</v>
      </c>
      <c r="I36" s="8" t="s">
        <v>16</v>
      </c>
      <c r="J36"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6" s="2">
        <v>1.5</v>
      </c>
      <c r="L36" s="185">
        <v>0</v>
      </c>
      <c r="M36" s="185">
        <v>0</v>
      </c>
      <c r="N36" s="185">
        <v>0</v>
      </c>
      <c r="O36" s="90" cm="1">
        <f t="array" ref="O36">SUM(render[[#This Row],[3D]:[2D]]*render_ponderation)</f>
        <v>0</v>
      </c>
      <c r="P36" s="84">
        <f>(1-render[[#This Row],[Progress]])*render[[#This Row],[Estimated]]</f>
        <v>1.5</v>
      </c>
      <c r="Q36" s="221"/>
      <c r="R36" s="187"/>
    </row>
    <row r="37" spans="1:18" ht="30" customHeight="1" x14ac:dyDescent="0.25">
      <c r="A37" s="3" t="str">
        <f>metaSHOTS[[#This Row],[Shot]]</f>
        <v>040_030</v>
      </c>
      <c r="B37" s="2" t="e" vm="34">
        <f>metaSHOTS[[#This Row],[Thumbnail]]</f>
        <v>#VALUE!</v>
      </c>
      <c r="C37" s="86" t="b">
        <v>0</v>
      </c>
      <c r="D37" s="186" t="s">
        <v>324</v>
      </c>
      <c r="E37" s="2">
        <f>metaSHOTS[[#This Row],[Start]]</f>
        <v>1</v>
      </c>
      <c r="F37" s="2">
        <f>metaSHOTS[[#This Row],[End]]</f>
        <v>115</v>
      </c>
      <c r="G37" s="2">
        <f>metaSHOTS[[#This Row],[Duration]]</f>
        <v>115</v>
      </c>
      <c r="H37" s="189" t="s">
        <v>312</v>
      </c>
      <c r="I37" s="8" t="s">
        <v>16</v>
      </c>
      <c r="J37"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7" s="2">
        <v>4</v>
      </c>
      <c r="L37" s="185">
        <v>0</v>
      </c>
      <c r="M37" s="185">
        <v>0</v>
      </c>
      <c r="N37" s="185">
        <v>0</v>
      </c>
      <c r="O37" s="90" cm="1">
        <f t="array" ref="O37">SUM(render[[#This Row],[3D]:[2D]]*render_ponderation)</f>
        <v>0</v>
      </c>
      <c r="P37" s="84">
        <f>(1-render[[#This Row],[Progress]])*render[[#This Row],[Estimated]]</f>
        <v>4</v>
      </c>
      <c r="Q37" s="221"/>
      <c r="R37" s="187"/>
    </row>
    <row r="38" spans="1:18" ht="30" customHeight="1" x14ac:dyDescent="0.25">
      <c r="A38" s="3" t="str">
        <f>metaSHOTS[[#This Row],[Shot]]</f>
        <v>040_040</v>
      </c>
      <c r="B38" s="2" t="e" vm="35">
        <f>metaSHOTS[[#This Row],[Thumbnail]]</f>
        <v>#VALUE!</v>
      </c>
      <c r="C38" s="86" t="b">
        <v>0</v>
      </c>
      <c r="D38" s="186" t="s">
        <v>324</v>
      </c>
      <c r="E38" s="2">
        <f>metaSHOTS[[#This Row],[Start]]</f>
        <v>1</v>
      </c>
      <c r="F38" s="2">
        <f>metaSHOTS[[#This Row],[End]]</f>
        <v>81</v>
      </c>
      <c r="G38" s="2">
        <f>metaSHOTS[[#This Row],[Duration]]</f>
        <v>81</v>
      </c>
      <c r="H38" s="189" t="s">
        <v>312</v>
      </c>
      <c r="I38" s="8" t="s">
        <v>16</v>
      </c>
      <c r="J38"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8" s="2">
        <v>1.5</v>
      </c>
      <c r="L38" s="185">
        <v>0</v>
      </c>
      <c r="M38" s="185">
        <v>0</v>
      </c>
      <c r="N38" s="185">
        <v>0</v>
      </c>
      <c r="O38" s="90" cm="1">
        <f t="array" ref="O38">SUM(render[[#This Row],[3D]:[2D]]*render_ponderation)</f>
        <v>0</v>
      </c>
      <c r="P38" s="84">
        <f>(1-render[[#This Row],[Progress]])*render[[#This Row],[Estimated]]</f>
        <v>1.5</v>
      </c>
      <c r="Q38" s="221"/>
      <c r="R38" s="187" t="s">
        <v>378</v>
      </c>
    </row>
    <row r="39" spans="1:18" ht="30" customHeight="1" x14ac:dyDescent="0.25">
      <c r="A39" s="3" t="str">
        <f>metaSHOTS[[#This Row],[Shot]]</f>
        <v>040_050</v>
      </c>
      <c r="B39" s="2" t="e" vm="36">
        <f>metaSHOTS[[#This Row],[Thumbnail]]</f>
        <v>#VALUE!</v>
      </c>
      <c r="C39" s="86" t="b">
        <v>0</v>
      </c>
      <c r="D39" s="186" t="s">
        <v>324</v>
      </c>
      <c r="E39" s="2">
        <f>metaSHOTS[[#This Row],[Start]]</f>
        <v>1</v>
      </c>
      <c r="F39" s="2">
        <f>metaSHOTS[[#This Row],[End]]</f>
        <v>79</v>
      </c>
      <c r="G39" s="2">
        <f>metaSHOTS[[#This Row],[Duration]]</f>
        <v>79</v>
      </c>
      <c r="H39" s="189" t="s">
        <v>312</v>
      </c>
      <c r="I39" s="8" t="s">
        <v>16</v>
      </c>
      <c r="J39"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39" s="2">
        <v>2</v>
      </c>
      <c r="L39" s="185">
        <v>0</v>
      </c>
      <c r="M39" s="185">
        <v>0</v>
      </c>
      <c r="N39" s="185">
        <v>0</v>
      </c>
      <c r="O39" s="90" cm="1">
        <f t="array" ref="O39">SUM(render[[#This Row],[3D]:[2D]]*render_ponderation)</f>
        <v>0</v>
      </c>
      <c r="P39" s="84">
        <f>(1-render[[#This Row],[Progress]])*render[[#This Row],[Estimated]]</f>
        <v>2</v>
      </c>
      <c r="Q39" s="221"/>
      <c r="R39" s="187" t="s">
        <v>378</v>
      </c>
    </row>
    <row r="40" spans="1:18" ht="30" customHeight="1" x14ac:dyDescent="0.25">
      <c r="A40" s="3" t="str">
        <f>metaSHOTS[[#This Row],[Shot]]</f>
        <v>040_070</v>
      </c>
      <c r="B40" s="2" t="e" vm="37">
        <f>metaSHOTS[[#This Row],[Thumbnail]]</f>
        <v>#VALUE!</v>
      </c>
      <c r="C40" s="86" t="b">
        <v>0</v>
      </c>
      <c r="D40" s="186" t="s">
        <v>324</v>
      </c>
      <c r="E40" s="2">
        <f>metaSHOTS[[#This Row],[Start]]</f>
        <v>1</v>
      </c>
      <c r="F40" s="2">
        <f>metaSHOTS[[#This Row],[End]]</f>
        <v>39</v>
      </c>
      <c r="G40" s="2">
        <f>metaSHOTS[[#This Row],[Duration]]</f>
        <v>39</v>
      </c>
      <c r="H40" s="189" t="s">
        <v>312</v>
      </c>
      <c r="I40" s="8" t="s">
        <v>16</v>
      </c>
      <c r="J40"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0" s="2">
        <v>2</v>
      </c>
      <c r="L40" s="185">
        <v>0</v>
      </c>
      <c r="M40" s="185">
        <v>0</v>
      </c>
      <c r="N40" s="185">
        <v>0</v>
      </c>
      <c r="O40" s="90" cm="1">
        <f t="array" ref="O40">SUM(render[[#This Row],[3D]:[2D]]*render_ponderation)</f>
        <v>0</v>
      </c>
      <c r="P40" s="84">
        <f>(1-render[[#This Row],[Progress]])*render[[#This Row],[Estimated]]</f>
        <v>2</v>
      </c>
      <c r="Q40" s="221"/>
      <c r="R40" s="187" t="s">
        <v>378</v>
      </c>
    </row>
    <row r="41" spans="1:18" ht="30" customHeight="1" x14ac:dyDescent="0.25">
      <c r="A41" s="3" t="str">
        <f>metaSHOTS[[#This Row],[Shot]]</f>
        <v>040_090</v>
      </c>
      <c r="B41" s="2" t="e" vm="38">
        <f>metaSHOTS[[#This Row],[Thumbnail]]</f>
        <v>#VALUE!</v>
      </c>
      <c r="C41" s="86" t="b">
        <v>0</v>
      </c>
      <c r="D41" s="186" t="s">
        <v>324</v>
      </c>
      <c r="E41" s="2">
        <f>metaSHOTS[[#This Row],[Start]]</f>
        <v>1</v>
      </c>
      <c r="F41" s="2">
        <f>metaSHOTS[[#This Row],[End]]</f>
        <v>63</v>
      </c>
      <c r="G41" s="2">
        <f>metaSHOTS[[#This Row],[Duration]]</f>
        <v>63</v>
      </c>
      <c r="H41" s="189" t="s">
        <v>312</v>
      </c>
      <c r="I41" s="8" t="s">
        <v>16</v>
      </c>
      <c r="J41"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1" s="2">
        <v>2</v>
      </c>
      <c r="L41" s="185">
        <v>0</v>
      </c>
      <c r="M41" s="185">
        <v>0</v>
      </c>
      <c r="N41" s="185">
        <v>0</v>
      </c>
      <c r="O41" s="90" cm="1">
        <f t="array" ref="O41">SUM(render[[#This Row],[3D]:[2D]]*render_ponderation)</f>
        <v>0</v>
      </c>
      <c r="P41" s="84">
        <f>(1-render[[#This Row],[Progress]])*render[[#This Row],[Estimated]]</f>
        <v>2</v>
      </c>
      <c r="Q41" s="221"/>
      <c r="R41" s="187"/>
    </row>
    <row r="42" spans="1:18" ht="30" customHeight="1" x14ac:dyDescent="0.25">
      <c r="A42" s="3" t="str">
        <f>metaSHOTS[[#This Row],[Shot]]</f>
        <v>040_100</v>
      </c>
      <c r="B42" s="2" t="e" vm="39">
        <f>metaSHOTS[[#This Row],[Thumbnail]]</f>
        <v>#VALUE!</v>
      </c>
      <c r="C42" s="86" t="b">
        <v>0</v>
      </c>
      <c r="D42" s="186" t="s">
        <v>324</v>
      </c>
      <c r="E42" s="2">
        <f>metaSHOTS[[#This Row],[Start]]</f>
        <v>1</v>
      </c>
      <c r="F42" s="2">
        <f>metaSHOTS[[#This Row],[End]]</f>
        <v>55</v>
      </c>
      <c r="G42" s="2">
        <f>metaSHOTS[[#This Row],[Duration]]</f>
        <v>55</v>
      </c>
      <c r="H42" s="189" t="s">
        <v>312</v>
      </c>
      <c r="I42" s="8" t="s">
        <v>16</v>
      </c>
      <c r="J42"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2" s="2">
        <v>1</v>
      </c>
      <c r="L42" s="185">
        <v>0</v>
      </c>
      <c r="M42" s="185">
        <v>0</v>
      </c>
      <c r="N42" s="185">
        <v>0</v>
      </c>
      <c r="O42" s="90" cm="1">
        <f t="array" ref="O42">SUM(render[[#This Row],[3D]:[2D]]*render_ponderation)</f>
        <v>0</v>
      </c>
      <c r="P42" s="84">
        <f>(1-render[[#This Row],[Progress]])*render[[#This Row],[Estimated]]</f>
        <v>1</v>
      </c>
      <c r="Q42" s="221"/>
      <c r="R42" s="187"/>
    </row>
    <row r="43" spans="1:18" ht="30" customHeight="1" x14ac:dyDescent="0.25">
      <c r="A43" s="3" t="str">
        <f>metaSHOTS[[#This Row],[Shot]]</f>
        <v>040_110</v>
      </c>
      <c r="B43" s="2" t="e" vm="40">
        <f>metaSHOTS[[#This Row],[Thumbnail]]</f>
        <v>#VALUE!</v>
      </c>
      <c r="C43" s="86" t="b">
        <v>0</v>
      </c>
      <c r="D43" s="186" t="s">
        <v>324</v>
      </c>
      <c r="E43" s="2">
        <f>metaSHOTS[[#This Row],[Start]]</f>
        <v>1</v>
      </c>
      <c r="F43" s="2">
        <f>metaSHOTS[[#This Row],[End]]</f>
        <v>76</v>
      </c>
      <c r="G43" s="2">
        <f>metaSHOTS[[#This Row],[Duration]]</f>
        <v>76</v>
      </c>
      <c r="H43" s="189" t="s">
        <v>312</v>
      </c>
      <c r="I43" s="8" t="s">
        <v>16</v>
      </c>
      <c r="J43"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3" s="2">
        <v>2</v>
      </c>
      <c r="L43" s="185">
        <v>0</v>
      </c>
      <c r="M43" s="185">
        <v>0</v>
      </c>
      <c r="N43" s="185">
        <v>0</v>
      </c>
      <c r="O43" s="90" cm="1">
        <f t="array" ref="O43">SUM(render[[#This Row],[3D]:[2D]]*render_ponderation)</f>
        <v>0</v>
      </c>
      <c r="P43" s="84">
        <f>(1-render[[#This Row],[Progress]])*render[[#This Row],[Estimated]]</f>
        <v>2</v>
      </c>
      <c r="Q43" s="221"/>
      <c r="R43" s="187" t="s">
        <v>378</v>
      </c>
    </row>
    <row r="44" spans="1:18" ht="30" customHeight="1" x14ac:dyDescent="0.25">
      <c r="A44" s="3" t="str">
        <f>metaSHOTS[[#This Row],[Shot]]</f>
        <v>040_120</v>
      </c>
      <c r="B44" s="2" t="e" vm="41">
        <f>metaSHOTS[[#This Row],[Thumbnail]]</f>
        <v>#VALUE!</v>
      </c>
      <c r="C44" s="86" t="b">
        <v>0</v>
      </c>
      <c r="D44" s="186" t="s">
        <v>324</v>
      </c>
      <c r="E44" s="2">
        <f>metaSHOTS[[#This Row],[Start]]</f>
        <v>1</v>
      </c>
      <c r="F44" s="2">
        <f>metaSHOTS[[#This Row],[End]]</f>
        <v>90</v>
      </c>
      <c r="G44" s="2">
        <f>metaSHOTS[[#This Row],[Duration]]</f>
        <v>90</v>
      </c>
      <c r="H44" s="189" t="s">
        <v>312</v>
      </c>
      <c r="I44" s="8" t="s">
        <v>16</v>
      </c>
      <c r="J44"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4" s="2">
        <v>3</v>
      </c>
      <c r="L44" s="185">
        <v>0</v>
      </c>
      <c r="M44" s="185">
        <v>0</v>
      </c>
      <c r="N44" s="185">
        <v>0</v>
      </c>
      <c r="O44" s="90" cm="1">
        <f t="array" ref="O44">SUM(render[[#This Row],[3D]:[2D]]*render_ponderation)</f>
        <v>0</v>
      </c>
      <c r="P44" s="84">
        <f>(1-render[[#This Row],[Progress]])*render[[#This Row],[Estimated]]</f>
        <v>3</v>
      </c>
      <c r="Q44" s="221"/>
      <c r="R44" s="187" t="s">
        <v>378</v>
      </c>
    </row>
    <row r="45" spans="1:18" ht="30" customHeight="1" x14ac:dyDescent="0.25">
      <c r="A45" s="3" t="str">
        <f>metaSHOTS[[#This Row],[Shot]]</f>
        <v>050_005</v>
      </c>
      <c r="B45" s="2" t="e" vm="42">
        <f>metaSHOTS[[#This Row],[Thumbnail]]</f>
        <v>#VALUE!</v>
      </c>
      <c r="C45" s="86" t="b">
        <v>0</v>
      </c>
      <c r="D45" s="186" t="s">
        <v>324</v>
      </c>
      <c r="E45" s="2">
        <f>metaSHOTS[[#This Row],[Start]]</f>
        <v>1</v>
      </c>
      <c r="F45" s="2">
        <f>metaSHOTS[[#This Row],[End]]</f>
        <v>137</v>
      </c>
      <c r="G45" s="2">
        <f>metaSHOTS[[#This Row],[Duration]]</f>
        <v>137</v>
      </c>
      <c r="H45" s="189" t="s">
        <v>312</v>
      </c>
      <c r="I45" s="8" t="s">
        <v>16</v>
      </c>
      <c r="J45"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5" s="2">
        <v>3</v>
      </c>
      <c r="L45" s="185">
        <v>0</v>
      </c>
      <c r="M45" s="185">
        <v>0</v>
      </c>
      <c r="N45" s="185">
        <v>0</v>
      </c>
      <c r="O45" s="90" cm="1">
        <f t="array" ref="O45">SUM(render[[#This Row],[3D]:[2D]]*render_ponderation)</f>
        <v>0</v>
      </c>
      <c r="P45" s="84">
        <f>(1-render[[#This Row],[Progress]])*render[[#This Row],[Estimated]]</f>
        <v>3</v>
      </c>
      <c r="Q45" s="221"/>
      <c r="R45" s="187"/>
    </row>
    <row r="46" spans="1:18" ht="30" customHeight="1" x14ac:dyDescent="0.25">
      <c r="A46" s="3" t="str">
        <f>metaSHOTS[[#This Row],[Shot]]</f>
        <v>050_020</v>
      </c>
      <c r="B46" s="2" t="e" vm="43">
        <f>metaSHOTS[[#This Row],[Thumbnail]]</f>
        <v>#VALUE!</v>
      </c>
      <c r="C46" s="86" t="b">
        <v>0</v>
      </c>
      <c r="D46" s="186" t="s">
        <v>324</v>
      </c>
      <c r="E46" s="2">
        <f>metaSHOTS[[#This Row],[Start]]</f>
        <v>1</v>
      </c>
      <c r="F46" s="2">
        <f>metaSHOTS[[#This Row],[End]]</f>
        <v>510</v>
      </c>
      <c r="G46" s="2">
        <f>metaSHOTS[[#This Row],[Duration]]</f>
        <v>510</v>
      </c>
      <c r="H46" s="189" t="s">
        <v>312</v>
      </c>
      <c r="I46" s="8" t="s">
        <v>16</v>
      </c>
      <c r="J46" s="2" t="str">
        <f ca="1">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6" s="2">
        <v>2</v>
      </c>
      <c r="L46" s="185">
        <v>0</v>
      </c>
      <c r="M46" s="185">
        <v>0</v>
      </c>
      <c r="N46" s="185">
        <v>0</v>
      </c>
      <c r="O46" s="90" cm="1">
        <f t="array" ref="O46">SUM(render[[#This Row],[3D]:[2D]]*render_ponderation)</f>
        <v>0</v>
      </c>
      <c r="P46" s="84">
        <f>(1-render[[#This Row],[Progress]])*render[[#This Row],[Estimated]]</f>
        <v>2</v>
      </c>
      <c r="Q46" s="221"/>
      <c r="R46" s="187"/>
    </row>
    <row r="47" spans="1:18" ht="30" customHeight="1" x14ac:dyDescent="0.25">
      <c r="A47" s="3" t="str">
        <f>metaSHOTS[[#This Row],[Shot]]</f>
        <v>060_010</v>
      </c>
      <c r="B47" s="2" t="e" vm="44">
        <f>metaSHOTS[[#This Row],[Thumbnail]]</f>
        <v>#VALUE!</v>
      </c>
      <c r="C47" s="86" t="b">
        <v>0</v>
      </c>
      <c r="D47" s="186" t="s">
        <v>324</v>
      </c>
      <c r="E47" s="2">
        <f>metaSHOTS[[#This Row],[Start]]</f>
        <v>1</v>
      </c>
      <c r="F47" s="2">
        <f>metaSHOTS[[#This Row],[End]]</f>
        <v>241</v>
      </c>
      <c r="G47" s="2">
        <f>metaSHOTS[[#This Row],[Duration]]</f>
        <v>241</v>
      </c>
      <c r="H47" s="189" t="s">
        <v>312</v>
      </c>
      <c r="I47" s="8" t="s">
        <v>16</v>
      </c>
      <c r="J47"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In Progress</v>
      </c>
      <c r="K47" s="2">
        <v>1</v>
      </c>
      <c r="L47" s="185">
        <v>0.9</v>
      </c>
      <c r="M47" s="185">
        <v>1</v>
      </c>
      <c r="N47" s="185">
        <v>1</v>
      </c>
      <c r="O47" s="90" cm="1">
        <f t="array" ref="O47">SUM(render[[#This Row],[3D]:[2D]]*render_ponderation)</f>
        <v>0.95</v>
      </c>
      <c r="P47" s="84">
        <f>(1-render[[#This Row],[Progress]])*render[[#This Row],[Estimated]]</f>
        <v>5.0000000000000044E-2</v>
      </c>
      <c r="Q47" s="221"/>
      <c r="R47" s="187"/>
    </row>
    <row r="48" spans="1:18" ht="30" customHeight="1" x14ac:dyDescent="0.25">
      <c r="A48" s="3" t="str">
        <f>metaSHOTS[[#This Row],[Shot]]</f>
        <v>060_030</v>
      </c>
      <c r="B48" s="2" t="e" vm="45">
        <f>metaSHOTS[[#This Row],[Thumbnail]]</f>
        <v>#VALUE!</v>
      </c>
      <c r="C48" s="86" t="b">
        <v>0</v>
      </c>
      <c r="D48" s="186" t="s">
        <v>324</v>
      </c>
      <c r="E48" s="2">
        <f>metaSHOTS[[#This Row],[Start]]</f>
        <v>1</v>
      </c>
      <c r="F48" s="2">
        <f>metaSHOTS[[#This Row],[End]]</f>
        <v>511</v>
      </c>
      <c r="G48" s="2">
        <f>metaSHOTS[[#This Row],[Duration]]</f>
        <v>511</v>
      </c>
      <c r="H48" s="189" t="s">
        <v>312</v>
      </c>
      <c r="I48" s="8" t="s">
        <v>16</v>
      </c>
      <c r="J48"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Upcoming</v>
      </c>
      <c r="K48" s="2">
        <v>2</v>
      </c>
      <c r="L48" s="185">
        <v>0</v>
      </c>
      <c r="M48" s="185">
        <v>0</v>
      </c>
      <c r="N48" s="185">
        <v>0</v>
      </c>
      <c r="O48" s="90" cm="1">
        <f t="array" ref="O48">SUM(render[[#This Row],[3D]:[2D]]*render_ponderation)</f>
        <v>0</v>
      </c>
      <c r="P48" s="84">
        <f>(1-render[[#This Row],[Progress]])*render[[#This Row],[Estimated]]</f>
        <v>2</v>
      </c>
      <c r="Q48" s="221"/>
      <c r="R48" s="187" t="s">
        <v>378</v>
      </c>
    </row>
    <row r="49" spans="1:18" ht="30" customHeight="1" x14ac:dyDescent="0.25">
      <c r="A49" s="3" t="str">
        <f>metaSHOTS[[#This Row],[Shot]]</f>
        <v>040_045</v>
      </c>
      <c r="B49" s="2" t="e" vm="46">
        <f>metaSHOTS[[#This Row],[Thumbnail]]</f>
        <v>#VALUE!</v>
      </c>
      <c r="C49" s="86" t="b">
        <v>0</v>
      </c>
      <c r="D49" s="186" t="s">
        <v>324</v>
      </c>
      <c r="E49" s="2">
        <f>metaSHOTS[[#This Row],[Start]]</f>
        <v>1</v>
      </c>
      <c r="F49" s="2">
        <f>metaSHOTS[[#This Row],[End]]</f>
        <v>55</v>
      </c>
      <c r="G49" s="2">
        <f>metaSHOTS[[#This Row],[Duration]]</f>
        <v>55</v>
      </c>
      <c r="H49" s="189" t="s">
        <v>312</v>
      </c>
      <c r="I49" s="8" t="s">
        <v>16</v>
      </c>
      <c r="J49"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49" s="2">
        <v>5</v>
      </c>
      <c r="L49" s="185">
        <v>0</v>
      </c>
      <c r="M49" s="185">
        <v>0</v>
      </c>
      <c r="N49" s="185">
        <v>0</v>
      </c>
      <c r="O49" s="90" cm="1">
        <f t="array" ref="O49">SUM(render[[#This Row],[3D]:[2D]]*render_ponderation)</f>
        <v>0</v>
      </c>
      <c r="P49" s="84">
        <f>(1-render[[#This Row],[Progress]])*render[[#This Row],[Estimated]]</f>
        <v>5</v>
      </c>
      <c r="Q49" s="221"/>
      <c r="R49" s="187" t="s">
        <v>378</v>
      </c>
    </row>
    <row r="50" spans="1:18" ht="30" customHeight="1" x14ac:dyDescent="0.25">
      <c r="A50" s="3" t="str">
        <f>metaSHOTS[[#This Row],[Shot]]</f>
        <v>040_135</v>
      </c>
      <c r="B50" s="2" t="e" vm="47">
        <f>metaSHOTS[[#This Row],[Thumbnail]]</f>
        <v>#VALUE!</v>
      </c>
      <c r="C50" s="86" t="b">
        <v>0</v>
      </c>
      <c r="D50" s="186" t="s">
        <v>324</v>
      </c>
      <c r="E50" s="2">
        <f>metaSHOTS[[#This Row],[Start]]</f>
        <v>1</v>
      </c>
      <c r="F50" s="2">
        <f>metaSHOTS[[#This Row],[End]]</f>
        <v>126</v>
      </c>
      <c r="G50" s="2">
        <f>metaSHOTS[[#This Row],[Duration]]</f>
        <v>126</v>
      </c>
      <c r="H50" s="189" t="s">
        <v>312</v>
      </c>
      <c r="I50" s="8" t="s">
        <v>16</v>
      </c>
      <c r="J50"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50" s="2">
        <v>6</v>
      </c>
      <c r="L50" s="185">
        <v>0</v>
      </c>
      <c r="M50" s="185">
        <v>0</v>
      </c>
      <c r="N50" s="185">
        <v>0</v>
      </c>
      <c r="O50" s="90" cm="1">
        <f t="array" ref="O50">SUM(render[[#This Row],[3D]:[2D]]*render_ponderation)</f>
        <v>0</v>
      </c>
      <c r="P50" s="84">
        <f>(1-render[[#This Row],[Progress]])*render[[#This Row],[Estimated]]</f>
        <v>6</v>
      </c>
      <c r="Q50" s="221"/>
      <c r="R50" s="187"/>
    </row>
    <row r="51" spans="1:18" ht="30" customHeight="1" x14ac:dyDescent="0.25">
      <c r="A51" s="3" t="str">
        <f>metaSHOTS[[#This Row],[Shot]]</f>
        <v>050_010</v>
      </c>
      <c r="B51" s="2" t="e" vm="48">
        <f>metaSHOTS[[#This Row],[Thumbnail]]</f>
        <v>#VALUE!</v>
      </c>
      <c r="C51" s="86" t="b">
        <v>0</v>
      </c>
      <c r="D51" s="186" t="s">
        <v>324</v>
      </c>
      <c r="E51" s="2">
        <f>metaSHOTS[[#This Row],[Start]]</f>
        <v>1</v>
      </c>
      <c r="F51" s="2">
        <f>metaSHOTS[[#This Row],[End]]</f>
        <v>71</v>
      </c>
      <c r="G51" s="2">
        <f>metaSHOTS[[#This Row],[Duration]]</f>
        <v>71</v>
      </c>
      <c r="H51" s="189" t="s">
        <v>312</v>
      </c>
      <c r="I51" s="8" t="s">
        <v>16</v>
      </c>
      <c r="J51" s="2" t="str">
        <f>IF(
    NOT(ISBLANK(render[[#This Row],[Commentaires]])), "Needs Fix",
    IF(render[[#This Row],[Review]]&lt;&gt;"inactive", render[[#This Row],[Review]],
        IF(render[[#This Row],[Progress]]=100%, "Pending Review",
            IF(
                AND(0%&lt;render[[#This Row],[Progress]], render[[#This Row],[Progress]]&lt;100%), "In Progress",
                IF(
                    lighting[[#This Row],[Status]]="Approved", "Ready",
                    IF(
                        AND(lighting[[#This Row],[Progress]]&gt;=upcomingThreshold, lighting[[#This Row],[Progress]]&lt;=100%), "Upcoming",
                        IF(
                            lighting[[#This Row],[Progress]]&lt;upcomingThreshold, "Waiting"
                        )
                    )
                )
            )
        )
    )
)</f>
        <v>Waiting</v>
      </c>
      <c r="K51" s="2">
        <v>7</v>
      </c>
      <c r="L51" s="185">
        <v>0</v>
      </c>
      <c r="M51" s="185">
        <v>0</v>
      </c>
      <c r="N51" s="185">
        <v>0</v>
      </c>
      <c r="O51" s="90" cm="1">
        <f t="array" ref="O51">SUM(render[[#This Row],[3D]:[2D]]*render_ponderation)</f>
        <v>0</v>
      </c>
      <c r="P51" s="84">
        <f>(1-render[[#This Row],[Progress]])*render[[#This Row],[Estimated]]</f>
        <v>7</v>
      </c>
      <c r="Q51" s="221"/>
      <c r="R51" s="187"/>
    </row>
    <row r="52" spans="1:18" ht="30" customHeight="1" x14ac:dyDescent="0.25">
      <c r="A52" s="2" t="s">
        <v>22</v>
      </c>
      <c r="K52" s="2">
        <f>SUBTOTAL(109,render[Estimated])</f>
        <v>115</v>
      </c>
      <c r="L52" s="16">
        <f>SUBTOTAL(101,render[3D])</f>
        <v>0.41666666666666669</v>
      </c>
      <c r="M52" s="16">
        <f>SUBTOTAL(101,render[Crowd])</f>
        <v>0.58333333333333337</v>
      </c>
      <c r="N52" s="16">
        <f>SUBTOTAL(101,render[2D])</f>
        <v>0.23958333333333334</v>
      </c>
      <c r="O52" s="16">
        <f>SUBTOTAL(101,render[Progress])</f>
        <v>0.43125000000000013</v>
      </c>
      <c r="P52" s="84">
        <f>SUBTOTAL(109,render[Hours to do])</f>
        <v>72.099999999999994</v>
      </c>
      <c r="Q52" s="8"/>
    </row>
  </sheetData>
  <sheetProtection algorithmName="SHA-512" hashValue="Brn+ZS2qQ/dcSxCjr6tR2i47ZiU7c7s5xFucLpFORonwkU6j5zim6K9wGQjSTfSqMiF8KqxWktPxwFPGZ8yKhA==" saltValue="mW2Dq6cYK1qXBoCwpLvF1A==" spinCount="100000" sheet="1" selectLockedCells="1" autoFilter="0"/>
  <mergeCells count="1">
    <mergeCell ref="A1:I2"/>
  </mergeCells>
  <conditionalFormatting sqref="J4:J51">
    <cfRule type="containsText" dxfId="31" priority="4" operator="containsText" text="Needs Fix">
      <formula>NOT(ISERROR(SEARCH("Needs Fix",J4)))</formula>
    </cfRule>
    <cfRule type="containsText" dxfId="30" priority="5" operator="containsText" text="Approved">
      <formula>NOT(ISERROR(SEARCH("Approved",J4)))</formula>
    </cfRule>
    <cfRule type="containsText" dxfId="29" priority="6" operator="containsText" text="Pending Review">
      <formula>NOT(ISERROR(SEARCH("Pending Review",J4)))</formula>
    </cfRule>
    <cfRule type="containsText" dxfId="28" priority="7" operator="containsText" text="In Progress">
      <formula>NOT(ISERROR(SEARCH("In Progress",J4)))</formula>
    </cfRule>
    <cfRule type="containsText" dxfId="27" priority="8" operator="containsText" text="Ready">
      <formula>NOT(ISERROR(SEARCH("Ready",J4)))</formula>
    </cfRule>
    <cfRule type="containsText" dxfId="26" priority="9" operator="containsText" text="Upcoming">
      <formula>NOT(ISERROR(SEARCH("Upcoming",J4)))</formula>
    </cfRule>
    <cfRule type="containsText" dxfId="25" priority="10" operator="containsText" text="Waiting">
      <formula>NOT(ISERROR(SEARCH("Waiting",J4)))</formula>
    </cfRule>
  </conditionalFormatting>
  <conditionalFormatting sqref="L4:O51">
    <cfRule type="colorScale" priority="11">
      <colorScale>
        <cfvo type="num" val="0"/>
        <cfvo type="num" val="0.5"/>
        <cfvo type="num" val="1"/>
        <color rgb="FFFF0000"/>
        <color rgb="FFFFFF00"/>
        <color theme="9" tint="-0.249977111117893"/>
      </colorScale>
    </cfRule>
  </conditionalFormatting>
  <conditionalFormatting sqref="P4:Q51">
    <cfRule type="dataBar" priority="877">
      <dataBar>
        <cfvo type="min"/>
        <cfvo type="max"/>
        <color rgb="FF008AEF"/>
      </dataBar>
      <extLst>
        <ext xmlns:x14="http://schemas.microsoft.com/office/spreadsheetml/2009/9/main" uri="{B025F937-C7B1-47D3-B67F-A62EFF666E3E}">
          <x14:id>{A4F60C26-D1AC-4AFC-89D7-49E1AB098650}</x14:id>
        </ext>
      </extLst>
    </cfRule>
  </conditionalFormatting>
  <conditionalFormatting sqref="R4:R41 R43:R51">
    <cfRule type="cellIs" dxfId="24" priority="1" operator="equal">
      <formula>"fix"</formula>
    </cfRule>
    <cfRule type="cellIs" dxfId="23" priority="2" operator="equal">
      <formula>"ok"</formula>
    </cfRule>
  </conditionalFormatting>
  <conditionalFormatting sqref="R5:R41 R43:R51">
    <cfRule type="containsText" dxfId="22" priority="3" operator="containsText" text="ok">
      <formula>NOT(ISERROR(SEARCH("ok",R5)))</formula>
    </cfRule>
  </conditionalFormatting>
  <pageMargins left="0.7" right="0.7" top="0.75" bottom="0.75" header="0.3" footer="0.3"/>
  <ignoredErrors>
    <ignoredError sqref="N22 L26 L23 L31:N33 N19 N21 N23 N26 L27 N27 L28 N28 L29 N29 L30 N30" calculatedColumn="1"/>
  </ignoredErrors>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4F60C26-D1AC-4AFC-89D7-49E1AB098650}">
            <x14:dataBar minLength="0" maxLength="100" border="1" negativeBarBorderColorSameAsPositive="0">
              <x14:cfvo type="autoMin"/>
              <x14:cfvo type="autoMax"/>
              <x14:borderColor rgb="FF008AEF"/>
              <x14:negativeFillColor rgb="FFFF0000"/>
              <x14:negativeBorderColor rgb="FFFF0000"/>
              <x14:axisColor rgb="FF000000"/>
            </x14:dataBar>
          </x14:cfRule>
          <xm:sqref>P4:Q51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85E6B58-53BD-4C08-9B2F-1CFEA64C901A}">
          <x14:formula1>
            <xm:f>_data_!$T$8:$T$10</xm:f>
          </x14:formula1>
          <xm:sqref>D4:D51</xm:sqref>
        </x14:dataValidation>
        <x14:dataValidation type="list" allowBlank="1" showInputMessage="1" showErrorMessage="1" xr:uid="{F3176757-BD38-49A6-82E2-1BBDC3DADD98}">
          <x14:formula1>
            <xm:f>_data_!$R$15:$R$16</xm:f>
          </x14:formula1>
          <xm:sqref>C4:C51</xm:sqref>
        </x14:dataValidation>
        <x14:dataValidation type="list" allowBlank="1" showInputMessage="1" showErrorMessage="1" xr:uid="{B04A0AB2-99F2-484B-9CA7-A201FC5D5D87}">
          <x14:formula1>
            <xm:f>_data_!$M$18:$M$22</xm:f>
          </x14:formula1>
          <xm:sqref>H4:H51</xm:sqref>
        </x14:dataValidation>
        <x14:dataValidation type="list" allowBlank="1" showInputMessage="1" showErrorMessage="1" xr:uid="{354CACC6-6A34-44E5-ADDC-F090012C2B09}">
          <x14:formula1>
            <xm:f>_data_!$X$28:$X$32</xm:f>
          </x14:formula1>
          <xm:sqref>I4:I51</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5BD1-5E72-4D1F-B560-DE9B6BD0E6E8}">
  <sheetPr codeName="Feuil14">
    <tabColor rgb="FF94F2C6"/>
  </sheetPr>
  <dimension ref="A1:Q52"/>
  <sheetViews>
    <sheetView showGridLines="0" showRowColHeaders="0" workbookViewId="0">
      <pane ySplit="3" topLeftCell="A4" activePane="bottomLeft" state="frozen"/>
      <selection activeCell="L41" sqref="L41"/>
      <selection pane="bottomLeft" activeCell="L45" sqref="L45"/>
    </sheetView>
  </sheetViews>
  <sheetFormatPr baseColWidth="10" defaultColWidth="16" defaultRowHeight="30" customHeight="1" x14ac:dyDescent="0.25"/>
  <cols>
    <col min="1" max="16" width="13.5703125" style="2" customWidth="1"/>
    <col min="17" max="17" width="88.5703125" style="2" customWidth="1"/>
    <col min="18" max="16384" width="16" style="2"/>
  </cols>
  <sheetData>
    <row r="1" spans="1:17" s="149" customFormat="1" ht="41.25" customHeight="1" x14ac:dyDescent="0.25">
      <c r="A1" s="296" t="s">
        <v>382</v>
      </c>
      <c r="B1" s="296"/>
      <c r="C1" s="296"/>
      <c r="D1" s="296"/>
      <c r="E1" s="296"/>
      <c r="F1" s="296"/>
      <c r="G1" s="296"/>
      <c r="H1" s="296"/>
      <c r="I1" s="296"/>
      <c r="K1" s="151" t="s">
        <v>297</v>
      </c>
      <c r="L1" s="152">
        <v>0.5</v>
      </c>
      <c r="M1" s="152">
        <v>0.3</v>
      </c>
      <c r="N1" s="152">
        <v>0.2</v>
      </c>
      <c r="O1" s="148"/>
    </row>
    <row r="2" spans="1:17" s="149" customFormat="1" ht="41.25" customHeight="1" x14ac:dyDescent="0.25">
      <c r="A2" s="296"/>
      <c r="B2" s="296"/>
      <c r="C2" s="296"/>
      <c r="D2" s="296"/>
      <c r="E2" s="296"/>
      <c r="F2" s="296"/>
      <c r="G2" s="296"/>
      <c r="H2" s="296"/>
      <c r="I2" s="296"/>
      <c r="K2" s="149" t="s">
        <v>298</v>
      </c>
      <c r="L2" s="150" cm="1">
        <f t="array" ref="L2">IF(L52="Done", "Done",L1*SUM(comp[[Estimated]:[Estimated]]*(1-comp[assemble])))</f>
        <v>67.2</v>
      </c>
      <c r="M2" s="150" cm="1">
        <f t="array" ref="M2">IF(M52="Done", "Done",M1*SUM(comp[[Estimated]:[Estimated]]*(1-comp[2dvfx])))</f>
        <v>48.239999999999995</v>
      </c>
      <c r="N2" s="150" cm="1">
        <f t="array" ref="N2">IF(N52="Done", "Done",N1*SUM(comp[[Estimated]:[Estimated]]*(1-comp[colo])))</f>
        <v>40.92</v>
      </c>
    </row>
    <row r="3" spans="1:17" ht="23.25" customHeight="1" x14ac:dyDescent="0.25">
      <c r="A3" s="2" t="s">
        <v>343</v>
      </c>
      <c r="B3" s="2" t="s">
        <v>300</v>
      </c>
      <c r="C3" s="2" t="s">
        <v>301</v>
      </c>
      <c r="D3" s="2" t="s">
        <v>302</v>
      </c>
      <c r="E3" s="2" t="s">
        <v>344</v>
      </c>
      <c r="F3" s="2" t="s">
        <v>345</v>
      </c>
      <c r="G3" s="2" t="s">
        <v>346</v>
      </c>
      <c r="H3" s="2" t="s">
        <v>303</v>
      </c>
      <c r="I3" s="2" t="s">
        <v>6</v>
      </c>
      <c r="J3" s="2" t="s">
        <v>269</v>
      </c>
      <c r="K3" s="2" t="s">
        <v>304</v>
      </c>
      <c r="L3" s="171" t="s">
        <v>383</v>
      </c>
      <c r="M3" s="171" t="s">
        <v>384</v>
      </c>
      <c r="N3" s="171" t="s">
        <v>385</v>
      </c>
      <c r="O3" s="2" t="s">
        <v>295</v>
      </c>
      <c r="P3" s="2" t="s">
        <v>308</v>
      </c>
      <c r="Q3" s="2" t="s">
        <v>270</v>
      </c>
    </row>
    <row r="4" spans="1:17" ht="30" customHeight="1" x14ac:dyDescent="0.25">
      <c r="A4" s="3" t="str">
        <f>metaSHOTS[[#This Row],[Shot]]</f>
        <v>000_010</v>
      </c>
      <c r="B4" s="2" t="e" vm="1">
        <f>metaSHOTS[[#This Row],[Thumbnail]]</f>
        <v>#VALUE!</v>
      </c>
      <c r="C4" s="86" t="b">
        <v>0</v>
      </c>
      <c r="D4" s="186" t="s">
        <v>324</v>
      </c>
      <c r="E4" s="2">
        <f>metaSHOTS[[#This Row],[Start]]</f>
        <v>1</v>
      </c>
      <c r="F4" s="2">
        <f>metaSHOTS[[#This Row],[End]]</f>
        <v>339</v>
      </c>
      <c r="G4" s="2">
        <f>metaSHOTS[[#This Row],[Duration]]</f>
        <v>339</v>
      </c>
      <c r="H4" s="8" t="s">
        <v>312</v>
      </c>
      <c r="I4" s="8" t="s">
        <v>18</v>
      </c>
      <c r="J4"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4" s="2">
        <v>3</v>
      </c>
      <c r="L4" s="185">
        <v>1</v>
      </c>
      <c r="M4" s="185">
        <v>1</v>
      </c>
      <c r="N4" s="185">
        <v>0</v>
      </c>
      <c r="O4" s="90" cm="1">
        <f t="array" ref="O4">SUM(comp[[#This Row],[assemble]:[colo]]*comp_ponderation)</f>
        <v>0.8</v>
      </c>
      <c r="P4" s="84">
        <f>(1-comp[[#This Row],[Progress]])*comp[[#This Row],[Estimated]]</f>
        <v>0.59999999999999987</v>
      </c>
      <c r="Q4" s="220"/>
    </row>
    <row r="5" spans="1:17" ht="30" customHeight="1" x14ac:dyDescent="0.25">
      <c r="A5" s="3" t="str">
        <f>metaSHOTS[[#This Row],[Shot]]</f>
        <v>010_010</v>
      </c>
      <c r="B5" s="2" t="e" vm="2">
        <f>metaSHOTS[[#This Row],[Thumbnail]]</f>
        <v>#VALUE!</v>
      </c>
      <c r="C5" s="86" t="b">
        <v>0</v>
      </c>
      <c r="D5" s="186" t="s">
        <v>324</v>
      </c>
      <c r="E5" s="2">
        <f>metaSHOTS[[#This Row],[Start]]</f>
        <v>1</v>
      </c>
      <c r="F5" s="2">
        <f>metaSHOTS[[#This Row],[End]]</f>
        <v>93</v>
      </c>
      <c r="G5" s="2">
        <f>metaSHOTS[[#This Row],[Duration]]</f>
        <v>93</v>
      </c>
      <c r="H5" s="8" t="s">
        <v>312</v>
      </c>
      <c r="I5" s="8" t="s">
        <v>18</v>
      </c>
      <c r="J5"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5" s="2">
        <v>5</v>
      </c>
      <c r="L5" s="185">
        <v>1</v>
      </c>
      <c r="M5" s="185">
        <v>0.5</v>
      </c>
      <c r="N5" s="185">
        <v>0</v>
      </c>
      <c r="O5" s="90" cm="1">
        <f t="array" ref="O5">SUM(comp[[#This Row],[assemble]:[colo]]*comp_ponderation)</f>
        <v>0.65</v>
      </c>
      <c r="P5" s="84">
        <f>(1-comp[[#This Row],[Progress]])*comp[[#This Row],[Estimated]]</f>
        <v>1.75</v>
      </c>
      <c r="Q5" s="220"/>
    </row>
    <row r="6" spans="1:17" ht="30" customHeight="1" x14ac:dyDescent="0.25">
      <c r="A6" s="3" t="str">
        <f>metaSHOTS[[#This Row],[Shot]]</f>
        <v>010_040</v>
      </c>
      <c r="B6" s="2" t="e" vm="3">
        <f>metaSHOTS[[#This Row],[Thumbnail]]</f>
        <v>#VALUE!</v>
      </c>
      <c r="C6" s="86" t="b">
        <v>0</v>
      </c>
      <c r="D6" s="186" t="s">
        <v>324</v>
      </c>
      <c r="E6" s="2">
        <f>metaSHOTS[[#This Row],[Start]]</f>
        <v>1</v>
      </c>
      <c r="F6" s="2">
        <f>metaSHOTS[[#This Row],[End]]</f>
        <v>111</v>
      </c>
      <c r="G6" s="2">
        <f>metaSHOTS[[#This Row],[Duration]]</f>
        <v>111</v>
      </c>
      <c r="H6" s="8" t="s">
        <v>310</v>
      </c>
      <c r="I6" s="8" t="s">
        <v>18</v>
      </c>
      <c r="J6"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6" s="2">
        <v>4</v>
      </c>
      <c r="L6" s="185">
        <v>1</v>
      </c>
      <c r="M6" s="185">
        <v>0.5</v>
      </c>
      <c r="N6" s="185">
        <v>0</v>
      </c>
      <c r="O6" s="90" cm="1">
        <f t="array" ref="O6">SUM(comp[[#This Row],[assemble]:[colo]]*comp_ponderation)</f>
        <v>0.65</v>
      </c>
      <c r="P6" s="84">
        <f>(1-comp[[#This Row],[Progress]])*comp[[#This Row],[Estimated]]</f>
        <v>1.4</v>
      </c>
      <c r="Q6" s="220"/>
    </row>
    <row r="7" spans="1:17" ht="30" customHeight="1" x14ac:dyDescent="0.25">
      <c r="A7" s="3" t="str">
        <f>metaSHOTS[[#This Row],[Shot]]</f>
        <v>010_050</v>
      </c>
      <c r="B7" s="2" t="e" vm="4">
        <f>metaSHOTS[[#This Row],[Thumbnail]]</f>
        <v>#VALUE!</v>
      </c>
      <c r="C7" s="86" t="b">
        <v>0</v>
      </c>
      <c r="D7" s="186" t="s">
        <v>324</v>
      </c>
      <c r="E7" s="2">
        <f>metaSHOTS[[#This Row],[Start]]</f>
        <v>1</v>
      </c>
      <c r="F7" s="2">
        <f>metaSHOTS[[#This Row],[End]]</f>
        <v>65</v>
      </c>
      <c r="G7" s="2">
        <f>metaSHOTS[[#This Row],[Duration]]</f>
        <v>65</v>
      </c>
      <c r="H7" s="8" t="s">
        <v>310</v>
      </c>
      <c r="I7" s="8" t="s">
        <v>18</v>
      </c>
      <c r="J7"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7" s="2">
        <v>4</v>
      </c>
      <c r="L7" s="185">
        <v>1</v>
      </c>
      <c r="M7" s="185">
        <v>0.5</v>
      </c>
      <c r="N7" s="185">
        <v>0</v>
      </c>
      <c r="O7" s="90" cm="1">
        <f t="array" ref="O7">SUM(comp[[#This Row],[assemble]:[colo]]*comp_ponderation)</f>
        <v>0.65</v>
      </c>
      <c r="P7" s="84">
        <f>(1-comp[[#This Row],[Progress]])*comp[[#This Row],[Estimated]]</f>
        <v>1.4</v>
      </c>
      <c r="Q7" s="220"/>
    </row>
    <row r="8" spans="1:17" ht="30" customHeight="1" x14ac:dyDescent="0.25">
      <c r="A8" s="3" t="str">
        <f>metaSHOTS[[#This Row],[Shot]]</f>
        <v>010_060</v>
      </c>
      <c r="B8" s="2" t="e" vm="5">
        <f>metaSHOTS[[#This Row],[Thumbnail]]</f>
        <v>#VALUE!</v>
      </c>
      <c r="C8" s="86" t="b">
        <v>0</v>
      </c>
      <c r="D8" s="186" t="s">
        <v>324</v>
      </c>
      <c r="E8" s="2">
        <f>metaSHOTS[[#This Row],[Start]]</f>
        <v>1</v>
      </c>
      <c r="F8" s="2">
        <f>metaSHOTS[[#This Row],[End]]</f>
        <v>76</v>
      </c>
      <c r="G8" s="2">
        <f>metaSHOTS[[#This Row],[Duration]]</f>
        <v>76</v>
      </c>
      <c r="H8" s="8" t="s">
        <v>312</v>
      </c>
      <c r="I8" s="8" t="s">
        <v>18</v>
      </c>
      <c r="J8"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8" s="2">
        <v>5</v>
      </c>
      <c r="L8" s="185">
        <v>1</v>
      </c>
      <c r="M8" s="185">
        <v>0.5</v>
      </c>
      <c r="N8" s="185">
        <v>0</v>
      </c>
      <c r="O8" s="90" cm="1">
        <f t="array" ref="O8">SUM(comp[[#This Row],[assemble]:[colo]]*comp_ponderation)</f>
        <v>0.65</v>
      </c>
      <c r="P8" s="84">
        <f>(1-comp[[#This Row],[Progress]])*comp[[#This Row],[Estimated]]</f>
        <v>1.75</v>
      </c>
      <c r="Q8" s="220"/>
    </row>
    <row r="9" spans="1:17" ht="30" customHeight="1" x14ac:dyDescent="0.25">
      <c r="A9" s="3" t="str">
        <f>metaSHOTS[[#This Row],[Shot]]</f>
        <v>010_070</v>
      </c>
      <c r="B9" s="2" t="e" vm="6">
        <f>metaSHOTS[[#This Row],[Thumbnail]]</f>
        <v>#VALUE!</v>
      </c>
      <c r="C9" s="86" t="b">
        <v>0</v>
      </c>
      <c r="D9" s="186" t="s">
        <v>324</v>
      </c>
      <c r="E9" s="2">
        <f>metaSHOTS[[#This Row],[Start]]</f>
        <v>1</v>
      </c>
      <c r="F9" s="2">
        <f>metaSHOTS[[#This Row],[End]]</f>
        <v>41</v>
      </c>
      <c r="G9" s="2">
        <f>metaSHOTS[[#This Row],[Duration]]</f>
        <v>41</v>
      </c>
      <c r="H9" s="8" t="s">
        <v>312</v>
      </c>
      <c r="I9" s="8" t="s">
        <v>18</v>
      </c>
      <c r="J9"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9" s="2">
        <v>3</v>
      </c>
      <c r="L9" s="185">
        <v>1</v>
      </c>
      <c r="M9" s="185">
        <v>1</v>
      </c>
      <c r="N9" s="185">
        <v>0</v>
      </c>
      <c r="O9" s="90" cm="1">
        <f t="array" ref="O9">SUM(comp[[#This Row],[assemble]:[colo]]*comp_ponderation)</f>
        <v>0.8</v>
      </c>
      <c r="P9" s="84">
        <f>(1-comp[[#This Row],[Progress]])*comp[[#This Row],[Estimated]]</f>
        <v>0.59999999999999987</v>
      </c>
      <c r="Q9" s="220"/>
    </row>
    <row r="10" spans="1:17" ht="30" customHeight="1" x14ac:dyDescent="0.25">
      <c r="A10" s="3" t="str">
        <f>metaSHOTS[[#This Row],[Shot]]</f>
        <v>010_080</v>
      </c>
      <c r="B10" s="2" t="e" vm="7">
        <f>metaSHOTS[[#This Row],[Thumbnail]]</f>
        <v>#VALUE!</v>
      </c>
      <c r="C10" s="86" t="b">
        <v>0</v>
      </c>
      <c r="D10" s="186" t="s">
        <v>324</v>
      </c>
      <c r="E10" s="2">
        <f>metaSHOTS[[#This Row],[Start]]</f>
        <v>1</v>
      </c>
      <c r="F10" s="2">
        <f>metaSHOTS[[#This Row],[End]]</f>
        <v>18</v>
      </c>
      <c r="G10" s="2">
        <f>metaSHOTS[[#This Row],[Duration]]</f>
        <v>18</v>
      </c>
      <c r="H10" s="8" t="s">
        <v>312</v>
      </c>
      <c r="I10" s="8" t="s">
        <v>18</v>
      </c>
      <c r="J10"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0" s="2">
        <v>3</v>
      </c>
      <c r="L10" s="185">
        <v>1</v>
      </c>
      <c r="M10" s="185">
        <v>0.8</v>
      </c>
      <c r="N10" s="185">
        <v>0</v>
      </c>
      <c r="O10" s="90" cm="1">
        <f t="array" ref="O10">SUM(comp[[#This Row],[assemble]:[colo]]*comp_ponderation)</f>
        <v>0.74</v>
      </c>
      <c r="P10" s="84">
        <f>(1-comp[[#This Row],[Progress]])*comp[[#This Row],[Estimated]]</f>
        <v>0.78</v>
      </c>
      <c r="Q10" s="220"/>
    </row>
    <row r="11" spans="1:17" ht="30" customHeight="1" x14ac:dyDescent="0.25">
      <c r="A11" s="3" t="str">
        <f>metaSHOTS[[#This Row],[Shot]]</f>
        <v>010_090</v>
      </c>
      <c r="B11" s="2" t="e" vm="8">
        <f>metaSHOTS[[#This Row],[Thumbnail]]</f>
        <v>#VALUE!</v>
      </c>
      <c r="C11" s="86" t="b">
        <v>0</v>
      </c>
      <c r="D11" s="186" t="s">
        <v>324</v>
      </c>
      <c r="E11" s="2">
        <f>metaSHOTS[[#This Row],[Start]]</f>
        <v>2</v>
      </c>
      <c r="F11" s="2">
        <f>metaSHOTS[[#This Row],[End]]</f>
        <v>9</v>
      </c>
      <c r="G11" s="2">
        <f>metaSHOTS[[#This Row],[Duration]]</f>
        <v>8</v>
      </c>
      <c r="H11" s="8" t="s">
        <v>310</v>
      </c>
      <c r="I11" s="8" t="s">
        <v>18</v>
      </c>
      <c r="J11"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1" s="2">
        <v>3</v>
      </c>
      <c r="L11" s="185">
        <v>1</v>
      </c>
      <c r="M11" s="185">
        <v>0.8</v>
      </c>
      <c r="N11" s="185">
        <v>0</v>
      </c>
      <c r="O11" s="90" cm="1">
        <f t="array" ref="O11">SUM(comp[[#This Row],[assemble]:[colo]]*comp_ponderation)</f>
        <v>0.74</v>
      </c>
      <c r="P11" s="84">
        <f>(1-comp[[#This Row],[Progress]])*comp[[#This Row],[Estimated]]</f>
        <v>0.78</v>
      </c>
      <c r="Q11" s="220"/>
    </row>
    <row r="12" spans="1:17" ht="30" customHeight="1" x14ac:dyDescent="0.25">
      <c r="A12" s="3" t="str">
        <f>metaSHOTS[[#This Row],[Shot]]</f>
        <v>010_100</v>
      </c>
      <c r="B12" s="2" t="e" vm="9">
        <f>metaSHOTS[[#This Row],[Thumbnail]]</f>
        <v>#VALUE!</v>
      </c>
      <c r="C12" s="86" t="b">
        <v>0</v>
      </c>
      <c r="D12" s="186" t="s">
        <v>324</v>
      </c>
      <c r="E12" s="2">
        <f>metaSHOTS[[#This Row],[Start]]</f>
        <v>1</v>
      </c>
      <c r="F12" s="2">
        <f>metaSHOTS[[#This Row],[End]]</f>
        <v>75</v>
      </c>
      <c r="G12" s="2">
        <f>metaSHOTS[[#This Row],[Duration]]</f>
        <v>75</v>
      </c>
      <c r="H12" s="8" t="s">
        <v>312</v>
      </c>
      <c r="I12" s="8" t="s">
        <v>18</v>
      </c>
      <c r="J12"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2" s="2">
        <v>5</v>
      </c>
      <c r="L12" s="185">
        <v>1</v>
      </c>
      <c r="M12" s="185">
        <v>0.8</v>
      </c>
      <c r="N12" s="185">
        <v>0</v>
      </c>
      <c r="O12" s="90" cm="1">
        <f t="array" ref="O12">SUM(comp[[#This Row],[assemble]:[colo]]*comp_ponderation)</f>
        <v>0.74</v>
      </c>
      <c r="P12" s="84">
        <f>(1-comp[[#This Row],[Progress]])*comp[[#This Row],[Estimated]]</f>
        <v>1.3</v>
      </c>
      <c r="Q12" s="220"/>
    </row>
    <row r="13" spans="1:17" ht="30" customHeight="1" x14ac:dyDescent="0.25">
      <c r="A13" s="3" t="str">
        <f>metaSHOTS[[#This Row],[Shot]]</f>
        <v>010_110</v>
      </c>
      <c r="B13" s="2" t="e" vm="10">
        <f>metaSHOTS[[#This Row],[Thumbnail]]</f>
        <v>#VALUE!</v>
      </c>
      <c r="C13" s="86" t="b">
        <v>0</v>
      </c>
      <c r="D13" s="186" t="s">
        <v>324</v>
      </c>
      <c r="E13" s="2">
        <f>metaSHOTS[[#This Row],[Start]]</f>
        <v>1</v>
      </c>
      <c r="F13" s="2">
        <f>metaSHOTS[[#This Row],[End]]</f>
        <v>52</v>
      </c>
      <c r="G13" s="2">
        <f>metaSHOTS[[#This Row],[Duration]]</f>
        <v>52</v>
      </c>
      <c r="H13" s="8" t="s">
        <v>310</v>
      </c>
      <c r="I13" s="8" t="s">
        <v>18</v>
      </c>
      <c r="J13"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3" s="2">
        <v>5</v>
      </c>
      <c r="L13" s="185">
        <v>1</v>
      </c>
      <c r="M13" s="185">
        <v>1</v>
      </c>
      <c r="N13" s="185">
        <v>0</v>
      </c>
      <c r="O13" s="90" cm="1">
        <f t="array" ref="O13">SUM(comp[[#This Row],[assemble]:[colo]]*comp_ponderation)</f>
        <v>0.8</v>
      </c>
      <c r="P13" s="84">
        <f>(1-comp[[#This Row],[Progress]])*comp[[#This Row],[Estimated]]</f>
        <v>0.99999999999999978</v>
      </c>
      <c r="Q13" s="220"/>
    </row>
    <row r="14" spans="1:17" ht="30" customHeight="1" x14ac:dyDescent="0.25">
      <c r="A14" s="3" t="str">
        <f>metaSHOTS[[#This Row],[Shot]]</f>
        <v>010_160</v>
      </c>
      <c r="B14" s="2" t="e" vm="11">
        <f>metaSHOTS[[#This Row],[Thumbnail]]</f>
        <v>#VALUE!</v>
      </c>
      <c r="C14" s="86" t="b">
        <v>0</v>
      </c>
      <c r="D14" s="186" t="s">
        <v>324</v>
      </c>
      <c r="E14" s="2">
        <f>metaSHOTS[[#This Row],[Start]]</f>
        <v>1</v>
      </c>
      <c r="F14" s="2">
        <f>metaSHOTS[[#This Row],[End]]</f>
        <v>21</v>
      </c>
      <c r="G14" s="2">
        <f>metaSHOTS[[#This Row],[Duration]]</f>
        <v>21</v>
      </c>
      <c r="H14" s="8" t="s">
        <v>312</v>
      </c>
      <c r="I14" s="8" t="s">
        <v>18</v>
      </c>
      <c r="J14"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4" s="2">
        <v>3</v>
      </c>
      <c r="L14" s="185">
        <v>1</v>
      </c>
      <c r="M14" s="185">
        <v>0.8</v>
      </c>
      <c r="N14" s="185">
        <v>0</v>
      </c>
      <c r="O14" s="90" cm="1">
        <f t="array" ref="O14">SUM(comp[[#This Row],[assemble]:[colo]]*comp_ponderation)</f>
        <v>0.74</v>
      </c>
      <c r="P14" s="84">
        <f>(1-comp[[#This Row],[Progress]])*comp[[#This Row],[Estimated]]</f>
        <v>0.78</v>
      </c>
      <c r="Q14" s="220"/>
    </row>
    <row r="15" spans="1:17" ht="30" customHeight="1" x14ac:dyDescent="0.25">
      <c r="A15" s="3" t="str">
        <f>metaSHOTS[[#This Row],[Shot]]</f>
        <v>010_170</v>
      </c>
      <c r="B15" s="2" t="e" vm="12">
        <f>metaSHOTS[[#This Row],[Thumbnail]]</f>
        <v>#VALUE!</v>
      </c>
      <c r="C15" s="86" t="b">
        <v>0</v>
      </c>
      <c r="D15" s="186" t="s">
        <v>324</v>
      </c>
      <c r="E15" s="2">
        <f>metaSHOTS[[#This Row],[Start]]</f>
        <v>1</v>
      </c>
      <c r="F15" s="2">
        <f>metaSHOTS[[#This Row],[End]]</f>
        <v>17</v>
      </c>
      <c r="G15" s="2">
        <f>metaSHOTS[[#This Row],[Duration]]</f>
        <v>17</v>
      </c>
      <c r="H15" s="8" t="s">
        <v>312</v>
      </c>
      <c r="I15" s="8" t="s">
        <v>18</v>
      </c>
      <c r="J15"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5" s="2">
        <v>4</v>
      </c>
      <c r="L15" s="185">
        <v>1</v>
      </c>
      <c r="M15" s="185">
        <v>0.8</v>
      </c>
      <c r="N15" s="185">
        <v>0</v>
      </c>
      <c r="O15" s="90" cm="1">
        <f t="array" ref="O15">SUM(comp[[#This Row],[assemble]:[colo]]*comp_ponderation)</f>
        <v>0.74</v>
      </c>
      <c r="P15" s="84">
        <f>(1-comp[[#This Row],[Progress]])*comp[[#This Row],[Estimated]]</f>
        <v>1.04</v>
      </c>
      <c r="Q15" s="220"/>
    </row>
    <row r="16" spans="1:17" ht="30" customHeight="1" x14ac:dyDescent="0.25">
      <c r="A16" s="3" t="str">
        <f>metaSHOTS[[#This Row],[Shot]]</f>
        <v>010_180</v>
      </c>
      <c r="B16" s="2" t="e" vm="13">
        <f>metaSHOTS[[#This Row],[Thumbnail]]</f>
        <v>#VALUE!</v>
      </c>
      <c r="C16" s="86" t="b">
        <v>0</v>
      </c>
      <c r="D16" s="186" t="s">
        <v>324</v>
      </c>
      <c r="E16" s="2">
        <f>metaSHOTS[[#This Row],[Start]]</f>
        <v>1</v>
      </c>
      <c r="F16" s="2">
        <f>metaSHOTS[[#This Row],[End]]</f>
        <v>124</v>
      </c>
      <c r="G16" s="2">
        <f>metaSHOTS[[#This Row],[Duration]]</f>
        <v>124</v>
      </c>
      <c r="H16" s="8" t="s">
        <v>312</v>
      </c>
      <c r="I16" s="8" t="s">
        <v>18</v>
      </c>
      <c r="J16"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6" s="2">
        <v>3</v>
      </c>
      <c r="L16" s="185">
        <v>1</v>
      </c>
      <c r="M16" s="185">
        <v>0.8</v>
      </c>
      <c r="N16" s="185">
        <v>0</v>
      </c>
      <c r="O16" s="90" cm="1">
        <f t="array" ref="O16">SUM(comp[[#This Row],[assemble]:[colo]]*comp_ponderation)</f>
        <v>0.74</v>
      </c>
      <c r="P16" s="84">
        <f>(1-comp[[#This Row],[Progress]])*comp[[#This Row],[Estimated]]</f>
        <v>0.78</v>
      </c>
      <c r="Q16" s="220"/>
    </row>
    <row r="17" spans="1:17" ht="30" customHeight="1" x14ac:dyDescent="0.25">
      <c r="A17" s="3" t="str">
        <f>metaSHOTS[[#This Row],[Shot]]</f>
        <v>010_190</v>
      </c>
      <c r="B17" s="2" t="e" vm="14">
        <f>metaSHOTS[[#This Row],[Thumbnail]]</f>
        <v>#VALUE!</v>
      </c>
      <c r="C17" s="86" t="b">
        <v>0</v>
      </c>
      <c r="D17" s="186" t="s">
        <v>324</v>
      </c>
      <c r="E17" s="2">
        <f>metaSHOTS[[#This Row],[Start]]</f>
        <v>1</v>
      </c>
      <c r="F17" s="2">
        <f>metaSHOTS[[#This Row],[End]]</f>
        <v>121</v>
      </c>
      <c r="G17" s="2">
        <f>metaSHOTS[[#This Row],[Duration]]</f>
        <v>121</v>
      </c>
      <c r="H17" s="8" t="s">
        <v>310</v>
      </c>
      <c r="I17" s="8" t="s">
        <v>18</v>
      </c>
      <c r="J17"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7" s="2">
        <v>5</v>
      </c>
      <c r="L17" s="185">
        <v>1</v>
      </c>
      <c r="M17" s="185">
        <v>0</v>
      </c>
      <c r="N17" s="185">
        <v>0</v>
      </c>
      <c r="O17" s="90" cm="1">
        <f t="array" ref="O17">SUM(comp[[#This Row],[assemble]:[colo]]*comp_ponderation)</f>
        <v>0.5</v>
      </c>
      <c r="P17" s="84">
        <f>(1-comp[[#This Row],[Progress]])*comp[[#This Row],[Estimated]]</f>
        <v>2.5</v>
      </c>
      <c r="Q17" s="220"/>
    </row>
    <row r="18" spans="1:17" ht="30" customHeight="1" x14ac:dyDescent="0.25">
      <c r="A18" s="3" t="str">
        <f>metaSHOTS[[#This Row],[Shot]]</f>
        <v>010_200</v>
      </c>
      <c r="B18" s="2" t="e" vm="15">
        <f>metaSHOTS[[#This Row],[Thumbnail]]</f>
        <v>#VALUE!</v>
      </c>
      <c r="C18" s="86" t="b">
        <v>0</v>
      </c>
      <c r="D18" s="186" t="s">
        <v>324</v>
      </c>
      <c r="E18" s="2">
        <f>metaSHOTS[[#This Row],[Start]]</f>
        <v>1</v>
      </c>
      <c r="F18" s="2">
        <f>metaSHOTS[[#This Row],[End]]</f>
        <v>121</v>
      </c>
      <c r="G18" s="2">
        <f>metaSHOTS[[#This Row],[Duration]]</f>
        <v>121</v>
      </c>
      <c r="H18" s="8" t="s">
        <v>310</v>
      </c>
      <c r="I18" s="8" t="s">
        <v>18</v>
      </c>
      <c r="J18"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8" s="2">
        <v>3</v>
      </c>
      <c r="L18" s="185">
        <v>1</v>
      </c>
      <c r="M18" s="185">
        <v>1</v>
      </c>
      <c r="N18" s="185">
        <v>0.8</v>
      </c>
      <c r="O18" s="90" cm="1">
        <f t="array" ref="O18">SUM(comp[[#This Row],[assemble]:[colo]]*comp_ponderation)</f>
        <v>0.96000000000000008</v>
      </c>
      <c r="P18" s="84">
        <f>(1-comp[[#This Row],[Progress]])*comp[[#This Row],[Estimated]]</f>
        <v>0.11999999999999977</v>
      </c>
      <c r="Q18" s="220"/>
    </row>
    <row r="19" spans="1:17" ht="30" customHeight="1" x14ac:dyDescent="0.25">
      <c r="A19" s="3" t="str">
        <f>metaSHOTS[[#This Row],[Shot]]</f>
        <v>020_020</v>
      </c>
      <c r="B19" s="2" t="e" vm="16">
        <f>metaSHOTS[[#This Row],[Thumbnail]]</f>
        <v>#VALUE!</v>
      </c>
      <c r="C19" s="86" t="b">
        <v>0</v>
      </c>
      <c r="D19" s="186" t="s">
        <v>324</v>
      </c>
      <c r="E19" s="2">
        <f>metaSHOTS[[#This Row],[Start]]</f>
        <v>1</v>
      </c>
      <c r="F19" s="2">
        <f>metaSHOTS[[#This Row],[End]]</f>
        <v>102</v>
      </c>
      <c r="G19" s="2">
        <f>metaSHOTS[[#This Row],[Duration]]</f>
        <v>102</v>
      </c>
      <c r="H19" s="8" t="s">
        <v>310</v>
      </c>
      <c r="I19" s="8" t="s">
        <v>18</v>
      </c>
      <c r="J19"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19" s="2">
        <v>4</v>
      </c>
      <c r="L19" s="185">
        <v>1</v>
      </c>
      <c r="M19" s="185">
        <v>0</v>
      </c>
      <c r="N19" s="185">
        <v>0</v>
      </c>
      <c r="O19" s="90" cm="1">
        <f t="array" ref="O19">SUM(comp[[#This Row],[assemble]:[colo]]*comp_ponderation)</f>
        <v>0.5</v>
      </c>
      <c r="P19" s="84">
        <f>(1-comp[[#This Row],[Progress]])*comp[[#This Row],[Estimated]]</f>
        <v>2</v>
      </c>
      <c r="Q19" s="220"/>
    </row>
    <row r="20" spans="1:17" ht="30" customHeight="1" x14ac:dyDescent="0.25">
      <c r="A20" s="3" t="str">
        <f>metaSHOTS[[#This Row],[Shot]]</f>
        <v>020_030</v>
      </c>
      <c r="B20" s="2" t="e" vm="17">
        <f>metaSHOTS[[#This Row],[Thumbnail]]</f>
        <v>#VALUE!</v>
      </c>
      <c r="C20" s="86" t="b">
        <v>0</v>
      </c>
      <c r="D20" s="186" t="s">
        <v>324</v>
      </c>
      <c r="E20" s="2">
        <f>metaSHOTS[[#This Row],[Start]]</f>
        <v>1</v>
      </c>
      <c r="F20" s="2">
        <f>metaSHOTS[[#This Row],[End]]</f>
        <v>107</v>
      </c>
      <c r="G20" s="2">
        <f>metaSHOTS[[#This Row],[Duration]]</f>
        <v>107</v>
      </c>
      <c r="H20" s="8" t="s">
        <v>310</v>
      </c>
      <c r="I20" s="8" t="s">
        <v>18</v>
      </c>
      <c r="J20"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20" s="2">
        <v>5</v>
      </c>
      <c r="L20" s="185">
        <v>1</v>
      </c>
      <c r="M20" s="185">
        <v>1</v>
      </c>
      <c r="N20" s="185">
        <v>0</v>
      </c>
      <c r="O20" s="90" cm="1">
        <f t="array" ref="O20">SUM(comp[[#This Row],[assemble]:[colo]]*comp_ponderation)</f>
        <v>0.8</v>
      </c>
      <c r="P20" s="84">
        <f>(1-comp[[#This Row],[Progress]])*comp[[#This Row],[Estimated]]</f>
        <v>0.99999999999999978</v>
      </c>
      <c r="Q20" s="220"/>
    </row>
    <row r="21" spans="1:17" ht="30" customHeight="1" x14ac:dyDescent="0.25">
      <c r="A21" s="3" t="str">
        <f>metaSHOTS[[#This Row],[Shot]]</f>
        <v>020_040</v>
      </c>
      <c r="B21" s="2" t="e" vm="18">
        <f>metaSHOTS[[#This Row],[Thumbnail]]</f>
        <v>#VALUE!</v>
      </c>
      <c r="C21" s="86" t="b">
        <v>0</v>
      </c>
      <c r="D21" s="186" t="s">
        <v>324</v>
      </c>
      <c r="E21" s="2">
        <f>metaSHOTS[[#This Row],[Start]]</f>
        <v>1</v>
      </c>
      <c r="F21" s="2">
        <f>metaSHOTS[[#This Row],[End]]</f>
        <v>43</v>
      </c>
      <c r="G21" s="2">
        <f>metaSHOTS[[#This Row],[Duration]]</f>
        <v>43</v>
      </c>
      <c r="H21" s="8" t="s">
        <v>310</v>
      </c>
      <c r="I21" s="8" t="s">
        <v>18</v>
      </c>
      <c r="J21"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In Progress</v>
      </c>
      <c r="K21" s="2">
        <v>4</v>
      </c>
      <c r="L21" s="185">
        <v>0.4</v>
      </c>
      <c r="M21" s="185">
        <v>0</v>
      </c>
      <c r="N21" s="185">
        <v>0</v>
      </c>
      <c r="O21" s="90" cm="1">
        <f t="array" ref="O21">SUM(comp[[#This Row],[assemble]:[colo]]*comp_ponderation)</f>
        <v>0.2</v>
      </c>
      <c r="P21" s="84">
        <f>(1-comp[[#This Row],[Progress]])*comp[[#This Row],[Estimated]]</f>
        <v>3.2</v>
      </c>
      <c r="Q21" s="220"/>
    </row>
    <row r="22" spans="1:17" ht="30" customHeight="1" x14ac:dyDescent="0.25">
      <c r="A22" s="3" t="str">
        <f>metaSHOTS[[#This Row],[Shot]]</f>
        <v>020_050</v>
      </c>
      <c r="B22" s="2" t="e" vm="19">
        <f>metaSHOTS[[#This Row],[Thumbnail]]</f>
        <v>#VALUE!</v>
      </c>
      <c r="C22" s="86" t="b">
        <v>0</v>
      </c>
      <c r="D22" s="186" t="s">
        <v>324</v>
      </c>
      <c r="E22" s="2">
        <f>metaSHOTS[[#This Row],[Start]]</f>
        <v>1</v>
      </c>
      <c r="F22" s="2">
        <f>metaSHOTS[[#This Row],[End]]</f>
        <v>227</v>
      </c>
      <c r="G22" s="2">
        <f>metaSHOTS[[#This Row],[Duration]]</f>
        <v>227</v>
      </c>
      <c r="H22" s="8" t="s">
        <v>312</v>
      </c>
      <c r="I22" s="8" t="s">
        <v>18</v>
      </c>
      <c r="J22"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22" s="2">
        <v>6</v>
      </c>
      <c r="L22" s="185">
        <v>0</v>
      </c>
      <c r="M22" s="185">
        <v>0</v>
      </c>
      <c r="N22" s="185">
        <v>0</v>
      </c>
      <c r="O22" s="90" cm="1">
        <f t="array" ref="O22">SUM(comp[[#This Row],[assemble]:[colo]]*comp_ponderation)</f>
        <v>0</v>
      </c>
      <c r="P22" s="84">
        <f>(1-comp[[#This Row],[Progress]])*comp[[#This Row],[Estimated]]</f>
        <v>6</v>
      </c>
      <c r="Q22" s="220"/>
    </row>
    <row r="23" spans="1:17" ht="30" customHeight="1" x14ac:dyDescent="0.25">
      <c r="A23" s="3" t="str">
        <f>metaSHOTS[[#This Row],[Shot]]</f>
        <v>030_020</v>
      </c>
      <c r="B23" s="2" t="e" vm="20">
        <f>metaSHOTS[[#This Row],[Thumbnail]]</f>
        <v>#VALUE!</v>
      </c>
      <c r="C23" s="86" t="b">
        <v>0</v>
      </c>
      <c r="D23" s="186" t="s">
        <v>324</v>
      </c>
      <c r="E23" s="2">
        <f>metaSHOTS[[#This Row],[Start]]</f>
        <v>1</v>
      </c>
      <c r="F23" s="2">
        <f>metaSHOTS[[#This Row],[End]]</f>
        <v>290</v>
      </c>
      <c r="G23" s="2">
        <f>metaSHOTS[[#This Row],[Duration]]</f>
        <v>290</v>
      </c>
      <c r="H23" s="8" t="s">
        <v>310</v>
      </c>
      <c r="I23" s="8" t="s">
        <v>18</v>
      </c>
      <c r="J23"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23" s="2">
        <v>7</v>
      </c>
      <c r="L23" s="185">
        <v>0</v>
      </c>
      <c r="M23" s="185">
        <v>0</v>
      </c>
      <c r="N23" s="185">
        <v>0</v>
      </c>
      <c r="O23" s="90" cm="1">
        <f t="array" ref="O23">SUM(comp[[#This Row],[assemble]:[colo]]*comp_ponderation)</f>
        <v>0</v>
      </c>
      <c r="P23" s="84">
        <f>(1-comp[[#This Row],[Progress]])*comp[[#This Row],[Estimated]]</f>
        <v>7</v>
      </c>
      <c r="Q23" s="220"/>
    </row>
    <row r="24" spans="1:17" ht="30" customHeight="1" x14ac:dyDescent="0.25">
      <c r="A24" s="3" t="str">
        <f>metaSHOTS[[#This Row],[Shot]]</f>
        <v>030_030</v>
      </c>
      <c r="B24" s="2" t="e" vm="21">
        <f>metaSHOTS[[#This Row],[Thumbnail]]</f>
        <v>#VALUE!</v>
      </c>
      <c r="C24" s="86" t="b">
        <v>0</v>
      </c>
      <c r="D24" s="186" t="s">
        <v>324</v>
      </c>
      <c r="E24" s="2">
        <f>metaSHOTS[[#This Row],[Start]]</f>
        <v>1</v>
      </c>
      <c r="F24" s="2">
        <f>metaSHOTS[[#This Row],[End]]</f>
        <v>141</v>
      </c>
      <c r="G24" s="2">
        <f>metaSHOTS[[#This Row],[Duration]]</f>
        <v>141</v>
      </c>
      <c r="H24" s="8" t="s">
        <v>310</v>
      </c>
      <c r="I24" s="8" t="s">
        <v>18</v>
      </c>
      <c r="J24"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Upcoming</v>
      </c>
      <c r="K24" s="2">
        <v>4</v>
      </c>
      <c r="L24" s="185">
        <v>0</v>
      </c>
      <c r="M24" s="185">
        <v>0</v>
      </c>
      <c r="N24" s="185">
        <v>0</v>
      </c>
      <c r="O24" s="90" cm="1">
        <f t="array" ref="O24">SUM(comp[[#This Row],[assemble]:[colo]]*comp_ponderation)</f>
        <v>0</v>
      </c>
      <c r="P24" s="84">
        <f>(1-comp[[#This Row],[Progress]])*comp[[#This Row],[Estimated]]</f>
        <v>4</v>
      </c>
      <c r="Q24" s="220"/>
    </row>
    <row r="25" spans="1:17" ht="30" customHeight="1" x14ac:dyDescent="0.25">
      <c r="A25" s="3" t="str">
        <f>metaSHOTS[[#This Row],[Shot]]</f>
        <v>030_040</v>
      </c>
      <c r="B25" s="2" t="e" vm="22">
        <f>metaSHOTS[[#This Row],[Thumbnail]]</f>
        <v>#VALUE!</v>
      </c>
      <c r="C25" s="86" t="b">
        <v>0</v>
      </c>
      <c r="D25" s="186" t="s">
        <v>324</v>
      </c>
      <c r="E25" s="2">
        <f>metaSHOTS[[#This Row],[Start]]</f>
        <v>1</v>
      </c>
      <c r="F25" s="2">
        <f>metaSHOTS[[#This Row],[End]]</f>
        <v>133</v>
      </c>
      <c r="G25" s="2">
        <f>metaSHOTS[[#This Row],[Duration]]</f>
        <v>133</v>
      </c>
      <c r="H25" s="8" t="s">
        <v>312</v>
      </c>
      <c r="I25" s="8" t="s">
        <v>18</v>
      </c>
      <c r="J25"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Needs Fix</v>
      </c>
      <c r="K25" s="2">
        <v>3</v>
      </c>
      <c r="L25" s="185">
        <v>0</v>
      </c>
      <c r="M25" s="185">
        <v>0</v>
      </c>
      <c r="N25" s="185">
        <v>0</v>
      </c>
      <c r="O25" s="90" cm="1">
        <f t="array" ref="O25">SUM(comp[[#This Row],[assemble]:[colo]]*comp_ponderation)</f>
        <v>0</v>
      </c>
      <c r="P25" s="84">
        <f>(1-comp[[#This Row],[Progress]])*comp[[#This Row],[Estimated]]</f>
        <v>3</v>
      </c>
      <c r="Q25" s="220" t="s">
        <v>386</v>
      </c>
    </row>
    <row r="26" spans="1:17" ht="30" customHeight="1" x14ac:dyDescent="0.25">
      <c r="A26" s="3" t="str">
        <f>metaSHOTS[[#This Row],[Shot]]</f>
        <v>030_060</v>
      </c>
      <c r="B26" s="2" t="e" vm="23">
        <f>metaSHOTS[[#This Row],[Thumbnail]]</f>
        <v>#VALUE!</v>
      </c>
      <c r="C26" s="86" t="b">
        <v>0</v>
      </c>
      <c r="D26" s="186" t="s">
        <v>324</v>
      </c>
      <c r="E26" s="2">
        <f>metaSHOTS[[#This Row],[Start]]</f>
        <v>1</v>
      </c>
      <c r="F26" s="2">
        <f>metaSHOTS[[#This Row],[End]]</f>
        <v>93</v>
      </c>
      <c r="G26" s="2">
        <f>metaSHOTS[[#This Row],[Duration]]</f>
        <v>93</v>
      </c>
      <c r="H26" s="8" t="s">
        <v>314</v>
      </c>
      <c r="I26" s="8" t="s">
        <v>18</v>
      </c>
      <c r="J26"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26" s="2">
        <v>5</v>
      </c>
      <c r="L26" s="185">
        <v>0</v>
      </c>
      <c r="M26" s="185">
        <v>0</v>
      </c>
      <c r="N26" s="185">
        <v>0</v>
      </c>
      <c r="O26" s="90" cm="1">
        <f t="array" ref="O26">SUM(comp[[#This Row],[assemble]:[colo]]*comp_ponderation)</f>
        <v>0</v>
      </c>
      <c r="P26" s="84">
        <f>(1-comp[[#This Row],[Progress]])*comp[[#This Row],[Estimated]]</f>
        <v>5</v>
      </c>
      <c r="Q26" s="220"/>
    </row>
    <row r="27" spans="1:17" ht="30" customHeight="1" x14ac:dyDescent="0.25">
      <c r="A27" s="3" t="str">
        <f>metaSHOTS[[#This Row],[Shot]]</f>
        <v>030_070</v>
      </c>
      <c r="B27" s="2" t="e" vm="24">
        <f>metaSHOTS[[#This Row],[Thumbnail]]</f>
        <v>#VALUE!</v>
      </c>
      <c r="C27" s="86" t="b">
        <v>0</v>
      </c>
      <c r="D27" s="186" t="s">
        <v>324</v>
      </c>
      <c r="E27" s="2">
        <f>metaSHOTS[[#This Row],[Start]]</f>
        <v>1</v>
      </c>
      <c r="F27" s="2">
        <f>metaSHOTS[[#This Row],[End]]</f>
        <v>19</v>
      </c>
      <c r="G27" s="2">
        <f>metaSHOTS[[#This Row],[Duration]]</f>
        <v>19</v>
      </c>
      <c r="H27" s="8" t="s">
        <v>312</v>
      </c>
      <c r="I27" s="8" t="s">
        <v>16</v>
      </c>
      <c r="J27"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27" s="2">
        <v>4</v>
      </c>
      <c r="L27" s="185">
        <v>0</v>
      </c>
      <c r="M27" s="185">
        <v>0</v>
      </c>
      <c r="N27" s="185">
        <v>0</v>
      </c>
      <c r="O27" s="90" cm="1">
        <f t="array" ref="O27">SUM(comp[[#This Row],[assemble]:[colo]]*comp_ponderation)</f>
        <v>0</v>
      </c>
      <c r="P27" s="84">
        <f>(1-comp[[#This Row],[Progress]])*comp[[#This Row],[Estimated]]</f>
        <v>4</v>
      </c>
      <c r="Q27" s="220"/>
    </row>
    <row r="28" spans="1:17" ht="30" customHeight="1" x14ac:dyDescent="0.25">
      <c r="A28" s="3" t="str">
        <f>metaSHOTS[[#This Row],[Shot]]</f>
        <v>030_080</v>
      </c>
      <c r="B28" s="2" t="e" vm="25">
        <f>metaSHOTS[[#This Row],[Thumbnail]]</f>
        <v>#VALUE!</v>
      </c>
      <c r="C28" s="86" t="b">
        <v>0</v>
      </c>
      <c r="D28" s="186" t="s">
        <v>324</v>
      </c>
      <c r="E28" s="2">
        <f>metaSHOTS[[#This Row],[Start]]</f>
        <v>1</v>
      </c>
      <c r="F28" s="2">
        <f>metaSHOTS[[#This Row],[End]]</f>
        <v>51</v>
      </c>
      <c r="G28" s="2">
        <f>metaSHOTS[[#This Row],[Duration]]</f>
        <v>51</v>
      </c>
      <c r="H28" s="8" t="s">
        <v>312</v>
      </c>
      <c r="I28" s="8" t="s">
        <v>16</v>
      </c>
      <c r="J28"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28" s="2">
        <v>6</v>
      </c>
      <c r="L28" s="185">
        <v>0</v>
      </c>
      <c r="M28" s="185">
        <v>0</v>
      </c>
      <c r="N28" s="185">
        <v>0</v>
      </c>
      <c r="O28" s="90" cm="1">
        <f t="array" ref="O28">SUM(comp[[#This Row],[assemble]:[colo]]*comp_ponderation)</f>
        <v>0</v>
      </c>
      <c r="P28" s="84">
        <f>(1-comp[[#This Row],[Progress]])*comp[[#This Row],[Estimated]]</f>
        <v>6</v>
      </c>
      <c r="Q28" s="220"/>
    </row>
    <row r="29" spans="1:17" ht="30" customHeight="1" x14ac:dyDescent="0.25">
      <c r="A29" s="3" t="str">
        <f>metaSHOTS[[#This Row],[Shot]]</f>
        <v>030_100</v>
      </c>
      <c r="B29" s="2" t="e" vm="26">
        <f>metaSHOTS[[#This Row],[Thumbnail]]</f>
        <v>#VALUE!</v>
      </c>
      <c r="C29" s="86" t="b">
        <v>0</v>
      </c>
      <c r="D29" s="186" t="s">
        <v>324</v>
      </c>
      <c r="E29" s="2">
        <f>metaSHOTS[[#This Row],[Start]]</f>
        <v>1</v>
      </c>
      <c r="F29" s="2">
        <f>metaSHOTS[[#This Row],[End]]</f>
        <v>87</v>
      </c>
      <c r="G29" s="2">
        <f>metaSHOTS[[#This Row],[Duration]]</f>
        <v>87</v>
      </c>
      <c r="H29" s="8" t="s">
        <v>312</v>
      </c>
      <c r="I29" s="8" t="s">
        <v>16</v>
      </c>
      <c r="J29"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29" s="2">
        <v>5</v>
      </c>
      <c r="L29" s="185">
        <v>0</v>
      </c>
      <c r="M29" s="185">
        <v>0</v>
      </c>
      <c r="N29" s="185">
        <v>0</v>
      </c>
      <c r="O29" s="90" cm="1">
        <f t="array" ref="O29">SUM(comp[[#This Row],[assemble]:[colo]]*comp_ponderation)</f>
        <v>0</v>
      </c>
      <c r="P29" s="84">
        <f>(1-comp[[#This Row],[Progress]])*comp[[#This Row],[Estimated]]</f>
        <v>5</v>
      </c>
      <c r="Q29" s="220"/>
    </row>
    <row r="30" spans="1:17" ht="30" customHeight="1" x14ac:dyDescent="0.25">
      <c r="A30" s="3" t="str">
        <f>metaSHOTS[[#This Row],[Shot]]</f>
        <v>030_110</v>
      </c>
      <c r="B30" s="2" t="e" vm="27">
        <f>metaSHOTS[[#This Row],[Thumbnail]]</f>
        <v>#VALUE!</v>
      </c>
      <c r="C30" s="86" t="b">
        <v>0</v>
      </c>
      <c r="D30" s="186" t="s">
        <v>324</v>
      </c>
      <c r="E30" s="2">
        <f>metaSHOTS[[#This Row],[Start]]</f>
        <v>1</v>
      </c>
      <c r="F30" s="2">
        <f>metaSHOTS[[#This Row],[End]]</f>
        <v>64</v>
      </c>
      <c r="G30" s="2">
        <f>metaSHOTS[[#This Row],[Duration]]</f>
        <v>64</v>
      </c>
      <c r="H30" s="8" t="s">
        <v>312</v>
      </c>
      <c r="I30" s="8" t="s">
        <v>16</v>
      </c>
      <c r="J30"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0" s="2">
        <v>5</v>
      </c>
      <c r="L30" s="185">
        <v>0</v>
      </c>
      <c r="M30" s="185">
        <v>0</v>
      </c>
      <c r="N30" s="185">
        <v>0</v>
      </c>
      <c r="O30" s="90" cm="1">
        <f t="array" ref="O30">SUM(comp[[#This Row],[assemble]:[colo]]*comp_ponderation)</f>
        <v>0</v>
      </c>
      <c r="P30" s="84">
        <f>(1-comp[[#This Row],[Progress]])*comp[[#This Row],[Estimated]]</f>
        <v>5</v>
      </c>
      <c r="Q30" s="220"/>
    </row>
    <row r="31" spans="1:17" ht="30" customHeight="1" x14ac:dyDescent="0.25">
      <c r="A31" s="3" t="str">
        <f>metaSHOTS[[#This Row],[Shot]]</f>
        <v>030_120</v>
      </c>
      <c r="B31" s="2" t="e" vm="28">
        <f>metaSHOTS[[#This Row],[Thumbnail]]</f>
        <v>#VALUE!</v>
      </c>
      <c r="C31" s="86" t="b">
        <v>0</v>
      </c>
      <c r="D31" s="186" t="s">
        <v>324</v>
      </c>
      <c r="E31" s="2">
        <f>metaSHOTS[[#This Row],[Start]]</f>
        <v>1</v>
      </c>
      <c r="F31" s="2">
        <f>metaSHOTS[[#This Row],[End]]</f>
        <v>71</v>
      </c>
      <c r="G31" s="2">
        <f>metaSHOTS[[#This Row],[Duration]]</f>
        <v>71</v>
      </c>
      <c r="H31" s="8" t="s">
        <v>312</v>
      </c>
      <c r="I31" s="8" t="s">
        <v>16</v>
      </c>
      <c r="J31"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1" s="2">
        <v>5</v>
      </c>
      <c r="L31" s="185">
        <v>0</v>
      </c>
      <c r="M31" s="185">
        <v>0</v>
      </c>
      <c r="N31" s="185">
        <v>0</v>
      </c>
      <c r="O31" s="90" cm="1">
        <f t="array" ref="O31">SUM(comp[[#This Row],[assemble]:[colo]]*comp_ponderation)</f>
        <v>0</v>
      </c>
      <c r="P31" s="84">
        <f>(1-comp[[#This Row],[Progress]])*comp[[#This Row],[Estimated]]</f>
        <v>5</v>
      </c>
      <c r="Q31" s="220"/>
    </row>
    <row r="32" spans="1:17" ht="30" customHeight="1" x14ac:dyDescent="0.25">
      <c r="A32" s="3" t="str">
        <f>metaSHOTS[[#This Row],[Shot]]</f>
        <v>030_130</v>
      </c>
      <c r="B32" s="2" t="e" vm="29">
        <f>metaSHOTS[[#This Row],[Thumbnail]]</f>
        <v>#VALUE!</v>
      </c>
      <c r="C32" s="86" t="b">
        <v>0</v>
      </c>
      <c r="D32" s="186" t="s">
        <v>324</v>
      </c>
      <c r="E32" s="2">
        <f>metaSHOTS[[#This Row],[Start]]</f>
        <v>1</v>
      </c>
      <c r="F32" s="2">
        <f>metaSHOTS[[#This Row],[End]]</f>
        <v>46</v>
      </c>
      <c r="G32" s="2">
        <f>metaSHOTS[[#This Row],[Duration]]</f>
        <v>46</v>
      </c>
      <c r="H32" s="8" t="s">
        <v>312</v>
      </c>
      <c r="I32" s="8" t="s">
        <v>16</v>
      </c>
      <c r="J32"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2" s="2">
        <v>4</v>
      </c>
      <c r="L32" s="185">
        <v>0</v>
      </c>
      <c r="M32" s="185">
        <v>0</v>
      </c>
      <c r="N32" s="185">
        <v>0</v>
      </c>
      <c r="O32" s="90" cm="1">
        <f t="array" ref="O32">SUM(comp[[#This Row],[assemble]:[colo]]*comp_ponderation)</f>
        <v>0</v>
      </c>
      <c r="P32" s="84">
        <f>(1-comp[[#This Row],[Progress]])*comp[[#This Row],[Estimated]]</f>
        <v>4</v>
      </c>
      <c r="Q32" s="220"/>
    </row>
    <row r="33" spans="1:17" ht="30" customHeight="1" x14ac:dyDescent="0.25">
      <c r="A33" s="3" t="str">
        <f>metaSHOTS[[#This Row],[Shot]]</f>
        <v>030_140</v>
      </c>
      <c r="B33" s="2" t="e" vm="30">
        <f>metaSHOTS[[#This Row],[Thumbnail]]</f>
        <v>#VALUE!</v>
      </c>
      <c r="C33" s="86" t="b">
        <v>0</v>
      </c>
      <c r="D33" s="186" t="s">
        <v>324</v>
      </c>
      <c r="E33" s="2">
        <f>metaSHOTS[[#This Row],[Start]]</f>
        <v>1</v>
      </c>
      <c r="F33" s="2">
        <f>metaSHOTS[[#This Row],[End]]</f>
        <v>29</v>
      </c>
      <c r="G33" s="2">
        <f>metaSHOTS[[#This Row],[Duration]]</f>
        <v>29</v>
      </c>
      <c r="H33" s="8" t="s">
        <v>312</v>
      </c>
      <c r="I33" s="8" t="s">
        <v>18</v>
      </c>
      <c r="J33"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3" s="2">
        <v>1</v>
      </c>
      <c r="L33" s="185">
        <v>0</v>
      </c>
      <c r="M33" s="185">
        <v>0</v>
      </c>
      <c r="N33" s="185">
        <v>0</v>
      </c>
      <c r="O33" s="90" cm="1">
        <f t="array" ref="O33">SUM(comp[[#This Row],[assemble]:[colo]]*comp_ponderation)</f>
        <v>0</v>
      </c>
      <c r="P33" s="84">
        <f>(1-comp[[#This Row],[Progress]])*comp[[#This Row],[Estimated]]</f>
        <v>1</v>
      </c>
      <c r="Q33" s="220"/>
    </row>
    <row r="34" spans="1:17" ht="30" customHeight="1" x14ac:dyDescent="0.25">
      <c r="A34" s="3" t="str">
        <f>metaSHOTS[[#This Row],[Shot]]</f>
        <v>030_150</v>
      </c>
      <c r="B34" s="2" t="e" vm="31">
        <f>metaSHOTS[[#This Row],[Thumbnail]]</f>
        <v>#VALUE!</v>
      </c>
      <c r="C34" s="86" t="b">
        <v>0</v>
      </c>
      <c r="D34" s="186" t="s">
        <v>324</v>
      </c>
      <c r="E34" s="2">
        <f>metaSHOTS[[#This Row],[Start]]</f>
        <v>1</v>
      </c>
      <c r="F34" s="2">
        <f>metaSHOTS[[#This Row],[End]]</f>
        <v>19</v>
      </c>
      <c r="G34" s="2">
        <f>metaSHOTS[[#This Row],[Duration]]</f>
        <v>19</v>
      </c>
      <c r="H34" s="8" t="s">
        <v>312</v>
      </c>
      <c r="I34" s="8" t="s">
        <v>18</v>
      </c>
      <c r="J34"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4" s="2">
        <v>5</v>
      </c>
      <c r="L34" s="185">
        <v>0</v>
      </c>
      <c r="M34" s="185">
        <v>0</v>
      </c>
      <c r="N34" s="185">
        <v>0</v>
      </c>
      <c r="O34" s="90" cm="1">
        <f t="array" ref="O34">SUM(comp[[#This Row],[assemble]:[colo]]*comp_ponderation)</f>
        <v>0</v>
      </c>
      <c r="P34" s="84">
        <f>(1-comp[[#This Row],[Progress]])*comp[[#This Row],[Estimated]]</f>
        <v>5</v>
      </c>
      <c r="Q34" s="220"/>
    </row>
    <row r="35" spans="1:17" ht="30" customHeight="1" x14ac:dyDescent="0.25">
      <c r="A35" s="3" t="str">
        <f>metaSHOTS[[#This Row],[Shot]]</f>
        <v>040_010</v>
      </c>
      <c r="B35" s="2" t="e" vm="32">
        <f>metaSHOTS[[#This Row],[Thumbnail]]</f>
        <v>#VALUE!</v>
      </c>
      <c r="C35" s="86" t="b">
        <v>0</v>
      </c>
      <c r="D35" s="186" t="s">
        <v>324</v>
      </c>
      <c r="E35" s="2">
        <f>metaSHOTS[[#This Row],[Start]]</f>
        <v>20</v>
      </c>
      <c r="F35" s="2">
        <f>metaSHOTS[[#This Row],[End]]</f>
        <v>108</v>
      </c>
      <c r="G35" s="2">
        <f>metaSHOTS[[#This Row],[Duration]]</f>
        <v>89</v>
      </c>
      <c r="H35" s="8" t="s">
        <v>312</v>
      </c>
      <c r="I35" s="8" t="s">
        <v>18</v>
      </c>
      <c r="J35"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5" s="2">
        <v>4</v>
      </c>
      <c r="L35" s="185">
        <v>0</v>
      </c>
      <c r="M35" s="185">
        <v>0</v>
      </c>
      <c r="N35" s="185">
        <v>0</v>
      </c>
      <c r="O35" s="90" cm="1">
        <f t="array" ref="O35">SUM(comp[[#This Row],[assemble]:[colo]]*comp_ponderation)</f>
        <v>0</v>
      </c>
      <c r="P35" s="84">
        <f>(1-comp[[#This Row],[Progress]])*comp[[#This Row],[Estimated]]</f>
        <v>4</v>
      </c>
      <c r="Q35" s="220"/>
    </row>
    <row r="36" spans="1:17" ht="30" customHeight="1" x14ac:dyDescent="0.25">
      <c r="A36" s="3" t="str">
        <f>metaSHOTS[[#This Row],[Shot]]</f>
        <v>040_020</v>
      </c>
      <c r="B36" s="2" t="e" vm="33">
        <f>metaSHOTS[[#This Row],[Thumbnail]]</f>
        <v>#VALUE!</v>
      </c>
      <c r="C36" s="86" t="b">
        <v>0</v>
      </c>
      <c r="D36" s="186" t="s">
        <v>324</v>
      </c>
      <c r="E36" s="2">
        <f>metaSHOTS[[#This Row],[Start]]</f>
        <v>1</v>
      </c>
      <c r="F36" s="2">
        <f>metaSHOTS[[#This Row],[End]]</f>
        <v>150</v>
      </c>
      <c r="G36" s="2">
        <f>metaSHOTS[[#This Row],[Duration]]</f>
        <v>150</v>
      </c>
      <c r="H36" s="8" t="s">
        <v>312</v>
      </c>
      <c r="I36" s="8" t="s">
        <v>18</v>
      </c>
      <c r="J36"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6" s="2">
        <v>4</v>
      </c>
      <c r="L36" s="185">
        <v>0</v>
      </c>
      <c r="M36" s="185">
        <v>0</v>
      </c>
      <c r="N36" s="185">
        <v>0</v>
      </c>
      <c r="O36" s="90" cm="1">
        <f t="array" ref="O36">SUM(comp[[#This Row],[assemble]:[colo]]*comp_ponderation)</f>
        <v>0</v>
      </c>
      <c r="P36" s="84">
        <f>(1-comp[[#This Row],[Progress]])*comp[[#This Row],[Estimated]]</f>
        <v>4</v>
      </c>
      <c r="Q36" s="220"/>
    </row>
    <row r="37" spans="1:17" ht="30" customHeight="1" x14ac:dyDescent="0.25">
      <c r="A37" s="3" t="str">
        <f>metaSHOTS[[#This Row],[Shot]]</f>
        <v>040_030</v>
      </c>
      <c r="B37" s="2" t="e" vm="34">
        <f>metaSHOTS[[#This Row],[Thumbnail]]</f>
        <v>#VALUE!</v>
      </c>
      <c r="C37" s="86" t="b">
        <v>0</v>
      </c>
      <c r="D37" s="186" t="s">
        <v>324</v>
      </c>
      <c r="E37" s="2">
        <f>metaSHOTS[[#This Row],[Start]]</f>
        <v>1</v>
      </c>
      <c r="F37" s="2">
        <f>metaSHOTS[[#This Row],[End]]</f>
        <v>115</v>
      </c>
      <c r="G37" s="2">
        <f>metaSHOTS[[#This Row],[Duration]]</f>
        <v>115</v>
      </c>
      <c r="H37" s="8" t="s">
        <v>312</v>
      </c>
      <c r="I37" s="8" t="s">
        <v>18</v>
      </c>
      <c r="J37"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7" s="2">
        <v>4</v>
      </c>
      <c r="L37" s="185">
        <v>0</v>
      </c>
      <c r="M37" s="185">
        <v>0</v>
      </c>
      <c r="N37" s="185">
        <v>0</v>
      </c>
      <c r="O37" s="90" cm="1">
        <f t="array" ref="O37">SUM(comp[[#This Row],[assemble]:[colo]]*comp_ponderation)</f>
        <v>0</v>
      </c>
      <c r="P37" s="84">
        <f>(1-comp[[#This Row],[Progress]])*comp[[#This Row],[Estimated]]</f>
        <v>4</v>
      </c>
      <c r="Q37" s="220"/>
    </row>
    <row r="38" spans="1:17" ht="30" customHeight="1" x14ac:dyDescent="0.25">
      <c r="A38" s="3" t="str">
        <f>metaSHOTS[[#This Row],[Shot]]</f>
        <v>040_040</v>
      </c>
      <c r="B38" s="2" t="e" vm="35">
        <f>metaSHOTS[[#This Row],[Thumbnail]]</f>
        <v>#VALUE!</v>
      </c>
      <c r="C38" s="86" t="b">
        <v>0</v>
      </c>
      <c r="D38" s="186" t="s">
        <v>324</v>
      </c>
      <c r="E38" s="2">
        <f>metaSHOTS[[#This Row],[Start]]</f>
        <v>1</v>
      </c>
      <c r="F38" s="2">
        <f>metaSHOTS[[#This Row],[End]]</f>
        <v>81</v>
      </c>
      <c r="G38" s="2">
        <f>metaSHOTS[[#This Row],[Duration]]</f>
        <v>81</v>
      </c>
      <c r="H38" s="8" t="s">
        <v>312</v>
      </c>
      <c r="I38" s="8" t="s">
        <v>18</v>
      </c>
      <c r="J38"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8" s="2">
        <v>4</v>
      </c>
      <c r="L38" s="185">
        <v>0</v>
      </c>
      <c r="M38" s="185">
        <v>0</v>
      </c>
      <c r="N38" s="185">
        <v>0</v>
      </c>
      <c r="O38" s="90" cm="1">
        <f t="array" ref="O38">SUM(comp[[#This Row],[assemble]:[colo]]*comp_ponderation)</f>
        <v>0</v>
      </c>
      <c r="P38" s="84">
        <f>(1-comp[[#This Row],[Progress]])*comp[[#This Row],[Estimated]]</f>
        <v>4</v>
      </c>
      <c r="Q38" s="220"/>
    </row>
    <row r="39" spans="1:17" ht="30" customHeight="1" x14ac:dyDescent="0.25">
      <c r="A39" s="3" t="str">
        <f>metaSHOTS[[#This Row],[Shot]]</f>
        <v>040_050</v>
      </c>
      <c r="B39" s="2" t="e" vm="36">
        <f>metaSHOTS[[#This Row],[Thumbnail]]</f>
        <v>#VALUE!</v>
      </c>
      <c r="C39" s="86" t="b">
        <v>0</v>
      </c>
      <c r="D39" s="186" t="s">
        <v>324</v>
      </c>
      <c r="E39" s="2">
        <f>metaSHOTS[[#This Row],[Start]]</f>
        <v>1</v>
      </c>
      <c r="F39" s="2">
        <f>metaSHOTS[[#This Row],[End]]</f>
        <v>79</v>
      </c>
      <c r="G39" s="2">
        <f>metaSHOTS[[#This Row],[Duration]]</f>
        <v>79</v>
      </c>
      <c r="H39" s="8" t="s">
        <v>312</v>
      </c>
      <c r="I39" s="8" t="s">
        <v>18</v>
      </c>
      <c r="J39"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39" s="2">
        <v>6</v>
      </c>
      <c r="L39" s="185">
        <v>0</v>
      </c>
      <c r="M39" s="185">
        <v>0</v>
      </c>
      <c r="N39" s="185">
        <v>0</v>
      </c>
      <c r="O39" s="90" cm="1">
        <f t="array" ref="O39">SUM(comp[[#This Row],[assemble]:[colo]]*comp_ponderation)</f>
        <v>0</v>
      </c>
      <c r="P39" s="84">
        <f>(1-comp[[#This Row],[Progress]])*comp[[#This Row],[Estimated]]</f>
        <v>6</v>
      </c>
      <c r="Q39" s="220"/>
    </row>
    <row r="40" spans="1:17" ht="30" customHeight="1" x14ac:dyDescent="0.25">
      <c r="A40" s="3" t="str">
        <f>metaSHOTS[[#This Row],[Shot]]</f>
        <v>040_070</v>
      </c>
      <c r="B40" s="2" t="e" vm="37">
        <f>metaSHOTS[[#This Row],[Thumbnail]]</f>
        <v>#VALUE!</v>
      </c>
      <c r="C40" s="86" t="b">
        <v>0</v>
      </c>
      <c r="D40" s="186" t="s">
        <v>324</v>
      </c>
      <c r="E40" s="2">
        <f>metaSHOTS[[#This Row],[Start]]</f>
        <v>1</v>
      </c>
      <c r="F40" s="2">
        <f>metaSHOTS[[#This Row],[End]]</f>
        <v>39</v>
      </c>
      <c r="G40" s="2">
        <f>metaSHOTS[[#This Row],[Duration]]</f>
        <v>39</v>
      </c>
      <c r="H40" s="8" t="s">
        <v>312</v>
      </c>
      <c r="I40" s="8" t="s">
        <v>18</v>
      </c>
      <c r="J40"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0" s="2">
        <v>4</v>
      </c>
      <c r="L40" s="185">
        <v>0</v>
      </c>
      <c r="M40" s="185">
        <v>0</v>
      </c>
      <c r="N40" s="185">
        <v>0</v>
      </c>
      <c r="O40" s="90" cm="1">
        <f t="array" ref="O40">SUM(comp[[#This Row],[assemble]:[colo]]*comp_ponderation)</f>
        <v>0</v>
      </c>
      <c r="P40" s="84">
        <f>(1-comp[[#This Row],[Progress]])*comp[[#This Row],[Estimated]]</f>
        <v>4</v>
      </c>
      <c r="Q40" s="220"/>
    </row>
    <row r="41" spans="1:17" ht="30" customHeight="1" x14ac:dyDescent="0.25">
      <c r="A41" s="3" t="str">
        <f>metaSHOTS[[#This Row],[Shot]]</f>
        <v>040_090</v>
      </c>
      <c r="B41" s="2" t="e" vm="38">
        <f>metaSHOTS[[#This Row],[Thumbnail]]</f>
        <v>#VALUE!</v>
      </c>
      <c r="C41" s="86" t="b">
        <v>0</v>
      </c>
      <c r="D41" s="186" t="s">
        <v>324</v>
      </c>
      <c r="E41" s="2">
        <f>metaSHOTS[[#This Row],[Start]]</f>
        <v>1</v>
      </c>
      <c r="F41" s="2">
        <f>metaSHOTS[[#This Row],[End]]</f>
        <v>63</v>
      </c>
      <c r="G41" s="2">
        <f>metaSHOTS[[#This Row],[Duration]]</f>
        <v>63</v>
      </c>
      <c r="H41" s="8" t="s">
        <v>312</v>
      </c>
      <c r="I41" s="8" t="s">
        <v>18</v>
      </c>
      <c r="J41"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1" s="2">
        <v>4</v>
      </c>
      <c r="L41" s="185">
        <v>0</v>
      </c>
      <c r="M41" s="185">
        <v>0</v>
      </c>
      <c r="N41" s="185">
        <v>0</v>
      </c>
      <c r="O41" s="90" cm="1">
        <f t="array" ref="O41">SUM(comp[[#This Row],[assemble]:[colo]]*comp_ponderation)</f>
        <v>0</v>
      </c>
      <c r="P41" s="84">
        <f>(1-comp[[#This Row],[Progress]])*comp[[#This Row],[Estimated]]</f>
        <v>4</v>
      </c>
      <c r="Q41" s="220"/>
    </row>
    <row r="42" spans="1:17" ht="30" customHeight="1" x14ac:dyDescent="0.25">
      <c r="A42" s="3" t="str">
        <f>metaSHOTS[[#This Row],[Shot]]</f>
        <v>040_100</v>
      </c>
      <c r="B42" s="2" t="e" vm="39">
        <f>metaSHOTS[[#This Row],[Thumbnail]]</f>
        <v>#VALUE!</v>
      </c>
      <c r="C42" s="86" t="b">
        <v>0</v>
      </c>
      <c r="D42" s="186" t="s">
        <v>324</v>
      </c>
      <c r="E42" s="2">
        <f>metaSHOTS[[#This Row],[Start]]</f>
        <v>1</v>
      </c>
      <c r="F42" s="2">
        <f>metaSHOTS[[#This Row],[End]]</f>
        <v>55</v>
      </c>
      <c r="G42" s="2">
        <f>metaSHOTS[[#This Row],[Duration]]</f>
        <v>55</v>
      </c>
      <c r="H42" s="8" t="s">
        <v>312</v>
      </c>
      <c r="I42" s="8" t="s">
        <v>18</v>
      </c>
      <c r="J42"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2" s="2">
        <v>4</v>
      </c>
      <c r="L42" s="185">
        <v>0</v>
      </c>
      <c r="M42" s="185">
        <v>0</v>
      </c>
      <c r="N42" s="185">
        <v>0</v>
      </c>
      <c r="O42" s="90" cm="1">
        <f t="array" ref="O42">SUM(comp[[#This Row],[assemble]:[colo]]*comp_ponderation)</f>
        <v>0</v>
      </c>
      <c r="P42" s="84">
        <f>(1-comp[[#This Row],[Progress]])*comp[[#This Row],[Estimated]]</f>
        <v>4</v>
      </c>
      <c r="Q42" s="220"/>
    </row>
    <row r="43" spans="1:17" ht="30" customHeight="1" x14ac:dyDescent="0.25">
      <c r="A43" s="3" t="str">
        <f>metaSHOTS[[#This Row],[Shot]]</f>
        <v>040_110</v>
      </c>
      <c r="B43" s="2" t="e" vm="40">
        <f>metaSHOTS[[#This Row],[Thumbnail]]</f>
        <v>#VALUE!</v>
      </c>
      <c r="C43" s="86" t="b">
        <v>0</v>
      </c>
      <c r="D43" s="186" t="s">
        <v>324</v>
      </c>
      <c r="E43" s="2">
        <f>metaSHOTS[[#This Row],[Start]]</f>
        <v>1</v>
      </c>
      <c r="F43" s="2">
        <f>metaSHOTS[[#This Row],[End]]</f>
        <v>76</v>
      </c>
      <c r="G43" s="2">
        <f>metaSHOTS[[#This Row],[Duration]]</f>
        <v>76</v>
      </c>
      <c r="H43" s="8" t="s">
        <v>312</v>
      </c>
      <c r="I43" s="8" t="s">
        <v>18</v>
      </c>
      <c r="J43"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3" s="2">
        <v>3</v>
      </c>
      <c r="L43" s="185">
        <v>0</v>
      </c>
      <c r="M43" s="185">
        <v>0</v>
      </c>
      <c r="N43" s="185">
        <v>0</v>
      </c>
      <c r="O43" s="90" cm="1">
        <f t="array" ref="O43">SUM(comp[[#This Row],[assemble]:[colo]]*comp_ponderation)</f>
        <v>0</v>
      </c>
      <c r="P43" s="84">
        <f>(1-comp[[#This Row],[Progress]])*comp[[#This Row],[Estimated]]</f>
        <v>3</v>
      </c>
      <c r="Q43" s="220"/>
    </row>
    <row r="44" spans="1:17" ht="30" customHeight="1" x14ac:dyDescent="0.25">
      <c r="A44" s="3" t="str">
        <f>metaSHOTS[[#This Row],[Shot]]</f>
        <v>040_120</v>
      </c>
      <c r="B44" s="2" t="e" vm="41">
        <f>metaSHOTS[[#This Row],[Thumbnail]]</f>
        <v>#VALUE!</v>
      </c>
      <c r="C44" s="86" t="b">
        <v>0</v>
      </c>
      <c r="D44" s="186" t="s">
        <v>324</v>
      </c>
      <c r="E44" s="2">
        <f>metaSHOTS[[#This Row],[Start]]</f>
        <v>1</v>
      </c>
      <c r="F44" s="2">
        <f>metaSHOTS[[#This Row],[End]]</f>
        <v>90</v>
      </c>
      <c r="G44" s="2">
        <f>metaSHOTS[[#This Row],[Duration]]</f>
        <v>90</v>
      </c>
      <c r="H44" s="8" t="s">
        <v>312</v>
      </c>
      <c r="I44" s="8" t="s">
        <v>18</v>
      </c>
      <c r="J44"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4" s="2">
        <v>7</v>
      </c>
      <c r="L44" s="185">
        <v>0</v>
      </c>
      <c r="M44" s="185">
        <v>0</v>
      </c>
      <c r="N44" s="185">
        <v>0</v>
      </c>
      <c r="O44" s="90" cm="1">
        <f t="array" ref="O44">SUM(comp[[#This Row],[assemble]:[colo]]*comp_ponderation)</f>
        <v>0</v>
      </c>
      <c r="P44" s="84">
        <f>(1-comp[[#This Row],[Progress]])*comp[[#This Row],[Estimated]]</f>
        <v>7</v>
      </c>
      <c r="Q44" s="220"/>
    </row>
    <row r="45" spans="1:17" ht="30" customHeight="1" x14ac:dyDescent="0.25">
      <c r="A45" s="3" t="str">
        <f>metaSHOTS[[#This Row],[Shot]]</f>
        <v>050_005</v>
      </c>
      <c r="B45" s="2" t="e" vm="42">
        <f>metaSHOTS[[#This Row],[Thumbnail]]</f>
        <v>#VALUE!</v>
      </c>
      <c r="C45" s="86" t="b">
        <v>0</v>
      </c>
      <c r="D45" s="186" t="s">
        <v>324</v>
      </c>
      <c r="E45" s="2">
        <f>metaSHOTS[[#This Row],[Start]]</f>
        <v>1</v>
      </c>
      <c r="F45" s="2">
        <f>metaSHOTS[[#This Row],[End]]</f>
        <v>137</v>
      </c>
      <c r="G45" s="2">
        <f>metaSHOTS[[#This Row],[Duration]]</f>
        <v>137</v>
      </c>
      <c r="H45" s="8" t="s">
        <v>312</v>
      </c>
      <c r="I45" s="8" t="s">
        <v>16</v>
      </c>
      <c r="J45"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5" s="2">
        <v>5</v>
      </c>
      <c r="L45" s="185">
        <v>0</v>
      </c>
      <c r="M45" s="185">
        <v>0</v>
      </c>
      <c r="N45" s="185">
        <v>0</v>
      </c>
      <c r="O45" s="90" cm="1">
        <f t="array" ref="O45">SUM(comp[[#This Row],[assemble]:[colo]]*comp_ponderation)</f>
        <v>0</v>
      </c>
      <c r="P45" s="84">
        <f>(1-comp[[#This Row],[Progress]])*comp[[#This Row],[Estimated]]</f>
        <v>5</v>
      </c>
      <c r="Q45" s="220"/>
    </row>
    <row r="46" spans="1:17" ht="30" customHeight="1" x14ac:dyDescent="0.25">
      <c r="A46" s="3" t="str">
        <f>metaSHOTS[[#This Row],[Shot]]</f>
        <v>050_020</v>
      </c>
      <c r="B46" s="2" t="e" vm="43">
        <f>metaSHOTS[[#This Row],[Thumbnail]]</f>
        <v>#VALUE!</v>
      </c>
      <c r="C46" s="86" t="b">
        <v>0</v>
      </c>
      <c r="D46" s="186" t="s">
        <v>324</v>
      </c>
      <c r="E46" s="2">
        <f>metaSHOTS[[#This Row],[Start]]</f>
        <v>1</v>
      </c>
      <c r="F46" s="2">
        <f>metaSHOTS[[#This Row],[End]]</f>
        <v>510</v>
      </c>
      <c r="G46" s="2">
        <f>metaSHOTS[[#This Row],[Duration]]</f>
        <v>510</v>
      </c>
      <c r="H46" s="8" t="s">
        <v>312</v>
      </c>
      <c r="I46" s="8" t="s">
        <v>16</v>
      </c>
      <c r="J46" s="2" t="str">
        <f ca="1">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6" s="2">
        <v>5</v>
      </c>
      <c r="L46" s="185">
        <v>0</v>
      </c>
      <c r="M46" s="185">
        <v>0</v>
      </c>
      <c r="N46" s="185">
        <v>0</v>
      </c>
      <c r="O46" s="90" cm="1">
        <f t="array" ref="O46">SUM(comp[[#This Row],[assemble]:[colo]]*comp_ponderation)</f>
        <v>0</v>
      </c>
      <c r="P46" s="84">
        <f>(1-comp[[#This Row],[Progress]])*comp[[#This Row],[Estimated]]</f>
        <v>5</v>
      </c>
      <c r="Q46" s="220"/>
    </row>
    <row r="47" spans="1:17" ht="30" customHeight="1" x14ac:dyDescent="0.25">
      <c r="A47" s="3" t="str">
        <f>metaSHOTS[[#This Row],[Shot]]</f>
        <v>060_010</v>
      </c>
      <c r="B47" s="2" t="e" vm="44">
        <f>metaSHOTS[[#This Row],[Thumbnail]]</f>
        <v>#VALUE!</v>
      </c>
      <c r="C47" s="86" t="b">
        <v>0</v>
      </c>
      <c r="D47" s="186" t="s">
        <v>324</v>
      </c>
      <c r="E47" s="2">
        <f>metaSHOTS[[#This Row],[Start]]</f>
        <v>1</v>
      </c>
      <c r="F47" s="2">
        <f>metaSHOTS[[#This Row],[End]]</f>
        <v>241</v>
      </c>
      <c r="G47" s="2">
        <f>metaSHOTS[[#This Row],[Duration]]</f>
        <v>241</v>
      </c>
      <c r="H47" s="8" t="s">
        <v>312</v>
      </c>
      <c r="I47" s="8" t="s">
        <v>16</v>
      </c>
      <c r="J47"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Needs Fix</v>
      </c>
      <c r="K47" s="2">
        <v>4</v>
      </c>
      <c r="L47" s="185">
        <v>1</v>
      </c>
      <c r="M47" s="185">
        <v>0.35</v>
      </c>
      <c r="N47" s="185">
        <v>0</v>
      </c>
      <c r="O47" s="90" cm="1">
        <f t="array" ref="O47">SUM(comp[[#This Row],[assemble]:[colo]]*comp_ponderation)</f>
        <v>0.60499999999999998</v>
      </c>
      <c r="P47" s="84">
        <f>(1-comp[[#This Row],[Progress]])*comp[[#This Row],[Estimated]]</f>
        <v>1.58</v>
      </c>
      <c r="Q47" s="220" t="s">
        <v>387</v>
      </c>
    </row>
    <row r="48" spans="1:17" ht="30" customHeight="1" x14ac:dyDescent="0.25">
      <c r="A48" s="3" t="str">
        <f>metaSHOTS[[#This Row],[Shot]]</f>
        <v>060_030</v>
      </c>
      <c r="B48" s="2" t="e" vm="45">
        <f>metaSHOTS[[#This Row],[Thumbnail]]</f>
        <v>#VALUE!</v>
      </c>
      <c r="C48" s="86" t="b">
        <v>0</v>
      </c>
      <c r="D48" s="186" t="s">
        <v>324</v>
      </c>
      <c r="E48" s="2">
        <f>metaSHOTS[[#This Row],[Start]]</f>
        <v>1</v>
      </c>
      <c r="F48" s="2">
        <f>metaSHOTS[[#This Row],[End]]</f>
        <v>511</v>
      </c>
      <c r="G48" s="2">
        <f>metaSHOTS[[#This Row],[Duration]]</f>
        <v>511</v>
      </c>
      <c r="H48" s="8" t="s">
        <v>312</v>
      </c>
      <c r="I48" s="8" t="s">
        <v>16</v>
      </c>
      <c r="J48"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8" s="2">
        <v>3</v>
      </c>
      <c r="L48" s="185">
        <v>0</v>
      </c>
      <c r="M48" s="185">
        <v>0</v>
      </c>
      <c r="N48" s="185">
        <v>0</v>
      </c>
      <c r="O48" s="90" cm="1">
        <f t="array" ref="O48">SUM(comp[[#This Row],[assemble]:[colo]]*comp_ponderation)</f>
        <v>0</v>
      </c>
      <c r="P48" s="84">
        <f>(1-comp[[#This Row],[Progress]])*comp[[#This Row],[Estimated]]</f>
        <v>3</v>
      </c>
      <c r="Q48" s="220"/>
    </row>
    <row r="49" spans="1:17" ht="30" customHeight="1" x14ac:dyDescent="0.25">
      <c r="A49" s="3" t="str">
        <f>metaSHOTS[[#This Row],[Shot]]</f>
        <v>040_045</v>
      </c>
      <c r="B49" s="2" t="e" vm="46">
        <f>metaSHOTS[[#This Row],[Thumbnail]]</f>
        <v>#VALUE!</v>
      </c>
      <c r="C49" s="86" t="b">
        <v>0</v>
      </c>
      <c r="D49" s="186" t="s">
        <v>324</v>
      </c>
      <c r="E49" s="2">
        <f>metaSHOTS[[#This Row],[Start]]</f>
        <v>1</v>
      </c>
      <c r="F49" s="2">
        <f>metaSHOTS[[#This Row],[End]]</f>
        <v>55</v>
      </c>
      <c r="G49" s="2">
        <f>metaSHOTS[[#This Row],[Duration]]</f>
        <v>55</v>
      </c>
      <c r="H49" s="8" t="s">
        <v>312</v>
      </c>
      <c r="I49" s="8" t="s">
        <v>16</v>
      </c>
      <c r="J49"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49" s="2">
        <v>3</v>
      </c>
      <c r="L49" s="185">
        <v>0</v>
      </c>
      <c r="M49" s="185">
        <v>0</v>
      </c>
      <c r="N49" s="185">
        <v>0</v>
      </c>
      <c r="O49" s="90" cm="1">
        <f t="array" ref="O49">SUM(comp[[#This Row],[assemble]:[colo]]*comp_ponderation)</f>
        <v>0</v>
      </c>
      <c r="P49" s="84">
        <f>(1-comp[[#This Row],[Progress]])*comp[[#This Row],[Estimated]]</f>
        <v>3</v>
      </c>
      <c r="Q49" s="220"/>
    </row>
    <row r="50" spans="1:17" ht="30" customHeight="1" x14ac:dyDescent="0.25">
      <c r="A50" s="3" t="str">
        <f>metaSHOTS[[#This Row],[Shot]]</f>
        <v>040_135</v>
      </c>
      <c r="B50" s="2" t="e" vm="47">
        <f>metaSHOTS[[#This Row],[Thumbnail]]</f>
        <v>#VALUE!</v>
      </c>
      <c r="C50" s="86" t="b">
        <v>0</v>
      </c>
      <c r="D50" s="186" t="s">
        <v>324</v>
      </c>
      <c r="E50" s="2">
        <f>metaSHOTS[[#This Row],[Start]]</f>
        <v>1</v>
      </c>
      <c r="F50" s="2">
        <f>metaSHOTS[[#This Row],[End]]</f>
        <v>126</v>
      </c>
      <c r="G50" s="2">
        <f>metaSHOTS[[#This Row],[Duration]]</f>
        <v>126</v>
      </c>
      <c r="H50" s="8" t="s">
        <v>312</v>
      </c>
      <c r="I50" s="8" t="s">
        <v>16</v>
      </c>
      <c r="J50"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50" s="2">
        <v>6</v>
      </c>
      <c r="L50" s="185">
        <v>0</v>
      </c>
      <c r="M50" s="185">
        <v>0</v>
      </c>
      <c r="N50" s="185">
        <v>0</v>
      </c>
      <c r="O50" s="90" cm="1">
        <f t="array" ref="O50">SUM(comp[[#This Row],[assemble]:[colo]]*comp_ponderation)</f>
        <v>0</v>
      </c>
      <c r="P50" s="84">
        <f>(1-comp[[#This Row],[Progress]])*comp[[#This Row],[Estimated]]</f>
        <v>6</v>
      </c>
      <c r="Q50" s="220"/>
    </row>
    <row r="51" spans="1:17" ht="30" customHeight="1" x14ac:dyDescent="0.25">
      <c r="A51" s="3" t="str">
        <f>metaSHOTS[[#This Row],[Shot]]</f>
        <v>050_010</v>
      </c>
      <c r="B51" s="2" t="e" vm="48">
        <f>metaSHOTS[[#This Row],[Thumbnail]]</f>
        <v>#VALUE!</v>
      </c>
      <c r="C51" s="86" t="b">
        <v>0</v>
      </c>
      <c r="D51" s="186" t="s">
        <v>324</v>
      </c>
      <c r="E51" s="2">
        <f>metaSHOTS[[#This Row],[Start]]</f>
        <v>1</v>
      </c>
      <c r="F51" s="2">
        <f>metaSHOTS[[#This Row],[End]]</f>
        <v>71</v>
      </c>
      <c r="G51" s="2">
        <f>metaSHOTS[[#This Row],[Duration]]</f>
        <v>71</v>
      </c>
      <c r="H51" s="8" t="s">
        <v>312</v>
      </c>
      <c r="I51" s="8" t="s">
        <v>16</v>
      </c>
      <c r="J51" s="2" t="str">
        <f>IF(
    NOT(ISBLANK(comp[[#This Row],[Commentaires]])), "Needs Fix",
    IF(comp[[#This Row],[Review]]&lt;&gt;"inactive", comp[[#This Row],[Review]],
        IF(comp[[#This Row],[Progress]]=100%, "Pending Review",
            IF(
                AND(0%&lt;comp[[#This Row],[Progress]], comp[[#This Row],[Progress]]&lt;100%), "In Progress",
                IF(
                    render[[#This Row],[Status]]="Approved", "Ready",
                    IF(
                        AND(render[[#This Row],[Progress]]&gt;=upcomingThreshold, render[[#This Row],[Progress]]&lt;=100%), "Upcoming",
                        IF(
                            render[[#This Row],[Progress]]&lt;upcomingThreshold, "Waiting"
                        )
                    )
                )
            )
        )
    )
)</f>
        <v>Waiting</v>
      </c>
      <c r="K51" s="2">
        <v>6</v>
      </c>
      <c r="L51" s="185">
        <v>0</v>
      </c>
      <c r="M51" s="185">
        <v>0</v>
      </c>
      <c r="N51" s="185">
        <v>0</v>
      </c>
      <c r="O51" s="90" cm="1">
        <f t="array" ref="O51">SUM(comp[[#This Row],[assemble]:[colo]]*comp_ponderation)</f>
        <v>0</v>
      </c>
      <c r="P51" s="84">
        <f>(1-comp[[#This Row],[Progress]])*comp[[#This Row],[Estimated]]</f>
        <v>6</v>
      </c>
      <c r="Q51" s="220"/>
    </row>
    <row r="52" spans="1:17" ht="30" customHeight="1" x14ac:dyDescent="0.25">
      <c r="A52" s="2" t="s">
        <v>22</v>
      </c>
      <c r="K52" s="2">
        <f>SUBTOTAL(109,comp[Estimated])</f>
        <v>207</v>
      </c>
      <c r="L52" s="16">
        <f>SUBTOTAL(101,comp[assemble])</f>
        <v>0.3833333333333333</v>
      </c>
      <c r="M52" s="16">
        <f>SUBTOTAL(101,comp[2dvfx])</f>
        <v>0.25312499999999999</v>
      </c>
      <c r="N52" s="16">
        <f>SUBTOTAL(101,comp[colo])</f>
        <v>1.6666666666666666E-2</v>
      </c>
      <c r="O52" s="16">
        <f>(comp[[#Totals],[Estimated]]-comp[[#Totals],[Hours to do]])/comp[[#Totals],[Estimated]]</f>
        <v>0.24463768115942022</v>
      </c>
      <c r="P52" s="84">
        <f>SUBTOTAL(109,comp[Hours to do])</f>
        <v>156.36000000000001</v>
      </c>
      <c r="Q52" s="8"/>
    </row>
  </sheetData>
  <sheetProtection algorithmName="SHA-512" hashValue="rFra2yESFp1RAb9r/EVVNHPUVnfbxOOPFnXr12bVhT83dTr/WdYqR9Au2aTmtCshJ/ERxROAGe8UuNMJqhwtjQ==" saltValue="ku2nDPar6g9jJrg0MrcM9A==" spinCount="100000" sheet="1" selectLockedCells="1" autoFilter="0"/>
  <mergeCells count="1">
    <mergeCell ref="A1:I2"/>
  </mergeCells>
  <conditionalFormatting sqref="J4:J51">
    <cfRule type="containsText" dxfId="21" priority="1" operator="containsText" text="Needs Fix">
      <formula>NOT(ISERROR(SEARCH("Needs Fix",J4)))</formula>
    </cfRule>
    <cfRule type="containsText" dxfId="20" priority="2" operator="containsText" text="Approved">
      <formula>NOT(ISERROR(SEARCH("Approved",J4)))</formula>
    </cfRule>
    <cfRule type="containsText" dxfId="19" priority="3" operator="containsText" text="Pending Review">
      <formula>NOT(ISERROR(SEARCH("Pending Review",J4)))</formula>
    </cfRule>
    <cfRule type="containsText" dxfId="18" priority="4" operator="containsText" text="In Progress">
      <formula>NOT(ISERROR(SEARCH("In Progress",J4)))</formula>
    </cfRule>
    <cfRule type="containsText" dxfId="17" priority="5" operator="containsText" text="Ready">
      <formula>NOT(ISERROR(SEARCH("Ready",J4)))</formula>
    </cfRule>
    <cfRule type="containsText" dxfId="16" priority="6" operator="containsText" text="Upcoming">
      <formula>NOT(ISERROR(SEARCH("Upcoming",J4)))</formula>
    </cfRule>
    <cfRule type="containsText" dxfId="15" priority="7" operator="containsText" text="Waiting">
      <formula>NOT(ISERROR(SEARCH("Waiting",J4)))</formula>
    </cfRule>
  </conditionalFormatting>
  <conditionalFormatting sqref="L4:O51">
    <cfRule type="colorScale" priority="8">
      <colorScale>
        <cfvo type="num" val="0"/>
        <cfvo type="num" val="0.5"/>
        <cfvo type="num" val="1"/>
        <color rgb="FFFF0000"/>
        <color rgb="FFFFFF00"/>
        <color theme="9" tint="-0.249977111117893"/>
      </colorScale>
    </cfRule>
  </conditionalFormatting>
  <conditionalFormatting sqref="P4:Q51">
    <cfRule type="dataBar" priority="911">
      <dataBar>
        <cfvo type="min"/>
        <cfvo type="max"/>
        <color rgb="FF008AEF"/>
      </dataBar>
      <extLst>
        <ext xmlns:x14="http://schemas.microsoft.com/office/spreadsheetml/2009/9/main" uri="{B025F937-C7B1-47D3-B67F-A62EFF666E3E}">
          <x14:id>{FBB1D430-DDF3-4104-ADAE-6F2F8B889D51}</x14:id>
        </ext>
      </extLst>
    </cfRule>
  </conditionalFormatting>
  <pageMargins left="0.7" right="0.7" top="0.75" bottom="0.75" header="0.3" footer="0.3"/>
  <ignoredErrors>
    <ignoredError sqref="N8 N12 N11 N16 N13 N20 N17 L23:N24 M21:N21 L22 N22 L27:N30 M26:N26 L32:N33 N31 N4 N6 N5 N9 N14 N15 N19" calculatedColumn="1"/>
  </ignoredErrors>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FBB1D430-DDF3-4104-ADAE-6F2F8B889D51}">
            <x14:dataBar minLength="0" maxLength="100" border="1" negativeBarBorderColorSameAsPositive="0">
              <x14:cfvo type="autoMin"/>
              <x14:cfvo type="autoMax"/>
              <x14:borderColor rgb="FF008AEF"/>
              <x14:negativeFillColor rgb="FFFF0000"/>
              <x14:negativeBorderColor rgb="FFFF0000"/>
              <x14:axisColor rgb="FF000000"/>
            </x14:dataBar>
          </x14:cfRule>
          <xm:sqref>P4:Q51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5509801-4132-47AA-AB4A-9DC5968AE820}">
          <x14:formula1>
            <xm:f>_data_!$T$8:$T$10</xm:f>
          </x14:formula1>
          <xm:sqref>D4:D51</xm:sqref>
        </x14:dataValidation>
        <x14:dataValidation type="list" allowBlank="1" showInputMessage="1" showErrorMessage="1" xr:uid="{2DC79CFB-759F-417A-A2E7-F7D5E247D156}">
          <x14:formula1>
            <xm:f>_data_!$R$15:$R$16</xm:f>
          </x14:formula1>
          <xm:sqref>C4:C51</xm:sqref>
        </x14:dataValidation>
        <x14:dataValidation type="list" allowBlank="1" showInputMessage="1" showErrorMessage="1" xr:uid="{9E99947C-5757-4A44-897E-CBC5220B432B}">
          <x14:formula1>
            <xm:f>_data_!$M$18:$M$22</xm:f>
          </x14:formula1>
          <xm:sqref>H4:H51</xm:sqref>
        </x14:dataValidation>
        <x14:dataValidation type="list" allowBlank="1" showInputMessage="1" showErrorMessage="1" xr:uid="{72E472FD-C8A8-4B30-8E44-49947FE9EA21}">
          <x14:formula1>
            <xm:f>_data_!$X$28:$X$32</xm:f>
          </x14:formula1>
          <xm:sqref>I4:I51</xm:sqref>
        </x14:dataValidation>
      </x14:dataValidations>
    </ext>
    <ext xmlns:x15="http://schemas.microsoft.com/office/spreadsheetml/2010/11/main" uri="{3A4CF648-6AED-40f4-86FF-DC5316D8AED3}">
      <x14:slicerList xmlns:x14="http://schemas.microsoft.com/office/spreadsheetml/2009/9/main">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A634C-D68D-4E36-88D8-4F3FDCA08EDC}">
  <sheetPr codeName="Feuil15">
    <tabColor theme="9"/>
  </sheetPr>
  <dimension ref="A1:Q52"/>
  <sheetViews>
    <sheetView showGridLines="0" showRowColHeaders="0" zoomScaleNormal="100" workbookViewId="0">
      <pane ySplit="3" topLeftCell="A4" activePane="bottomLeft" state="frozen"/>
      <selection activeCell="L41" sqref="L41"/>
      <selection pane="bottomLeft" activeCell="Q14" sqref="Q14"/>
    </sheetView>
  </sheetViews>
  <sheetFormatPr baseColWidth="10" defaultColWidth="16" defaultRowHeight="30" customHeight="1" outlineLevelCol="1" x14ac:dyDescent="0.25"/>
  <cols>
    <col min="1" max="8" width="12.85546875" style="2" customWidth="1"/>
    <col min="9" max="14" width="12.85546875" style="2" customWidth="1" outlineLevel="1"/>
    <col min="15" max="16" width="12.85546875" style="2" customWidth="1"/>
    <col min="17" max="17" width="98.7109375" style="2" customWidth="1"/>
    <col min="18" max="16384" width="16" style="2"/>
  </cols>
  <sheetData>
    <row r="1" spans="1:17" s="61" customFormat="1" ht="41.25" customHeight="1" x14ac:dyDescent="0.25">
      <c r="A1" s="297" t="s">
        <v>388</v>
      </c>
      <c r="B1" s="297"/>
      <c r="C1" s="297"/>
      <c r="D1" s="297"/>
      <c r="E1" s="297"/>
      <c r="F1" s="297"/>
      <c r="G1" s="297"/>
      <c r="H1" s="157" t="s">
        <v>297</v>
      </c>
      <c r="I1" s="158">
        <v>0.15</v>
      </c>
      <c r="J1" s="158">
        <v>0.3</v>
      </c>
      <c r="K1" s="158">
        <v>0.15</v>
      </c>
      <c r="L1" s="158">
        <v>0.1</v>
      </c>
      <c r="M1" s="158">
        <v>0.1</v>
      </c>
      <c r="N1" s="158">
        <v>0.2</v>
      </c>
    </row>
    <row r="2" spans="1:17" s="61" customFormat="1" ht="41.25" customHeight="1" x14ac:dyDescent="0.25">
      <c r="A2" s="297"/>
      <c r="B2" s="297"/>
      <c r="C2" s="297"/>
      <c r="D2" s="297"/>
      <c r="E2" s="297"/>
      <c r="F2" s="297"/>
      <c r="G2" s="297"/>
      <c r="H2" s="159" t="s">
        <v>298</v>
      </c>
      <c r="I2" s="160">
        <f>layout[[#Totals],[Hours to do]]</f>
        <v>4.8499999999999988</v>
      </c>
      <c r="J2" s="160">
        <f>anim[[#Totals],[Hours to do]]</f>
        <v>0.68999999999999762</v>
      </c>
      <c r="K2" s="160">
        <f>lighting[[#Totals],[Hours to do]]</f>
        <v>34.58</v>
      </c>
      <c r="L2" s="160">
        <f>vfx[[#Totals],[Hours to do]]</f>
        <v>177.89999999999998</v>
      </c>
      <c r="M2" s="160">
        <f>render[[#Totals],[Hours to do]]</f>
        <v>72.099999999999994</v>
      </c>
      <c r="N2" s="160">
        <f>comp[[#Totals],[Hours to do]]</f>
        <v>156.36000000000001</v>
      </c>
    </row>
    <row r="3" spans="1:17" s="92" customFormat="1" ht="23.25" customHeight="1" x14ac:dyDescent="0.25">
      <c r="A3" s="92" t="s">
        <v>343</v>
      </c>
      <c r="B3" s="92" t="s">
        <v>300</v>
      </c>
      <c r="C3" s="92" t="s">
        <v>344</v>
      </c>
      <c r="D3" s="92" t="s">
        <v>345</v>
      </c>
      <c r="E3" s="92" t="s">
        <v>346</v>
      </c>
      <c r="F3" s="92" t="s">
        <v>303</v>
      </c>
      <c r="G3" s="92" t="s">
        <v>269</v>
      </c>
      <c r="H3" s="92" t="s">
        <v>304</v>
      </c>
      <c r="I3" s="173" t="s">
        <v>259</v>
      </c>
      <c r="J3" s="173" t="s">
        <v>255</v>
      </c>
      <c r="K3" s="173" t="s">
        <v>389</v>
      </c>
      <c r="L3" s="173" t="s">
        <v>390</v>
      </c>
      <c r="M3" s="173" t="s">
        <v>257</v>
      </c>
      <c r="N3" s="173" t="s">
        <v>258</v>
      </c>
      <c r="O3" s="92" t="s">
        <v>295</v>
      </c>
      <c r="P3" s="92" t="s">
        <v>308</v>
      </c>
      <c r="Q3" s="92" t="s">
        <v>270</v>
      </c>
    </row>
    <row r="4" spans="1:17" ht="30" customHeight="1" x14ac:dyDescent="0.25">
      <c r="A4" s="3" t="str">
        <f>metaSHOTS[[#This Row],[Shot]]</f>
        <v>000_010</v>
      </c>
      <c r="B4" s="2" t="e" vm="1">
        <f>metaSHOTS[[#This Row],[Thumbnail]]</f>
        <v>#VALUE!</v>
      </c>
      <c r="C4" s="2">
        <f>metaSHOTS[[#This Row],[Start]]</f>
        <v>1</v>
      </c>
      <c r="D4" s="2">
        <f>metaSHOTS[[#This Row],[End]]</f>
        <v>339</v>
      </c>
      <c r="E4" s="2">
        <f>metaSHOTS[[#This Row],[Duration]]</f>
        <v>339</v>
      </c>
      <c r="F4" s="92">
        <f>SUM(LEN(layout[[#This Row],[Priority]]),LEN(anim[[#This Row],[Priority]]),LEN(lighting[[#This Row],[Priority]]),LEN(vfx[[#This Row],[Priority]]), LEN(render[[#This Row],[Priority]]),LEN(comp[[#This Row],[Priority]]))</f>
        <v>6</v>
      </c>
      <c r="G4" s="2" t="str">
        <f>IF(
        comp[[#This Row],[Progress]]&gt;0%, "Comp",
        IF(
            render[[#This Row],[Progress]]&gt;0%, "Render",
            IF(
                vfx[[#This Row],[Progress]]&gt;0%, "VFX",
                IF(
                    lighting[[#This Row],[Progress]]&gt;0%, "Lighting",
                    IF(
                        anim[[#This Row],[Progress]]&gt;0%, "Anim",
                        IF(
                            layout[[#This Row],[Progress]]&gt;=0%, "Layout"
                        )
                    )
                )
            )
        )
    )</f>
        <v>Comp</v>
      </c>
      <c r="H4" s="84">
        <f>SUM(layout[[#This Row],[Estimated]], anim[[#This Row],[Estimated]], lighting[[#This Row],[Estimated]], render[[#This Row],[Estimated]], vfx[[#This Row],[Estimated]], comp[[#This Row],[Estimated]])</f>
        <v>9</v>
      </c>
      <c r="I4" s="172">
        <f>layout[[#This Row],[Progress]]</f>
        <v>1</v>
      </c>
      <c r="J4" s="172">
        <f>anim[[#This Row],[Progress]]</f>
        <v>1</v>
      </c>
      <c r="K4" s="172">
        <f>lighting[[#This Row],[Progress]]</f>
        <v>1</v>
      </c>
      <c r="L4" s="172">
        <f>vfx[[#This Row],[Progress]]</f>
        <v>0</v>
      </c>
      <c r="M4" s="172">
        <f>render[[#This Row],[Progress]]</f>
        <v>0.95</v>
      </c>
      <c r="N4" s="172">
        <f>comp[[#This Row],[Progress]]</f>
        <v>0.8</v>
      </c>
      <c r="O4" s="6" cm="1">
        <f t="array" ref="O4">SUM(shots[[#This Row],[layout]:[comp]]*SHOTS_ponderation)</f>
        <v>0.85499999999999998</v>
      </c>
      <c r="P4" s="84">
        <f>(1-shots[[#This Row],[Progress]])*shots[[#This Row],[Estimated]]</f>
        <v>1.3050000000000002</v>
      </c>
      <c r="Q4" s="189"/>
    </row>
    <row r="5" spans="1:17" ht="30" customHeight="1" x14ac:dyDescent="0.25">
      <c r="A5" s="3" t="str">
        <f>metaSHOTS[[#This Row],[Shot]]</f>
        <v>010_010</v>
      </c>
      <c r="B5" s="2" t="e" vm="2">
        <f>metaSHOTS[[#This Row],[Thumbnail]]</f>
        <v>#VALUE!</v>
      </c>
      <c r="C5" s="2">
        <f>metaSHOTS[[#This Row],[Start]]</f>
        <v>1</v>
      </c>
      <c r="D5" s="2">
        <f>metaSHOTS[[#This Row],[End]]</f>
        <v>93</v>
      </c>
      <c r="E5" s="2">
        <f>metaSHOTS[[#This Row],[Duration]]</f>
        <v>93</v>
      </c>
      <c r="F5" s="92">
        <f>SUM(LEN(layout[[#This Row],[Priority]]),LEN(anim[[#This Row],[Priority]]),LEN(lighting[[#This Row],[Priority]]),LEN(vfx[[#This Row],[Priority]]), LEN(render[[#This Row],[Priority]]),LEN(comp[[#This Row],[Priority]]))</f>
        <v>6</v>
      </c>
      <c r="G5" s="2" t="str">
        <f>IF(
        comp[[#This Row],[Progress]]&gt;0%, "Comp",
        IF(
            render[[#This Row],[Progress]]&gt;0%, "Render",
            IF(
                vfx[[#This Row],[Progress]]&gt;0%, "VFX",
                IF(
                    lighting[[#This Row],[Progress]]&gt;0%, "Lighting",
                    IF(
                        anim[[#This Row],[Progress]]&gt;0%, "Anim",
                        IF(
                            layout[[#This Row],[Progress]]&gt;=0%, "Layout"
                        )
                    )
                )
            )
        )
    )</f>
        <v>Comp</v>
      </c>
      <c r="H5" s="84">
        <f>SUM(layout[[#This Row],[Estimated]], anim[[#This Row],[Estimated]], lighting[[#This Row],[Estimated]], render[[#This Row],[Estimated]], vfx[[#This Row],[Estimated]], comp[[#This Row],[Estimated]])</f>
        <v>22.5</v>
      </c>
      <c r="I5" s="172">
        <f>layout[[#This Row],[Progress]]</f>
        <v>1</v>
      </c>
      <c r="J5" s="172">
        <f>anim[[#This Row],[Progress]]</f>
        <v>1</v>
      </c>
      <c r="K5" s="172">
        <f>lighting[[#This Row],[Progress]]</f>
        <v>0.79</v>
      </c>
      <c r="L5" s="172">
        <f>vfx[[#This Row],[Progress]]</f>
        <v>1</v>
      </c>
      <c r="M5" s="172">
        <f>render[[#This Row],[Progress]]</f>
        <v>0.75</v>
      </c>
      <c r="N5" s="172">
        <f>comp[[#This Row],[Progress]]</f>
        <v>0.65</v>
      </c>
      <c r="O5" s="6" cm="1">
        <f t="array" ref="O5">SUM(shots[[#This Row],[layout]:[comp]]*SHOTS_ponderation)</f>
        <v>0.87350000000000005</v>
      </c>
      <c r="P5" s="84">
        <f>(1-shots[[#This Row],[Progress]])*shots[[#This Row],[Estimated]]</f>
        <v>2.8462499999999986</v>
      </c>
      <c r="Q5" s="189"/>
    </row>
    <row r="6" spans="1:17" ht="30" customHeight="1" x14ac:dyDescent="0.25">
      <c r="A6" s="3" t="str">
        <f>metaSHOTS[[#This Row],[Shot]]</f>
        <v>010_040</v>
      </c>
      <c r="B6" s="2" t="e" vm="3">
        <f>metaSHOTS[[#This Row],[Thumbnail]]</f>
        <v>#VALUE!</v>
      </c>
      <c r="C6" s="2">
        <f>metaSHOTS[[#This Row],[Start]]</f>
        <v>1</v>
      </c>
      <c r="D6" s="2">
        <f>metaSHOTS[[#This Row],[End]]</f>
        <v>111</v>
      </c>
      <c r="E6" s="2">
        <f>metaSHOTS[[#This Row],[Duration]]</f>
        <v>111</v>
      </c>
      <c r="F6" s="92">
        <f>SUM(LEN(layout[[#This Row],[Priority]]),LEN(anim[[#This Row],[Priority]]),LEN(lighting[[#This Row],[Priority]]),LEN(vfx[[#This Row],[Priority]]), LEN(render[[#This Row],[Priority]]),LEN(comp[[#This Row],[Priority]]))</f>
        <v>8</v>
      </c>
      <c r="G6" s="2" t="str">
        <f>IF(
        comp[[#This Row],[Progress]]&gt;0%, "Comp",
        IF(
            render[[#This Row],[Progress]]&gt;0%, "Render",
            IF(
                vfx[[#This Row],[Progress]]&gt;0%, "VFX",
                IF(
                    lighting[[#This Row],[Progress]]&gt;0%, "Lighting",
                    IF(
                        anim[[#This Row],[Progress]]&gt;0%, "Anim",
                        IF(
                            layout[[#This Row],[Progress]]&gt;=0%, "Layout"
                        )
                    )
                )
            )
        )
    )</f>
        <v>Comp</v>
      </c>
      <c r="H6" s="84">
        <f>SUM(layout[[#This Row],[Estimated]], anim[[#This Row],[Estimated]], lighting[[#This Row],[Estimated]], render[[#This Row],[Estimated]], vfx[[#This Row],[Estimated]], comp[[#This Row],[Estimated]])</f>
        <v>23.5</v>
      </c>
      <c r="I6" s="172">
        <f>layout[[#This Row],[Progress]]</f>
        <v>1</v>
      </c>
      <c r="J6" s="172">
        <f>anim[[#This Row],[Progress]]</f>
        <v>1</v>
      </c>
      <c r="K6" s="172">
        <f>lighting[[#This Row],[Progress]]</f>
        <v>1</v>
      </c>
      <c r="L6" s="172">
        <f>vfx[[#This Row],[Progress]]</f>
        <v>1</v>
      </c>
      <c r="M6" s="172">
        <f>render[[#This Row],[Progress]]</f>
        <v>0.9</v>
      </c>
      <c r="N6" s="172">
        <f>comp[[#This Row],[Progress]]</f>
        <v>0.65</v>
      </c>
      <c r="O6" s="6" cm="1">
        <f t="array" ref="O6">SUM(shots[[#This Row],[layout]:[comp]]*SHOTS_ponderation)</f>
        <v>0.91999999999999993</v>
      </c>
      <c r="P6" s="84">
        <f>(1-shots[[#This Row],[Progress]])*shots[[#This Row],[Estimated]]</f>
        <v>1.8800000000000017</v>
      </c>
      <c r="Q6" s="189"/>
    </row>
    <row r="7" spans="1:17" ht="30" customHeight="1" x14ac:dyDescent="0.25">
      <c r="A7" s="3" t="str">
        <f>metaSHOTS[[#This Row],[Shot]]</f>
        <v>010_050</v>
      </c>
      <c r="B7" s="2" t="e" vm="4">
        <f>metaSHOTS[[#This Row],[Thumbnail]]</f>
        <v>#VALUE!</v>
      </c>
      <c r="C7" s="2">
        <f>metaSHOTS[[#This Row],[Start]]</f>
        <v>1</v>
      </c>
      <c r="D7" s="2">
        <f>metaSHOTS[[#This Row],[End]]</f>
        <v>65</v>
      </c>
      <c r="E7" s="2">
        <f>metaSHOTS[[#This Row],[Duration]]</f>
        <v>65</v>
      </c>
      <c r="F7" s="92">
        <f>SUM(LEN(layout[[#This Row],[Priority]]),LEN(anim[[#This Row],[Priority]]),LEN(lighting[[#This Row],[Priority]]),LEN(vfx[[#This Row],[Priority]]), LEN(render[[#This Row],[Priority]]),LEN(comp[[#This Row],[Priority]]))</f>
        <v>16</v>
      </c>
      <c r="G7" s="2" t="str">
        <f>IF(
        comp[[#This Row],[Progress]]&gt;0%, "Comp",
        IF(
            render[[#This Row],[Progress]]&gt;0%, "Render",
            IF(
                vfx[[#This Row],[Progress]]&gt;0%, "VFX",
                IF(
                    lighting[[#This Row],[Progress]]&gt;0%, "Lighting",
                    IF(
                        anim[[#This Row],[Progress]]&gt;0%, "Anim",
                        IF(
                            layout[[#This Row],[Progress]]&gt;=0%, "Layout"
                        )
                    )
                )
            )
        )
    )</f>
        <v>Comp</v>
      </c>
      <c r="H7" s="84">
        <f>SUM(layout[[#This Row],[Estimated]], anim[[#This Row],[Estimated]], lighting[[#This Row],[Estimated]], render[[#This Row],[Estimated]], vfx[[#This Row],[Estimated]], comp[[#This Row],[Estimated]])</f>
        <v>24</v>
      </c>
      <c r="I7" s="172">
        <f>layout[[#This Row],[Progress]]</f>
        <v>1</v>
      </c>
      <c r="J7" s="172">
        <f>anim[[#This Row],[Progress]]</f>
        <v>1</v>
      </c>
      <c r="K7" s="172">
        <f>lighting[[#This Row],[Progress]]</f>
        <v>1</v>
      </c>
      <c r="L7" s="172">
        <f>vfx[[#This Row],[Progress]]</f>
        <v>1</v>
      </c>
      <c r="M7" s="172">
        <f>render[[#This Row],[Progress]]</f>
        <v>0.9</v>
      </c>
      <c r="N7" s="172">
        <f>comp[[#This Row],[Progress]]</f>
        <v>0.65</v>
      </c>
      <c r="O7" s="6" cm="1">
        <f t="array" ref="O7">SUM(shots[[#This Row],[layout]:[comp]]*SHOTS_ponderation)</f>
        <v>0.91999999999999993</v>
      </c>
      <c r="P7" s="84">
        <f>(1-shots[[#This Row],[Progress]])*shots[[#This Row],[Estimated]]</f>
        <v>1.9200000000000017</v>
      </c>
      <c r="Q7" s="189"/>
    </row>
    <row r="8" spans="1:17" ht="30" customHeight="1" x14ac:dyDescent="0.25">
      <c r="A8" s="3" t="str">
        <f>metaSHOTS[[#This Row],[Shot]]</f>
        <v>010_060</v>
      </c>
      <c r="B8" s="2" t="e" vm="5">
        <f>metaSHOTS[[#This Row],[Thumbnail]]</f>
        <v>#VALUE!</v>
      </c>
      <c r="C8" s="2">
        <f>metaSHOTS[[#This Row],[Start]]</f>
        <v>1</v>
      </c>
      <c r="D8" s="2">
        <f>metaSHOTS[[#This Row],[End]]</f>
        <v>76</v>
      </c>
      <c r="E8" s="2">
        <f>metaSHOTS[[#This Row],[Duration]]</f>
        <v>76</v>
      </c>
      <c r="F8" s="92">
        <f>SUM(LEN(layout[[#This Row],[Priority]]),LEN(anim[[#This Row],[Priority]]),LEN(lighting[[#This Row],[Priority]]),LEN(vfx[[#This Row],[Priority]]), LEN(render[[#This Row],[Priority]]),LEN(comp[[#This Row],[Priority]]))</f>
        <v>10</v>
      </c>
      <c r="G8" s="2" t="str">
        <f>IF(
        comp[[#This Row],[Progress]]&gt;0%, "Comp",
        IF(
            render[[#This Row],[Progress]]&gt;0%, "Render",
            IF(
                vfx[[#This Row],[Progress]]&gt;0%, "VFX",
                IF(
                    lighting[[#This Row],[Progress]]&gt;0%, "Lighting",
                    IF(
                        anim[[#This Row],[Progress]]&gt;0%, "Anim",
                        IF(
                            layout[[#This Row],[Progress]]&gt;=0%, "Layout"
                        )
                    )
                )
            )
        )
    )</f>
        <v>Comp</v>
      </c>
      <c r="H8" s="84">
        <f>SUM(layout[[#This Row],[Estimated]], anim[[#This Row],[Estimated]], lighting[[#This Row],[Estimated]], render[[#This Row],[Estimated]], vfx[[#This Row],[Estimated]], comp[[#This Row],[Estimated]])</f>
        <v>19</v>
      </c>
      <c r="I8" s="172">
        <f>IF(layout[[#This Row],[Progress]]="Done", 1, layout[[#This Row],[Progress]])</f>
        <v>1</v>
      </c>
      <c r="J8" s="172">
        <f>IF(anim[[#This Row],[Progress]]="Done", 1, anim[[#This Row],[Progress]])</f>
        <v>1</v>
      </c>
      <c r="K8" s="172">
        <f>IF(lighting[[#This Row],[Progress]]="Done", 1, lighting[[#This Row],[Progress]])</f>
        <v>1</v>
      </c>
      <c r="L8" s="172">
        <f>IF(vfx[[#This Row],[Progress]]="Done", 1, vfx[[#This Row],[Progress]])</f>
        <v>1</v>
      </c>
      <c r="M8" s="172">
        <f>IF(render[[#This Row],[Progress]]="Done", 1, render[[#This Row],[Progress]])</f>
        <v>1</v>
      </c>
      <c r="N8" s="172">
        <f>IF(comp[[#This Row],[Progress]]="Done", 1, comp[[#This Row],[Progress]])</f>
        <v>0.65</v>
      </c>
      <c r="O8" s="6" cm="1">
        <f t="array" ref="O8">SUM(shots[[#This Row],[layout]:[comp]]*SHOTS_ponderation)</f>
        <v>0.92999999999999994</v>
      </c>
      <c r="P8" s="84">
        <f>(1-shots[[#This Row],[Progress]])*shots[[#This Row],[Estimated]]</f>
        <v>1.3300000000000012</v>
      </c>
      <c r="Q8" s="189"/>
    </row>
    <row r="9" spans="1:17" ht="30" customHeight="1" x14ac:dyDescent="0.25">
      <c r="A9" s="3" t="str">
        <f>metaSHOTS[[#This Row],[Shot]]</f>
        <v>010_070</v>
      </c>
      <c r="B9" s="2" t="e" vm="6">
        <f>metaSHOTS[[#This Row],[Thumbnail]]</f>
        <v>#VALUE!</v>
      </c>
      <c r="C9" s="2">
        <f>metaSHOTS[[#This Row],[Start]]</f>
        <v>1</v>
      </c>
      <c r="D9" s="2">
        <f>metaSHOTS[[#This Row],[End]]</f>
        <v>41</v>
      </c>
      <c r="E9" s="2">
        <f>metaSHOTS[[#This Row],[Duration]]</f>
        <v>41</v>
      </c>
      <c r="F9" s="92">
        <f>SUM(LEN(layout[[#This Row],[Priority]]),LEN(anim[[#This Row],[Priority]]),LEN(lighting[[#This Row],[Priority]]),LEN(vfx[[#This Row],[Priority]]), LEN(render[[#This Row],[Priority]]),LEN(comp[[#This Row],[Priority]]))</f>
        <v>6</v>
      </c>
      <c r="G9" s="2" t="str">
        <f>IF(
        comp[[#This Row],[Progress]]&gt;0%, "Comp",
        IF(
            render[[#This Row],[Progress]]&gt;0%, "Render",
            IF(
                vfx[[#This Row],[Progress]]&gt;0%, "VFX",
                IF(
                    lighting[[#This Row],[Progress]]&gt;0%, "Lighting",
                    IF(
                        anim[[#This Row],[Progress]]&gt;0%, "Anim",
                        IF(
                            layout[[#This Row],[Progress]]&gt;=0%, "Layout"
                        )
                    )
                )
            )
        )
    )</f>
        <v>Comp</v>
      </c>
      <c r="H9" s="84">
        <f>SUM(layout[[#This Row],[Estimated]], anim[[#This Row],[Estimated]], lighting[[#This Row],[Estimated]], render[[#This Row],[Estimated]], vfx[[#This Row],[Estimated]], comp[[#This Row],[Estimated]])</f>
        <v>11</v>
      </c>
      <c r="I9" s="172">
        <f>IF(layout[[#This Row],[Progress]]="Done", 1, layout[[#This Row],[Progress]])</f>
        <v>1</v>
      </c>
      <c r="J9" s="172">
        <f>IF(anim[[#This Row],[Progress]]="Done", 1, anim[[#This Row],[Progress]])</f>
        <v>1</v>
      </c>
      <c r="K9" s="172">
        <f>IF(lighting[[#This Row],[Progress]]="Done", 1, lighting[[#This Row],[Progress]])</f>
        <v>1</v>
      </c>
      <c r="L9" s="172">
        <f>IF(vfx[[#This Row],[Progress]]="Done", 1, vfx[[#This Row],[Progress]])</f>
        <v>0</v>
      </c>
      <c r="M9" s="172">
        <f>IF(render[[#This Row],[Progress]]="Done", 1, render[[#This Row],[Progress]])</f>
        <v>0.9</v>
      </c>
      <c r="N9" s="172">
        <f>IF(comp[[#This Row],[Progress]]="Done", 1, comp[[#This Row],[Progress]])</f>
        <v>0.8</v>
      </c>
      <c r="O9" s="6" cm="1">
        <f t="array" ref="O9">SUM(shots[[#This Row],[layout]:[comp]]*SHOTS_ponderation)</f>
        <v>0.85</v>
      </c>
      <c r="P9" s="84">
        <f>(1-shots[[#This Row],[Progress]])*shots[[#This Row],[Estimated]]</f>
        <v>1.6500000000000004</v>
      </c>
      <c r="Q9" s="189"/>
    </row>
    <row r="10" spans="1:17" ht="30" customHeight="1" x14ac:dyDescent="0.25">
      <c r="A10" s="3" t="str">
        <f>metaSHOTS[[#This Row],[Shot]]</f>
        <v>010_080</v>
      </c>
      <c r="B10" s="2" t="e" vm="7">
        <f>metaSHOTS[[#This Row],[Thumbnail]]</f>
        <v>#VALUE!</v>
      </c>
      <c r="C10" s="2">
        <f>metaSHOTS[[#This Row],[Start]]</f>
        <v>1</v>
      </c>
      <c r="D10" s="2">
        <f>metaSHOTS[[#This Row],[End]]</f>
        <v>18</v>
      </c>
      <c r="E10" s="2">
        <f>metaSHOTS[[#This Row],[Duration]]</f>
        <v>18</v>
      </c>
      <c r="F10" s="92">
        <f>SUM(LEN(layout[[#This Row],[Priority]]),LEN(anim[[#This Row],[Priority]]),LEN(lighting[[#This Row],[Priority]]),LEN(vfx[[#This Row],[Priority]]), LEN(render[[#This Row],[Priority]]),LEN(comp[[#This Row],[Priority]]))</f>
        <v>6</v>
      </c>
      <c r="G10" s="2" t="str">
        <f>IF(
        comp[[#This Row],[Progress]]&gt;0%, "Comp",
        IF(
            render[[#This Row],[Progress]]&gt;0%, "Render",
            IF(
                vfx[[#This Row],[Progress]]&gt;0%, "VFX",
                IF(
                    lighting[[#This Row],[Progress]]&gt;0%, "Lighting",
                    IF(
                        anim[[#This Row],[Progress]]&gt;0%, "Anim",
                        IF(
                            layout[[#This Row],[Progress]]&gt;=0%, "Layout"
                        )
                    )
                )
            )
        )
    )</f>
        <v>Comp</v>
      </c>
      <c r="H10" s="84">
        <f>SUM(layout[[#This Row],[Estimated]], anim[[#This Row],[Estimated]], lighting[[#This Row],[Estimated]], render[[#This Row],[Estimated]], vfx[[#This Row],[Estimated]], comp[[#This Row],[Estimated]])</f>
        <v>11.5</v>
      </c>
      <c r="I10" s="172">
        <f>IF(layout[[#This Row],[Progress]]="Done", 1, layout[[#This Row],[Progress]])</f>
        <v>1</v>
      </c>
      <c r="J10" s="172">
        <f>IF(anim[[#This Row],[Progress]]="Done", 1, anim[[#This Row],[Progress]])</f>
        <v>1</v>
      </c>
      <c r="K10" s="172">
        <f>IF(lighting[[#This Row],[Progress]]="Done", 1, lighting[[#This Row],[Progress]])</f>
        <v>1</v>
      </c>
      <c r="L10" s="172">
        <f>IF(vfx[[#This Row],[Progress]]="Done", 1, vfx[[#This Row],[Progress]])</f>
        <v>0</v>
      </c>
      <c r="M10" s="172">
        <f>IF(render[[#This Row],[Progress]]="Done", 1, render[[#This Row],[Progress]])</f>
        <v>0.9</v>
      </c>
      <c r="N10" s="172">
        <f>IF(comp[[#This Row],[Progress]]="Done", 1, comp[[#This Row],[Progress]])</f>
        <v>0.74</v>
      </c>
      <c r="O10" s="6" cm="1">
        <f t="array" ref="O10">SUM(shots[[#This Row],[layout]:[comp]]*SHOTS_ponderation)</f>
        <v>0.83799999999999997</v>
      </c>
      <c r="P10" s="84">
        <f>(1-shots[[#This Row],[Progress]])*shots[[#This Row],[Estimated]]</f>
        <v>1.8630000000000004</v>
      </c>
      <c r="Q10" s="189"/>
    </row>
    <row r="11" spans="1:17" ht="30" customHeight="1" x14ac:dyDescent="0.25">
      <c r="A11" s="3" t="str">
        <f>metaSHOTS[[#This Row],[Shot]]</f>
        <v>010_090</v>
      </c>
      <c r="B11" s="2" t="e" vm="8">
        <f>metaSHOTS[[#This Row],[Thumbnail]]</f>
        <v>#VALUE!</v>
      </c>
      <c r="C11" s="2">
        <f>metaSHOTS[[#This Row],[Start]]</f>
        <v>2</v>
      </c>
      <c r="D11" s="2">
        <f>metaSHOTS[[#This Row],[End]]</f>
        <v>9</v>
      </c>
      <c r="E11" s="2">
        <f>metaSHOTS[[#This Row],[Duration]]</f>
        <v>8</v>
      </c>
      <c r="F11" s="92">
        <f>SUM(LEN(layout[[#This Row],[Priority]]),LEN(anim[[#This Row],[Priority]]),LEN(lighting[[#This Row],[Priority]]),LEN(vfx[[#This Row],[Priority]]), LEN(render[[#This Row],[Priority]]),LEN(comp[[#This Row],[Priority]]))</f>
        <v>8</v>
      </c>
      <c r="G11" s="2" t="str">
        <f>IF(
        comp[[#This Row],[Progress]]&gt;0%, "Comp",
        IF(
            render[[#This Row],[Progress]]&gt;0%, "Render",
            IF(
                vfx[[#This Row],[Progress]]&gt;0%, "VFX",
                IF(
                    lighting[[#This Row],[Progress]]&gt;0%, "Lighting",
                    IF(
                        anim[[#This Row],[Progress]]&gt;0%, "Anim",
                        IF(
                            layout[[#This Row],[Progress]]&gt;=0%, "Layout"
                        )
                    )
                )
            )
        )
    )</f>
        <v>Comp</v>
      </c>
      <c r="H11" s="84">
        <f>SUM(layout[[#This Row],[Estimated]], anim[[#This Row],[Estimated]], lighting[[#This Row],[Estimated]], render[[#This Row],[Estimated]], vfx[[#This Row],[Estimated]], comp[[#This Row],[Estimated]])</f>
        <v>11</v>
      </c>
      <c r="I11" s="172">
        <f>IF(layout[[#This Row],[Progress]]="Done", 1, layout[[#This Row],[Progress]])</f>
        <v>1</v>
      </c>
      <c r="J11" s="172">
        <f>IF(anim[[#This Row],[Progress]]="Done", 1, anim[[#This Row],[Progress]])</f>
        <v>1</v>
      </c>
      <c r="K11" s="172">
        <f>IF(lighting[[#This Row],[Progress]]="Done", 1, lighting[[#This Row],[Progress]])</f>
        <v>1</v>
      </c>
      <c r="L11" s="172">
        <f>IF(vfx[[#This Row],[Progress]]="Done", 1, vfx[[#This Row],[Progress]])</f>
        <v>0</v>
      </c>
      <c r="M11" s="172">
        <f>IF(render[[#This Row],[Progress]]="Done", 1, render[[#This Row],[Progress]])</f>
        <v>0.9</v>
      </c>
      <c r="N11" s="172">
        <f>IF(comp[[#This Row],[Progress]]="Done", 1, comp[[#This Row],[Progress]])</f>
        <v>0.74</v>
      </c>
      <c r="O11" s="6" cm="1">
        <f t="array" ref="O11">SUM(shots[[#This Row],[layout]:[comp]]*SHOTS_ponderation)</f>
        <v>0.83799999999999997</v>
      </c>
      <c r="P11" s="84">
        <f>(1-shots[[#This Row],[Progress]])*shots[[#This Row],[Estimated]]</f>
        <v>1.7820000000000005</v>
      </c>
      <c r="Q11" s="189"/>
    </row>
    <row r="12" spans="1:17" ht="30" customHeight="1" x14ac:dyDescent="0.25">
      <c r="A12" s="3" t="str">
        <f>metaSHOTS[[#This Row],[Shot]]</f>
        <v>010_100</v>
      </c>
      <c r="B12" s="2" t="e" vm="9">
        <f>metaSHOTS[[#This Row],[Thumbnail]]</f>
        <v>#VALUE!</v>
      </c>
      <c r="C12" s="2">
        <f>metaSHOTS[[#This Row],[Start]]</f>
        <v>1</v>
      </c>
      <c r="D12" s="2">
        <f>metaSHOTS[[#This Row],[End]]</f>
        <v>75</v>
      </c>
      <c r="E12" s="2">
        <f>metaSHOTS[[#This Row],[Duration]]</f>
        <v>75</v>
      </c>
      <c r="F12" s="92">
        <f>SUM(LEN(layout[[#This Row],[Priority]]),LEN(anim[[#This Row],[Priority]]),LEN(lighting[[#This Row],[Priority]]),LEN(vfx[[#This Row],[Priority]]), LEN(render[[#This Row],[Priority]]),LEN(comp[[#This Row],[Priority]]))</f>
        <v>14</v>
      </c>
      <c r="G12" s="2" t="str">
        <f>IF(
        comp[[#This Row],[Progress]]&gt;0%, "Comp",
        IF(
            render[[#This Row],[Progress]]&gt;0%, "Render",
            IF(
                vfx[[#This Row],[Progress]]&gt;0%, "VFX",
                IF(
                    lighting[[#This Row],[Progress]]&gt;0%, "Lighting",
                    IF(
                        anim[[#This Row],[Progress]]&gt;0%, "Anim",
                        IF(
                            layout[[#This Row],[Progress]]&gt;=0%, "Layout"
                        )
                    )
                )
            )
        )
    )</f>
        <v>Comp</v>
      </c>
      <c r="H12" s="84">
        <f>SUM(layout[[#This Row],[Estimated]], anim[[#This Row],[Estimated]], lighting[[#This Row],[Estimated]], render[[#This Row],[Estimated]], vfx[[#This Row],[Estimated]], comp[[#This Row],[Estimated]])</f>
        <v>44</v>
      </c>
      <c r="I12" s="172">
        <f>IF(layout[[#This Row],[Progress]]="Done", 1, layout[[#This Row],[Progress]])</f>
        <v>1</v>
      </c>
      <c r="J12" s="172">
        <f>IF(anim[[#This Row],[Progress]]="Done", 1, anim[[#This Row],[Progress]])</f>
        <v>1</v>
      </c>
      <c r="K12" s="172">
        <f>IF(lighting[[#This Row],[Progress]]="Done", 1, lighting[[#This Row],[Progress]])</f>
        <v>1</v>
      </c>
      <c r="L12" s="172">
        <f>IF(vfx[[#This Row],[Progress]]="Done", 1, vfx[[#This Row],[Progress]])</f>
        <v>0.35</v>
      </c>
      <c r="M12" s="172">
        <f>IF(render[[#This Row],[Progress]]="Done", 1, render[[#This Row],[Progress]])</f>
        <v>1</v>
      </c>
      <c r="N12" s="172">
        <f>IF(comp[[#This Row],[Progress]]="Done", 1, comp[[#This Row],[Progress]])</f>
        <v>0.74</v>
      </c>
      <c r="O12" s="6" cm="1">
        <f t="array" ref="O12">SUM(shots[[#This Row],[layout]:[comp]]*SHOTS_ponderation)</f>
        <v>0.88300000000000001</v>
      </c>
      <c r="P12" s="84">
        <f>(1-shots[[#This Row],[Progress]])*shots[[#This Row],[Estimated]]</f>
        <v>5.1479999999999997</v>
      </c>
      <c r="Q12" s="189"/>
    </row>
    <row r="13" spans="1:17" ht="30" customHeight="1" x14ac:dyDescent="0.25">
      <c r="A13" s="3" t="str">
        <f>metaSHOTS[[#This Row],[Shot]]</f>
        <v>010_110</v>
      </c>
      <c r="B13" s="2" t="e" vm="10">
        <f>metaSHOTS[[#This Row],[Thumbnail]]</f>
        <v>#VALUE!</v>
      </c>
      <c r="C13" s="2">
        <f>metaSHOTS[[#This Row],[Start]]</f>
        <v>1</v>
      </c>
      <c r="D13" s="2">
        <f>metaSHOTS[[#This Row],[End]]</f>
        <v>52</v>
      </c>
      <c r="E13" s="2">
        <f>metaSHOTS[[#This Row],[Duration]]</f>
        <v>52</v>
      </c>
      <c r="F13" s="92">
        <f>SUM(LEN(layout[[#This Row],[Priority]]),LEN(anim[[#This Row],[Priority]]),LEN(lighting[[#This Row],[Priority]]),LEN(vfx[[#This Row],[Priority]]), LEN(render[[#This Row],[Priority]]),LEN(comp[[#This Row],[Priority]]))</f>
        <v>12</v>
      </c>
      <c r="G13" s="2" t="str">
        <f>IF(
        comp[[#This Row],[Progress]]&gt;0%, "Comp",
        IF(
            render[[#This Row],[Progress]]&gt;0%, "Render",
            IF(
                vfx[[#This Row],[Progress]]&gt;0%, "VFX",
                IF(
                    lighting[[#This Row],[Progress]]&gt;0%, "Lighting",
                    IF(
                        anim[[#This Row],[Progress]]&gt;0%, "Anim",
                        IF(
                            layout[[#This Row],[Progress]]&gt;=0%, "Layout"
                        )
                    )
                )
            )
        )
    )</f>
        <v>Comp</v>
      </c>
      <c r="H13" s="84">
        <f>SUM(layout[[#This Row],[Estimated]], anim[[#This Row],[Estimated]], lighting[[#This Row],[Estimated]], render[[#This Row],[Estimated]], vfx[[#This Row],[Estimated]], comp[[#This Row],[Estimated]])</f>
        <v>23</v>
      </c>
      <c r="I13" s="172">
        <f>IF(layout[[#This Row],[Progress]]="Done", 1, layout[[#This Row],[Progress]])</f>
        <v>1</v>
      </c>
      <c r="J13" s="172">
        <f>IF(anim[[#This Row],[Progress]]="Done", 1, anim[[#This Row],[Progress]])</f>
        <v>1</v>
      </c>
      <c r="K13" s="172">
        <f>IF(lighting[[#This Row],[Progress]]="Done", 1, lighting[[#This Row],[Progress]])</f>
        <v>1</v>
      </c>
      <c r="L13" s="172">
        <f>IF(vfx[[#This Row],[Progress]]="Done", 1, vfx[[#This Row],[Progress]])</f>
        <v>1</v>
      </c>
      <c r="M13" s="172">
        <f>IF(render[[#This Row],[Progress]]="Done", 1, render[[#This Row],[Progress]])</f>
        <v>1</v>
      </c>
      <c r="N13" s="172">
        <f>IF(comp[[#This Row],[Progress]]="Done", 1, comp[[#This Row],[Progress]])</f>
        <v>0.8</v>
      </c>
      <c r="O13" s="6" cm="1">
        <f t="array" ref="O13">SUM(shots[[#This Row],[layout]:[comp]]*SHOTS_ponderation)</f>
        <v>0.96</v>
      </c>
      <c r="P13" s="84">
        <f>(1-shots[[#This Row],[Progress]])*shots[[#This Row],[Estimated]]</f>
        <v>0.92000000000000082</v>
      </c>
      <c r="Q13" s="189"/>
    </row>
    <row r="14" spans="1:17" ht="30" customHeight="1" x14ac:dyDescent="0.25">
      <c r="A14" s="3" t="str">
        <f>metaSHOTS[[#This Row],[Shot]]</f>
        <v>010_160</v>
      </c>
      <c r="B14" s="2" t="e" vm="11">
        <f>metaSHOTS[[#This Row],[Thumbnail]]</f>
        <v>#VALUE!</v>
      </c>
      <c r="C14" s="2">
        <f>metaSHOTS[[#This Row],[Start]]</f>
        <v>1</v>
      </c>
      <c r="D14" s="2">
        <f>metaSHOTS[[#This Row],[End]]</f>
        <v>21</v>
      </c>
      <c r="E14" s="2">
        <f>metaSHOTS[[#This Row],[Duration]]</f>
        <v>21</v>
      </c>
      <c r="F14" s="92">
        <f>SUM(LEN(layout[[#This Row],[Priority]]),LEN(anim[[#This Row],[Priority]]),LEN(lighting[[#This Row],[Priority]]),LEN(vfx[[#This Row],[Priority]]), LEN(render[[#This Row],[Priority]]),LEN(comp[[#This Row],[Priority]]))</f>
        <v>10</v>
      </c>
      <c r="G14" s="2" t="str">
        <f>IF(
        comp[[#This Row],[Progress]]&gt;0%, "Comp",
        IF(
            render[[#This Row],[Progress]]&gt;0%, "Render",
            IF(
                vfx[[#This Row],[Progress]]&gt;0%, "VFX",
                IF(
                    lighting[[#This Row],[Progress]]&gt;0%, "Lighting",
                    IF(
                        anim[[#This Row],[Progress]]&gt;0%, "Anim",
                        IF(
                            layout[[#This Row],[Progress]]&gt;=0%, "Layout"
                        )
                    )
                )
            )
        )
    )</f>
        <v>Comp</v>
      </c>
      <c r="H14" s="84">
        <f>SUM(layout[[#This Row],[Estimated]], anim[[#This Row],[Estimated]], lighting[[#This Row],[Estimated]], render[[#This Row],[Estimated]], vfx[[#This Row],[Estimated]], comp[[#This Row],[Estimated]])</f>
        <v>17.5</v>
      </c>
      <c r="I14" s="172">
        <f>IF(layout[[#This Row],[Progress]]="Done", 1, layout[[#This Row],[Progress]])</f>
        <v>1</v>
      </c>
      <c r="J14" s="172">
        <f>IF(anim[[#This Row],[Progress]]="Done", 1, anim[[#This Row],[Progress]])</f>
        <v>1</v>
      </c>
      <c r="K14" s="172">
        <f>IF(lighting[[#This Row],[Progress]]="Done", 1, lighting[[#This Row],[Progress]])</f>
        <v>1</v>
      </c>
      <c r="L14" s="172">
        <f>IF(vfx[[#This Row],[Progress]]="Done", 1, vfx[[#This Row],[Progress]])</f>
        <v>0</v>
      </c>
      <c r="M14" s="172">
        <f>IF(render[[#This Row],[Progress]]="Done", 1, render[[#This Row],[Progress]])</f>
        <v>0.9</v>
      </c>
      <c r="N14" s="172">
        <f>IF(comp[[#This Row],[Progress]]="Done", 1, comp[[#This Row],[Progress]])</f>
        <v>0.74</v>
      </c>
      <c r="O14" s="6" cm="1">
        <f t="array" ref="O14">SUM(shots[[#This Row],[layout]:[comp]]*SHOTS_ponderation)</f>
        <v>0.83799999999999997</v>
      </c>
      <c r="P14" s="84">
        <f>(1-shots[[#This Row],[Progress]])*shots[[#This Row],[Estimated]]</f>
        <v>2.8350000000000004</v>
      </c>
      <c r="Q14" s="189"/>
    </row>
    <row r="15" spans="1:17" ht="30" customHeight="1" x14ac:dyDescent="0.25">
      <c r="A15" s="3" t="str">
        <f>metaSHOTS[[#This Row],[Shot]]</f>
        <v>010_170</v>
      </c>
      <c r="B15" s="2" t="e" vm="12">
        <f>metaSHOTS[[#This Row],[Thumbnail]]</f>
        <v>#VALUE!</v>
      </c>
      <c r="C15" s="2">
        <f>metaSHOTS[[#This Row],[Start]]</f>
        <v>1</v>
      </c>
      <c r="D15" s="2">
        <f>metaSHOTS[[#This Row],[End]]</f>
        <v>17</v>
      </c>
      <c r="E15" s="2">
        <f>metaSHOTS[[#This Row],[Duration]]</f>
        <v>17</v>
      </c>
      <c r="F15" s="92">
        <f>SUM(LEN(layout[[#This Row],[Priority]]),LEN(anim[[#This Row],[Priority]]),LEN(lighting[[#This Row],[Priority]]),LEN(vfx[[#This Row],[Priority]]), LEN(render[[#This Row],[Priority]]),LEN(comp[[#This Row],[Priority]]))</f>
        <v>10</v>
      </c>
      <c r="G15" s="2" t="str">
        <f>IF(
        comp[[#This Row],[Progress]]&gt;0%, "Comp",
        IF(
            render[[#This Row],[Progress]]&gt;0%, "Render",
            IF(
                vfx[[#This Row],[Progress]]&gt;0%, "VFX",
                IF(
                    lighting[[#This Row],[Progress]]&gt;0%, "Lighting",
                    IF(
                        anim[[#This Row],[Progress]]&gt;0%, "Anim",
                        IF(
                            layout[[#This Row],[Progress]]&gt;=0%, "Layout"
                        )
                    )
                )
            )
        )
    )</f>
        <v>Comp</v>
      </c>
      <c r="H15" s="84">
        <f>SUM(layout[[#This Row],[Estimated]], anim[[#This Row],[Estimated]], lighting[[#This Row],[Estimated]], render[[#This Row],[Estimated]], vfx[[#This Row],[Estimated]], comp[[#This Row],[Estimated]])</f>
        <v>15.5</v>
      </c>
      <c r="I15" s="172">
        <f>IF(layout[[#This Row],[Progress]]="Done", 1, layout[[#This Row],[Progress]])</f>
        <v>1</v>
      </c>
      <c r="J15" s="172">
        <f>IF(anim[[#This Row],[Progress]]="Done", 1, anim[[#This Row],[Progress]])</f>
        <v>1</v>
      </c>
      <c r="K15" s="172">
        <f>IF(lighting[[#This Row],[Progress]]="Done", 1, lighting[[#This Row],[Progress]])</f>
        <v>1</v>
      </c>
      <c r="L15" s="172">
        <f>IF(vfx[[#This Row],[Progress]]="Done", 1, vfx[[#This Row],[Progress]])</f>
        <v>1</v>
      </c>
      <c r="M15" s="172">
        <f>IF(render[[#This Row],[Progress]]="Done", 1, render[[#This Row],[Progress]])</f>
        <v>0.9</v>
      </c>
      <c r="N15" s="172">
        <f>IF(comp[[#This Row],[Progress]]="Done", 1, comp[[#This Row],[Progress]])</f>
        <v>0.74</v>
      </c>
      <c r="O15" s="6" cm="1">
        <f t="array" ref="O15">SUM(shots[[#This Row],[layout]:[comp]]*SHOTS_ponderation)</f>
        <v>0.93799999999999994</v>
      </c>
      <c r="P15" s="84">
        <f>(1-shots[[#This Row],[Progress]])*shots[[#This Row],[Estimated]]</f>
        <v>0.96100000000000085</v>
      </c>
      <c r="Q15" s="189"/>
    </row>
    <row r="16" spans="1:17" ht="30" customHeight="1" x14ac:dyDescent="0.25">
      <c r="A16" s="3" t="str">
        <f>metaSHOTS[[#This Row],[Shot]]</f>
        <v>010_180</v>
      </c>
      <c r="B16" s="2" t="e" vm="13">
        <f>metaSHOTS[[#This Row],[Thumbnail]]</f>
        <v>#VALUE!</v>
      </c>
      <c r="C16" s="2">
        <f>metaSHOTS[[#This Row],[Start]]</f>
        <v>1</v>
      </c>
      <c r="D16" s="2">
        <f>metaSHOTS[[#This Row],[End]]</f>
        <v>124</v>
      </c>
      <c r="E16" s="2">
        <f>metaSHOTS[[#This Row],[Duration]]</f>
        <v>124</v>
      </c>
      <c r="F16" s="92">
        <f>SUM(LEN(layout[[#This Row],[Priority]]),LEN(anim[[#This Row],[Priority]]),LEN(lighting[[#This Row],[Priority]]),LEN(vfx[[#This Row],[Priority]]), LEN(render[[#This Row],[Priority]]),LEN(comp[[#This Row],[Priority]]))</f>
        <v>14</v>
      </c>
      <c r="G16" s="2" t="str">
        <f>IF(
        comp[[#This Row],[Progress]]&gt;0%, "Comp",
        IF(
            render[[#This Row],[Progress]]&gt;0%, "Render",
            IF(
                vfx[[#This Row],[Progress]]&gt;0%, "VFX",
                IF(
                    lighting[[#This Row],[Progress]]&gt;0%, "Lighting",
                    IF(
                        anim[[#This Row],[Progress]]&gt;0%, "Anim",
                        IF(
                            layout[[#This Row],[Progress]]&gt;=0%, "Layout"
                        )
                    )
                )
            )
        )
    )</f>
        <v>Comp</v>
      </c>
      <c r="H16" s="84">
        <f>SUM(layout[[#This Row],[Estimated]], anim[[#This Row],[Estimated]], lighting[[#This Row],[Estimated]], render[[#This Row],[Estimated]], vfx[[#This Row],[Estimated]], comp[[#This Row],[Estimated]])</f>
        <v>27</v>
      </c>
      <c r="I16" s="172">
        <f>IF(layout[[#This Row],[Progress]]="Done", 1, layout[[#This Row],[Progress]])</f>
        <v>1</v>
      </c>
      <c r="J16" s="172">
        <f>IF(anim[[#This Row],[Progress]]="Done", 1, anim[[#This Row],[Progress]])</f>
        <v>1</v>
      </c>
      <c r="K16" s="172">
        <f>IF(lighting[[#This Row],[Progress]]="Done", 1, lighting[[#This Row],[Progress]])</f>
        <v>1</v>
      </c>
      <c r="L16" s="172">
        <f>IF(vfx[[#This Row],[Progress]]="Done", 1, vfx[[#This Row],[Progress]])</f>
        <v>0.25</v>
      </c>
      <c r="M16" s="172">
        <f>IF(render[[#This Row],[Progress]]="Done", 1, render[[#This Row],[Progress]])</f>
        <v>0.9</v>
      </c>
      <c r="N16" s="172">
        <f>IF(comp[[#This Row],[Progress]]="Done", 1, comp[[#This Row],[Progress]])</f>
        <v>0.74</v>
      </c>
      <c r="O16" s="6" cm="1">
        <f t="array" ref="O16">SUM(shots[[#This Row],[layout]:[comp]]*SHOTS_ponderation)</f>
        <v>0.86299999999999999</v>
      </c>
      <c r="P16" s="84">
        <f>(1-shots[[#This Row],[Progress]])*shots[[#This Row],[Estimated]]</f>
        <v>3.6990000000000003</v>
      </c>
      <c r="Q16" s="189"/>
    </row>
    <row r="17" spans="1:17" ht="30" customHeight="1" x14ac:dyDescent="0.25">
      <c r="A17" s="3" t="str">
        <f>metaSHOTS[[#This Row],[Shot]]</f>
        <v>010_190</v>
      </c>
      <c r="B17" s="2" t="e" vm="14">
        <f>metaSHOTS[[#This Row],[Thumbnail]]</f>
        <v>#VALUE!</v>
      </c>
      <c r="C17" s="2">
        <f>metaSHOTS[[#This Row],[Start]]</f>
        <v>1</v>
      </c>
      <c r="D17" s="2">
        <f>metaSHOTS[[#This Row],[End]]</f>
        <v>121</v>
      </c>
      <c r="E17" s="2">
        <f>metaSHOTS[[#This Row],[Duration]]</f>
        <v>121</v>
      </c>
      <c r="F17" s="92">
        <f>SUM(LEN(layout[[#This Row],[Priority]]),LEN(anim[[#This Row],[Priority]]),LEN(lighting[[#This Row],[Priority]]),LEN(vfx[[#This Row],[Priority]]), LEN(render[[#This Row],[Priority]]),LEN(comp[[#This Row],[Priority]]))</f>
        <v>12</v>
      </c>
      <c r="G17" s="2" t="str">
        <f>IF(
        comp[[#This Row],[Progress]]&gt;0%, "Comp",
        IF(
            render[[#This Row],[Progress]]&gt;0%, "Render",
            IF(
                vfx[[#This Row],[Progress]]&gt;0%, "VFX",
                IF(
                    lighting[[#This Row],[Progress]]&gt;0%, "Lighting",
                    IF(
                        anim[[#This Row],[Progress]]&gt;0%, "Anim",
                        IF(
                            layout[[#This Row],[Progress]]&gt;=0%, "Layout"
                        )
                    )
                )
            )
        )
    )</f>
        <v>Comp</v>
      </c>
      <c r="H17" s="84">
        <f>SUM(layout[[#This Row],[Estimated]], anim[[#This Row],[Estimated]], lighting[[#This Row],[Estimated]], render[[#This Row],[Estimated]], vfx[[#This Row],[Estimated]], comp[[#This Row],[Estimated]])</f>
        <v>50</v>
      </c>
      <c r="I17" s="172">
        <f>IF(layout[[#This Row],[Progress]]="Done", 1, layout[[#This Row],[Progress]])</f>
        <v>0.87</v>
      </c>
      <c r="J17" s="172">
        <f>IF(anim[[#This Row],[Progress]]="Done", 1, anim[[#This Row],[Progress]])</f>
        <v>0.97000000000000008</v>
      </c>
      <c r="K17" s="172">
        <f>IF(lighting[[#This Row],[Progress]]="Done", 1, lighting[[#This Row],[Progress]])</f>
        <v>0.65</v>
      </c>
      <c r="L17" s="172">
        <f>IF(vfx[[#This Row],[Progress]]="Done", 1, vfx[[#This Row],[Progress]])</f>
        <v>0.15</v>
      </c>
      <c r="M17" s="172">
        <f>IF(render[[#This Row],[Progress]]="Done", 1, render[[#This Row],[Progress]])</f>
        <v>0.9</v>
      </c>
      <c r="N17" s="172">
        <f>IF(comp[[#This Row],[Progress]]="Done", 1, comp[[#This Row],[Progress]])</f>
        <v>0.5</v>
      </c>
      <c r="O17" s="6" cm="1">
        <f t="array" ref="O17">SUM(shots[[#This Row],[layout]:[comp]]*SHOTS_ponderation)</f>
        <v>0.72399999999999998</v>
      </c>
      <c r="P17" s="84">
        <f>(1-shots[[#This Row],[Progress]])*shots[[#This Row],[Estimated]]</f>
        <v>13.8</v>
      </c>
      <c r="Q17" s="189"/>
    </row>
    <row r="18" spans="1:17" ht="30" customHeight="1" x14ac:dyDescent="0.25">
      <c r="A18" s="3" t="str">
        <f>metaSHOTS[[#This Row],[Shot]]</f>
        <v>010_200</v>
      </c>
      <c r="B18" s="2" t="e" vm="15">
        <f>metaSHOTS[[#This Row],[Thumbnail]]</f>
        <v>#VALUE!</v>
      </c>
      <c r="C18" s="2">
        <f>metaSHOTS[[#This Row],[Start]]</f>
        <v>1</v>
      </c>
      <c r="D18" s="2">
        <f>metaSHOTS[[#This Row],[End]]</f>
        <v>121</v>
      </c>
      <c r="E18" s="2">
        <f>metaSHOTS[[#This Row],[Duration]]</f>
        <v>121</v>
      </c>
      <c r="F18" s="92">
        <f>SUM(LEN(layout[[#This Row],[Priority]]),LEN(anim[[#This Row],[Priority]]),LEN(lighting[[#This Row],[Priority]]),LEN(vfx[[#This Row],[Priority]]), LEN(render[[#This Row],[Priority]]),LEN(comp[[#This Row],[Priority]]))</f>
        <v>12</v>
      </c>
      <c r="G18" s="2" t="str">
        <f>IF(
        comp[[#This Row],[Progress]]&gt;0%, "Comp",
        IF(
            render[[#This Row],[Progress]]&gt;0%, "Render",
            IF(
                vfx[[#This Row],[Progress]]&gt;0%, "VFX",
                IF(
                    lighting[[#This Row],[Progress]]&gt;0%, "Lighting",
                    IF(
                        anim[[#This Row],[Progress]]&gt;0%, "Anim",
                        IF(
                            layout[[#This Row],[Progress]]&gt;=0%, "Layout"
                        )
                    )
                )
            )
        )
    )</f>
        <v>Comp</v>
      </c>
      <c r="H18" s="84">
        <f>SUM(layout[[#This Row],[Estimated]], anim[[#This Row],[Estimated]], lighting[[#This Row],[Estimated]], render[[#This Row],[Estimated]], vfx[[#This Row],[Estimated]], comp[[#This Row],[Estimated]])</f>
        <v>19.5</v>
      </c>
      <c r="I18" s="172">
        <f>IF(layout[[#This Row],[Progress]]="Done", 1, layout[[#This Row],[Progress]])</f>
        <v>1</v>
      </c>
      <c r="J18" s="172">
        <f>IF(anim[[#This Row],[Progress]]="Done", 1, anim[[#This Row],[Progress]])</f>
        <v>1</v>
      </c>
      <c r="K18" s="172">
        <f>IF(lighting[[#This Row],[Progress]]="Done", 1, lighting[[#This Row],[Progress]])</f>
        <v>1</v>
      </c>
      <c r="L18" s="172">
        <f>IF(vfx[[#This Row],[Progress]]="Done", 1, vfx[[#This Row],[Progress]])</f>
        <v>1</v>
      </c>
      <c r="M18" s="172">
        <f>IF(render[[#This Row],[Progress]]="Done", 1, render[[#This Row],[Progress]])</f>
        <v>1</v>
      </c>
      <c r="N18" s="172">
        <f>IF(comp[[#This Row],[Progress]]="Done", 1, comp[[#This Row],[Progress]])</f>
        <v>0.96000000000000008</v>
      </c>
      <c r="O18" s="6" cm="1">
        <f t="array" ref="O18">SUM(shots[[#This Row],[layout]:[comp]]*SHOTS_ponderation)</f>
        <v>0.99199999999999999</v>
      </c>
      <c r="P18" s="84">
        <f>(1-shots[[#This Row],[Progress]])*shots[[#This Row],[Estimated]]</f>
        <v>0.15600000000000014</v>
      </c>
      <c r="Q18" s="189"/>
    </row>
    <row r="19" spans="1:17" ht="30" customHeight="1" x14ac:dyDescent="0.25">
      <c r="A19" s="3" t="str">
        <f>metaSHOTS[[#This Row],[Shot]]</f>
        <v>020_020</v>
      </c>
      <c r="B19" s="2" t="e" vm="16">
        <f>metaSHOTS[[#This Row],[Thumbnail]]</f>
        <v>#VALUE!</v>
      </c>
      <c r="C19" s="2">
        <f>metaSHOTS[[#This Row],[Start]]</f>
        <v>1</v>
      </c>
      <c r="D19" s="2">
        <f>metaSHOTS[[#This Row],[End]]</f>
        <v>102</v>
      </c>
      <c r="E19" s="2">
        <f>metaSHOTS[[#This Row],[Duration]]</f>
        <v>102</v>
      </c>
      <c r="F19" s="92">
        <f>SUM(LEN(layout[[#This Row],[Priority]]),LEN(anim[[#This Row],[Priority]]),LEN(lighting[[#This Row],[Priority]]),LEN(vfx[[#This Row],[Priority]]), LEN(render[[#This Row],[Priority]]),LEN(comp[[#This Row],[Priority]]))</f>
        <v>8</v>
      </c>
      <c r="G19" s="2" t="str">
        <f>IF(
        comp[[#This Row],[Progress]]&gt;0%, "Comp",
        IF(
            render[[#This Row],[Progress]]&gt;0%, "Render",
            IF(
                vfx[[#This Row],[Progress]]&gt;0%, "VFX",
                IF(
                    lighting[[#This Row],[Progress]]&gt;0%, "Lighting",
                    IF(
                        anim[[#This Row],[Progress]]&gt;0%, "Anim",
                        IF(
                            layout[[#This Row],[Progress]]&gt;=0%, "Layout"
                        )
                    )
                )
            )
        )
    )</f>
        <v>Comp</v>
      </c>
      <c r="H19" s="84">
        <f>SUM(layout[[#This Row],[Estimated]], anim[[#This Row],[Estimated]], lighting[[#This Row],[Estimated]], render[[#This Row],[Estimated]], vfx[[#This Row],[Estimated]], comp[[#This Row],[Estimated]])</f>
        <v>25.5</v>
      </c>
      <c r="I19" s="172">
        <f>IF(layout[[#This Row],[Progress]]="Done", 1, layout[[#This Row],[Progress]])</f>
        <v>1</v>
      </c>
      <c r="J19" s="172">
        <f>IF(anim[[#This Row],[Progress]]="Done", 1, anim[[#This Row],[Progress]])</f>
        <v>1</v>
      </c>
      <c r="K19" s="172">
        <f>IF(lighting[[#This Row],[Progress]]="Done", 1, lighting[[#This Row],[Progress]])</f>
        <v>1</v>
      </c>
      <c r="L19" s="172">
        <f>IF(vfx[[#This Row],[Progress]]="Done", 1, vfx[[#This Row],[Progress]])</f>
        <v>0</v>
      </c>
      <c r="M19" s="172">
        <f>IF(render[[#This Row],[Progress]]="Done", 1, render[[#This Row],[Progress]])</f>
        <v>0.8</v>
      </c>
      <c r="N19" s="172">
        <f>IF(comp[[#This Row],[Progress]]="Done", 1, comp[[#This Row],[Progress]])</f>
        <v>0.5</v>
      </c>
      <c r="O19" s="6" cm="1">
        <f t="array" ref="O19">SUM(shots[[#This Row],[layout]:[comp]]*SHOTS_ponderation)</f>
        <v>0.77999999999999992</v>
      </c>
      <c r="P19" s="84">
        <f>(1-shots[[#This Row],[Progress]])*shots[[#This Row],[Estimated]]</f>
        <v>5.6100000000000021</v>
      </c>
      <c r="Q19" s="189"/>
    </row>
    <row r="20" spans="1:17" ht="30" customHeight="1" x14ac:dyDescent="0.25">
      <c r="A20" s="3" t="str">
        <f>metaSHOTS[[#This Row],[Shot]]</f>
        <v>020_030</v>
      </c>
      <c r="B20" s="2" t="e" vm="17">
        <f>metaSHOTS[[#This Row],[Thumbnail]]</f>
        <v>#VALUE!</v>
      </c>
      <c r="C20" s="2">
        <f>metaSHOTS[[#This Row],[Start]]</f>
        <v>1</v>
      </c>
      <c r="D20" s="2">
        <f>metaSHOTS[[#This Row],[End]]</f>
        <v>107</v>
      </c>
      <c r="E20" s="2">
        <f>metaSHOTS[[#This Row],[Duration]]</f>
        <v>107</v>
      </c>
      <c r="F20" s="92">
        <f>SUM(LEN(layout[[#This Row],[Priority]]),LEN(anim[[#This Row],[Priority]]),LEN(lighting[[#This Row],[Priority]]),LEN(vfx[[#This Row],[Priority]]), LEN(render[[#This Row],[Priority]]),LEN(comp[[#This Row],[Priority]]))</f>
        <v>12</v>
      </c>
      <c r="G20" s="2" t="str">
        <f>IF(
        comp[[#This Row],[Progress]]&gt;0%, "Comp",
        IF(
            render[[#This Row],[Progress]]&gt;0%, "Render",
            IF(
                vfx[[#This Row],[Progress]]&gt;0%, "VFX",
                IF(
                    lighting[[#This Row],[Progress]]&gt;0%, "Lighting",
                    IF(
                        anim[[#This Row],[Progress]]&gt;0%, "Anim",
                        IF(
                            layout[[#This Row],[Progress]]&gt;=0%, "Layout"
                        )
                    )
                )
            )
        )
    )</f>
        <v>Comp</v>
      </c>
      <c r="H20" s="84">
        <f>SUM(layout[[#This Row],[Estimated]], anim[[#This Row],[Estimated]], lighting[[#This Row],[Estimated]], render[[#This Row],[Estimated]], vfx[[#This Row],[Estimated]], comp[[#This Row],[Estimated]])</f>
        <v>16.5</v>
      </c>
      <c r="I20" s="172">
        <f>IF(layout[[#This Row],[Progress]]="Done", 1, layout[[#This Row],[Progress]])</f>
        <v>1</v>
      </c>
      <c r="J20" s="172">
        <f>IF(anim[[#This Row],[Progress]]="Done", 1, anim[[#This Row],[Progress]])</f>
        <v>1</v>
      </c>
      <c r="K20" s="172">
        <f>IF(lighting[[#This Row],[Progress]]="Done", 1, lighting[[#This Row],[Progress]])</f>
        <v>1</v>
      </c>
      <c r="L20" s="172">
        <f>IF(vfx[[#This Row],[Progress]]="Done", 1, vfx[[#This Row],[Progress]])</f>
        <v>0</v>
      </c>
      <c r="M20" s="172">
        <f>IF(render[[#This Row],[Progress]]="Done", 1, render[[#This Row],[Progress]])</f>
        <v>0.8</v>
      </c>
      <c r="N20" s="172">
        <f>IF(comp[[#This Row],[Progress]]="Done", 1, comp[[#This Row],[Progress]])</f>
        <v>0.8</v>
      </c>
      <c r="O20" s="6" cm="1">
        <f t="array" ref="O20">SUM(shots[[#This Row],[layout]:[comp]]*SHOTS_ponderation)</f>
        <v>0.84</v>
      </c>
      <c r="P20" s="84">
        <f>(1-shots[[#This Row],[Progress]])*shots[[#This Row],[Estimated]]</f>
        <v>2.6400000000000006</v>
      </c>
      <c r="Q20" s="189"/>
    </row>
    <row r="21" spans="1:17" ht="30" customHeight="1" x14ac:dyDescent="0.25">
      <c r="A21" s="3" t="str">
        <f>metaSHOTS[[#This Row],[Shot]]</f>
        <v>020_040</v>
      </c>
      <c r="B21" s="2" t="e" vm="18">
        <f>metaSHOTS[[#This Row],[Thumbnail]]</f>
        <v>#VALUE!</v>
      </c>
      <c r="C21" s="2">
        <f>metaSHOTS[[#This Row],[Start]]</f>
        <v>1</v>
      </c>
      <c r="D21" s="2">
        <f>metaSHOTS[[#This Row],[End]]</f>
        <v>43</v>
      </c>
      <c r="E21" s="2">
        <f>metaSHOTS[[#This Row],[Duration]]</f>
        <v>43</v>
      </c>
      <c r="F21" s="92">
        <f>SUM(LEN(layout[[#This Row],[Priority]]),LEN(anim[[#This Row],[Priority]]),LEN(lighting[[#This Row],[Priority]]),LEN(vfx[[#This Row],[Priority]]), LEN(render[[#This Row],[Priority]]),LEN(comp[[#This Row],[Priority]]))</f>
        <v>8</v>
      </c>
      <c r="G21" s="2" t="str">
        <f>IF(
        comp[[#This Row],[Progress]]&gt;0%, "Comp",
        IF(
            render[[#This Row],[Progress]]&gt;0%, "Render",
            IF(
                vfx[[#This Row],[Progress]]&gt;0%, "VFX",
                IF(
                    lighting[[#This Row],[Progress]]&gt;0%, "Lighting",
                    IF(
                        anim[[#This Row],[Progress]]&gt;0%, "Anim",
                        IF(
                            layout[[#This Row],[Progress]]&gt;=0%, "Layout"
                        )
                    )
                )
            )
        )
    )</f>
        <v>Comp</v>
      </c>
      <c r="H21" s="84">
        <f>SUM(layout[[#This Row],[Estimated]], anim[[#This Row],[Estimated]], lighting[[#This Row],[Estimated]], render[[#This Row],[Estimated]], vfx[[#This Row],[Estimated]], comp[[#This Row],[Estimated]])</f>
        <v>18</v>
      </c>
      <c r="I21" s="172">
        <f>IF(layout[[#This Row],[Progress]]="Done", 1, layout[[#This Row],[Progress]])</f>
        <v>1</v>
      </c>
      <c r="J21" s="172">
        <f>IF(anim[[#This Row],[Progress]]="Done", 1, anim[[#This Row],[Progress]])</f>
        <v>1</v>
      </c>
      <c r="K21" s="172">
        <f>IF(lighting[[#This Row],[Progress]]="Done", 1, lighting[[#This Row],[Progress]])</f>
        <v>1</v>
      </c>
      <c r="L21" s="172">
        <f>IF(vfx[[#This Row],[Progress]]="Done", 1, vfx[[#This Row],[Progress]])</f>
        <v>0</v>
      </c>
      <c r="M21" s="172">
        <f>IF(render[[#This Row],[Progress]]="Done", 1, render[[#This Row],[Progress]])</f>
        <v>0.8</v>
      </c>
      <c r="N21" s="172">
        <f>IF(comp[[#This Row],[Progress]]="Done", 1, comp[[#This Row],[Progress]])</f>
        <v>0.2</v>
      </c>
      <c r="O21" s="6" cm="1">
        <f t="array" ref="O21">SUM(shots[[#This Row],[layout]:[comp]]*SHOTS_ponderation)</f>
        <v>0.72</v>
      </c>
      <c r="P21" s="84">
        <f>(1-shots[[#This Row],[Progress]])*shots[[#This Row],[Estimated]]</f>
        <v>5.0400000000000009</v>
      </c>
      <c r="Q21" s="189"/>
    </row>
    <row r="22" spans="1:17" ht="30" customHeight="1" x14ac:dyDescent="0.25">
      <c r="A22" s="3" t="str">
        <f>metaSHOTS[[#This Row],[Shot]]</f>
        <v>020_050</v>
      </c>
      <c r="B22" s="2" t="e" vm="19">
        <f>metaSHOTS[[#This Row],[Thumbnail]]</f>
        <v>#VALUE!</v>
      </c>
      <c r="C22" s="2">
        <f>metaSHOTS[[#This Row],[Start]]</f>
        <v>1</v>
      </c>
      <c r="D22" s="2">
        <f>metaSHOTS[[#This Row],[End]]</f>
        <v>227</v>
      </c>
      <c r="E22" s="2">
        <f>metaSHOTS[[#This Row],[Duration]]</f>
        <v>227</v>
      </c>
      <c r="F22" s="92">
        <f>SUM(LEN(layout[[#This Row],[Priority]]),LEN(anim[[#This Row],[Priority]]),LEN(lighting[[#This Row],[Priority]]),LEN(vfx[[#This Row],[Priority]]), LEN(render[[#This Row],[Priority]]),LEN(comp[[#This Row],[Priority]]))</f>
        <v>6</v>
      </c>
      <c r="G22" s="2" t="str">
        <f>IF(
        comp[[#This Row],[Progress]]&gt;0%, "Comp",
        IF(
            render[[#This Row],[Progress]]&gt;0%, "Render",
            IF(
                vfx[[#This Row],[Progress]]&gt;0%, "VFX",
                IF(
                    lighting[[#This Row],[Progress]]&gt;0%, "Lighting",
                    IF(
                        anim[[#This Row],[Progress]]&gt;0%, "Anim",
                        IF(
                            layout[[#This Row],[Progress]]&gt;=0%, "Layout"
                        )
                    )
                )
            )
        )
    )</f>
        <v>Render</v>
      </c>
      <c r="H22" s="84">
        <f>SUM(layout[[#This Row],[Estimated]], anim[[#This Row],[Estimated]], lighting[[#This Row],[Estimated]], render[[#This Row],[Estimated]], vfx[[#This Row],[Estimated]], comp[[#This Row],[Estimated]])</f>
        <v>15.5</v>
      </c>
      <c r="I22" s="172">
        <f>IF(layout[[#This Row],[Progress]]="Done", 1, layout[[#This Row],[Progress]])</f>
        <v>1</v>
      </c>
      <c r="J22" s="172">
        <f>IF(anim[[#This Row],[Progress]]="Done", 1, anim[[#This Row],[Progress]])</f>
        <v>1</v>
      </c>
      <c r="K22" s="172">
        <f>IF(lighting[[#This Row],[Progress]]="Done", 1, lighting[[#This Row],[Progress]])</f>
        <v>0.9</v>
      </c>
      <c r="L22" s="172">
        <f>IF(vfx[[#This Row],[Progress]]="Done", 1, vfx[[#This Row],[Progress]])</f>
        <v>0</v>
      </c>
      <c r="M22" s="172">
        <f>IF(render[[#This Row],[Progress]]="Done", 1, render[[#This Row],[Progress]])</f>
        <v>0.55000000000000004</v>
      </c>
      <c r="N22" s="172">
        <f>IF(comp[[#This Row],[Progress]]="Done", 1, comp[[#This Row],[Progress]])</f>
        <v>0</v>
      </c>
      <c r="O22" s="6" cm="1">
        <f t="array" ref="O22">SUM(shots[[#This Row],[layout]:[comp]]*SHOTS_ponderation)</f>
        <v>0.64</v>
      </c>
      <c r="P22" s="84">
        <f>(1-shots[[#This Row],[Progress]])*shots[[#This Row],[Estimated]]</f>
        <v>5.58</v>
      </c>
      <c r="Q22" s="189"/>
    </row>
    <row r="23" spans="1:17" ht="30" customHeight="1" x14ac:dyDescent="0.25">
      <c r="A23" s="3" t="str">
        <f>metaSHOTS[[#This Row],[Shot]]</f>
        <v>030_020</v>
      </c>
      <c r="B23" s="2" t="e" vm="20">
        <f>metaSHOTS[[#This Row],[Thumbnail]]</f>
        <v>#VALUE!</v>
      </c>
      <c r="C23" s="2">
        <f>metaSHOTS[[#This Row],[Start]]</f>
        <v>1</v>
      </c>
      <c r="D23" s="2">
        <f>metaSHOTS[[#This Row],[End]]</f>
        <v>290</v>
      </c>
      <c r="E23" s="2">
        <f>metaSHOTS[[#This Row],[Duration]]</f>
        <v>290</v>
      </c>
      <c r="F23" s="92">
        <f>SUM(LEN(layout[[#This Row],[Priority]]),LEN(anim[[#This Row],[Priority]]),LEN(lighting[[#This Row],[Priority]]),LEN(vfx[[#This Row],[Priority]]), LEN(render[[#This Row],[Priority]]),LEN(comp[[#This Row],[Priority]]))</f>
        <v>8</v>
      </c>
      <c r="G23" s="2" t="str">
        <f>IF(
        comp[[#This Row],[Progress]]&gt;0%, "Comp",
        IF(
            render[[#This Row],[Progress]]&gt;0%, "Render",
            IF(
                vfx[[#This Row],[Progress]]&gt;0%, "VFX",
                IF(
                    lighting[[#This Row],[Progress]]&gt;0%, "Lighting",
                    IF(
                        anim[[#This Row],[Progress]]&gt;0%, "Anim",
                        IF(
                            layout[[#This Row],[Progress]]&gt;=0%, "Layout"
                        )
                    )
                )
            )
        )
    )</f>
        <v>Render</v>
      </c>
      <c r="H23" s="84">
        <f>SUM(layout[[#This Row],[Estimated]], anim[[#This Row],[Estimated]], lighting[[#This Row],[Estimated]], render[[#This Row],[Estimated]], vfx[[#This Row],[Estimated]], comp[[#This Row],[Estimated]])</f>
        <v>29</v>
      </c>
      <c r="I23" s="172">
        <f>IF(layout[[#This Row],[Progress]]="Done", 1, layout[[#This Row],[Progress]])</f>
        <v>1</v>
      </c>
      <c r="J23" s="172">
        <f>IF(anim[[#This Row],[Progress]]="Done", 1, anim[[#This Row],[Progress]])</f>
        <v>1</v>
      </c>
      <c r="K23" s="172">
        <f>IF(lighting[[#This Row],[Progress]]="Done", 1, lighting[[#This Row],[Progress]])</f>
        <v>0.9</v>
      </c>
      <c r="L23" s="172">
        <f>IF(vfx[[#This Row],[Progress]]="Done", 1, vfx[[#This Row],[Progress]])</f>
        <v>0</v>
      </c>
      <c r="M23" s="172">
        <f>IF(render[[#This Row],[Progress]]="Done", 1, render[[#This Row],[Progress]])</f>
        <v>0.3</v>
      </c>
      <c r="N23" s="172">
        <f>IF(comp[[#This Row],[Progress]]="Done", 1, comp[[#This Row],[Progress]])</f>
        <v>0</v>
      </c>
      <c r="O23" s="6" cm="1">
        <f t="array" ref="O23">SUM(shots[[#This Row],[layout]:[comp]]*SHOTS_ponderation)</f>
        <v>0.61499999999999999</v>
      </c>
      <c r="P23" s="84">
        <f>(1-shots[[#This Row],[Progress]])*shots[[#This Row],[Estimated]]</f>
        <v>11.165000000000001</v>
      </c>
      <c r="Q23" s="189"/>
    </row>
    <row r="24" spans="1:17" ht="30" customHeight="1" x14ac:dyDescent="0.25">
      <c r="A24" s="3" t="str">
        <f>metaSHOTS[[#This Row],[Shot]]</f>
        <v>030_030</v>
      </c>
      <c r="B24" s="2" t="e" vm="21">
        <f>metaSHOTS[[#This Row],[Thumbnail]]</f>
        <v>#VALUE!</v>
      </c>
      <c r="C24" s="2">
        <f>metaSHOTS[[#This Row],[Start]]</f>
        <v>1</v>
      </c>
      <c r="D24" s="2">
        <f>metaSHOTS[[#This Row],[End]]</f>
        <v>141</v>
      </c>
      <c r="E24" s="2">
        <f>metaSHOTS[[#This Row],[Duration]]</f>
        <v>141</v>
      </c>
      <c r="F24" s="92">
        <f>SUM(LEN(layout[[#This Row],[Priority]]),LEN(anim[[#This Row],[Priority]]),LEN(lighting[[#This Row],[Priority]]),LEN(vfx[[#This Row],[Priority]]), LEN(render[[#This Row],[Priority]]),LEN(comp[[#This Row],[Priority]]))</f>
        <v>8</v>
      </c>
      <c r="G24" s="2" t="str">
        <f>IF(
        comp[[#This Row],[Progress]]&gt;0%, "Comp",
        IF(
            render[[#This Row],[Progress]]&gt;0%, "Render",
            IF(
                vfx[[#This Row],[Progress]]&gt;0%, "VFX",
                IF(
                    lighting[[#This Row],[Progress]]&gt;0%, "Lighting",
                    IF(
                        anim[[#This Row],[Progress]]&gt;0%, "Anim",
                        IF(
                            layout[[#This Row],[Progress]]&gt;=0%, "Layout"
                        )
                    )
                )
            )
        )
    )</f>
        <v>Render</v>
      </c>
      <c r="H24" s="84">
        <f>SUM(layout[[#This Row],[Estimated]], anim[[#This Row],[Estimated]], lighting[[#This Row],[Estimated]], render[[#This Row],[Estimated]], vfx[[#This Row],[Estimated]], comp[[#This Row],[Estimated]])</f>
        <v>50.5</v>
      </c>
      <c r="I24" s="172">
        <f>IF(layout[[#This Row],[Progress]]="Done", 1, layout[[#This Row],[Progress]])</f>
        <v>1</v>
      </c>
      <c r="J24" s="172">
        <f>IF(anim[[#This Row],[Progress]]="Done", 1, anim[[#This Row],[Progress]])</f>
        <v>1</v>
      </c>
      <c r="K24" s="172">
        <f>IF(lighting[[#This Row],[Progress]]="Done", 1, lighting[[#This Row],[Progress]])</f>
        <v>1</v>
      </c>
      <c r="L24" s="172">
        <f>IF(vfx[[#This Row],[Progress]]="Done", 1, vfx[[#This Row],[Progress]])</f>
        <v>0.8</v>
      </c>
      <c r="M24" s="172">
        <f>IF(render[[#This Row],[Progress]]="Done", 1, render[[#This Row],[Progress]])</f>
        <v>0.89999999999999991</v>
      </c>
      <c r="N24" s="172">
        <f>IF(comp[[#This Row],[Progress]]="Done", 1, comp[[#This Row],[Progress]])</f>
        <v>0</v>
      </c>
      <c r="O24" s="6" cm="1">
        <f t="array" ref="O24">SUM(shots[[#This Row],[layout]:[comp]]*SHOTS_ponderation)</f>
        <v>0.76999999999999991</v>
      </c>
      <c r="P24" s="84">
        <f>(1-shots[[#This Row],[Progress]])*shots[[#This Row],[Estimated]]</f>
        <v>11.615000000000006</v>
      </c>
      <c r="Q24" s="189"/>
    </row>
    <row r="25" spans="1:17" ht="30" customHeight="1" x14ac:dyDescent="0.25">
      <c r="A25" s="3" t="str">
        <f>metaSHOTS[[#This Row],[Shot]]</f>
        <v>030_040</v>
      </c>
      <c r="B25" s="2" t="e" vm="22">
        <f>metaSHOTS[[#This Row],[Thumbnail]]</f>
        <v>#VALUE!</v>
      </c>
      <c r="C25" s="2">
        <f>metaSHOTS[[#This Row],[Start]]</f>
        <v>1</v>
      </c>
      <c r="D25" s="2">
        <f>metaSHOTS[[#This Row],[End]]</f>
        <v>133</v>
      </c>
      <c r="E25" s="2">
        <f>metaSHOTS[[#This Row],[Duration]]</f>
        <v>133</v>
      </c>
      <c r="F25" s="92">
        <f>SUM(LEN(layout[[#This Row],[Priority]]),LEN(anim[[#This Row],[Priority]]),LEN(lighting[[#This Row],[Priority]]),LEN(vfx[[#This Row],[Priority]]), LEN(render[[#This Row],[Priority]]),LEN(comp[[#This Row],[Priority]]))</f>
        <v>6</v>
      </c>
      <c r="G25" s="2" t="str">
        <f>IF(
        comp[[#This Row],[Progress]]&gt;0%, "Comp",
        IF(
            render[[#This Row],[Progress]]&gt;0%, "Render",
            IF(
                vfx[[#This Row],[Progress]]&gt;0%, "VFX",
                IF(
                    lighting[[#This Row],[Progress]]&gt;0%, "Lighting",
                    IF(
                        anim[[#This Row],[Progress]]&gt;0%, "Anim",
                        IF(
                            layout[[#This Row],[Progress]]&gt;=0%, "Layout"
                        )
                    )
                )
            )
        )
    )</f>
        <v>Render</v>
      </c>
      <c r="H25" s="84">
        <f>SUM(layout[[#This Row],[Estimated]], anim[[#This Row],[Estimated]], lighting[[#This Row],[Estimated]], render[[#This Row],[Estimated]], vfx[[#This Row],[Estimated]], comp[[#This Row],[Estimated]])</f>
        <v>21.75</v>
      </c>
      <c r="I25" s="172">
        <f>IF(layout[[#This Row],[Progress]]="Done", 1, layout[[#This Row],[Progress]])</f>
        <v>1</v>
      </c>
      <c r="J25" s="172">
        <f>IF(anim[[#This Row],[Progress]]="Done", 1, anim[[#This Row],[Progress]])</f>
        <v>1</v>
      </c>
      <c r="K25" s="172">
        <f>IF(lighting[[#This Row],[Progress]]="Done", 1, lighting[[#This Row],[Progress]])</f>
        <v>0</v>
      </c>
      <c r="L25" s="172">
        <f>IF(vfx[[#This Row],[Progress]]="Done", 1, vfx[[#This Row],[Progress]])</f>
        <v>0.98000000000000009</v>
      </c>
      <c r="M25" s="172">
        <f>IF(render[[#This Row],[Progress]]="Done", 1, render[[#This Row],[Progress]])</f>
        <v>0.3</v>
      </c>
      <c r="N25" s="172">
        <f>IF(comp[[#This Row],[Progress]]="Done", 1, comp[[#This Row],[Progress]])</f>
        <v>0</v>
      </c>
      <c r="O25" s="6" cm="1">
        <f t="array" ref="O25">SUM(shots[[#This Row],[layout]:[comp]]*SHOTS_ponderation)</f>
        <v>0.57799999999999996</v>
      </c>
      <c r="P25" s="84">
        <f>(1-shots[[#This Row],[Progress]])*shots[[#This Row],[Estimated]]</f>
        <v>9.1785000000000014</v>
      </c>
      <c r="Q25" s="189"/>
    </row>
    <row r="26" spans="1:17" ht="30" customHeight="1" x14ac:dyDescent="0.25">
      <c r="A26" s="3" t="str">
        <f>metaSHOTS[[#This Row],[Shot]]</f>
        <v>030_060</v>
      </c>
      <c r="B26" s="2" t="e" vm="23">
        <f>metaSHOTS[[#This Row],[Thumbnail]]</f>
        <v>#VALUE!</v>
      </c>
      <c r="C26" s="2">
        <f>metaSHOTS[[#This Row],[Start]]</f>
        <v>1</v>
      </c>
      <c r="D26" s="2">
        <f>metaSHOTS[[#This Row],[End]]</f>
        <v>93</v>
      </c>
      <c r="E26" s="2">
        <f>metaSHOTS[[#This Row],[Duration]]</f>
        <v>93</v>
      </c>
      <c r="F26" s="92">
        <f>SUM(LEN(layout[[#This Row],[Priority]]),LEN(anim[[#This Row],[Priority]]),LEN(lighting[[#This Row],[Priority]]),LEN(vfx[[#This Row],[Priority]]), LEN(render[[#This Row],[Priority]]),LEN(comp[[#This Row],[Priority]]))</f>
        <v>11</v>
      </c>
      <c r="G26" s="2" t="str">
        <f>IF(
        comp[[#This Row],[Progress]]&gt;0%, "Comp",
        IF(
            render[[#This Row],[Progress]]&gt;0%, "Render",
            IF(
                vfx[[#This Row],[Progress]]&gt;0%, "VFX",
                IF(
                    lighting[[#This Row],[Progress]]&gt;0%, "Lighting",
                    IF(
                        anim[[#This Row],[Progress]]&gt;0%, "Anim",
                        IF(
                            layout[[#This Row],[Progress]]&gt;=0%, "Layout"
                        )
                    )
                )
            )
        )
    )</f>
        <v>Render</v>
      </c>
      <c r="H26" s="84">
        <f>SUM(layout[[#This Row],[Estimated]], anim[[#This Row],[Estimated]], lighting[[#This Row],[Estimated]], render[[#This Row],[Estimated]], vfx[[#This Row],[Estimated]], comp[[#This Row],[Estimated]])</f>
        <v>20</v>
      </c>
      <c r="I26" s="172">
        <f>IF(layout[[#This Row],[Progress]]="Done", 1, layout[[#This Row],[Progress]])</f>
        <v>1</v>
      </c>
      <c r="J26" s="172">
        <f>IF(anim[[#This Row],[Progress]]="Done", 1, anim[[#This Row],[Progress]])</f>
        <v>1</v>
      </c>
      <c r="K26" s="172">
        <f>IF(lighting[[#This Row],[Progress]]="Done", 1, lighting[[#This Row],[Progress]])</f>
        <v>0</v>
      </c>
      <c r="L26" s="172">
        <f>IF(vfx[[#This Row],[Progress]]="Done", 1, vfx[[#This Row],[Progress]])</f>
        <v>0</v>
      </c>
      <c r="M26" s="172">
        <f>IF(render[[#This Row],[Progress]]="Done", 1, render[[#This Row],[Progress]])</f>
        <v>0.3</v>
      </c>
      <c r="N26" s="172">
        <f>IF(comp[[#This Row],[Progress]]="Done", 1, comp[[#This Row],[Progress]])</f>
        <v>0</v>
      </c>
      <c r="O26" s="6" cm="1">
        <f t="array" ref="O26">SUM(shots[[#This Row],[layout]:[comp]]*SHOTS_ponderation)</f>
        <v>0.48</v>
      </c>
      <c r="P26" s="84">
        <f>(1-shots[[#This Row],[Progress]])*shots[[#This Row],[Estimated]]</f>
        <v>10.4</v>
      </c>
      <c r="Q26" s="189"/>
    </row>
    <row r="27" spans="1:17" ht="30" customHeight="1" x14ac:dyDescent="0.25">
      <c r="A27" s="3" t="str">
        <f>metaSHOTS[[#This Row],[Shot]]</f>
        <v>030_070</v>
      </c>
      <c r="B27" s="2" t="e" vm="24">
        <f>metaSHOTS[[#This Row],[Thumbnail]]</f>
        <v>#VALUE!</v>
      </c>
      <c r="C27" s="2">
        <f>metaSHOTS[[#This Row],[Start]]</f>
        <v>1</v>
      </c>
      <c r="D27" s="2">
        <f>metaSHOTS[[#This Row],[End]]</f>
        <v>19</v>
      </c>
      <c r="E27" s="2">
        <f>metaSHOTS[[#This Row],[Duration]]</f>
        <v>19</v>
      </c>
      <c r="F27" s="92">
        <f>SUM(LEN(layout[[#This Row],[Priority]]),LEN(anim[[#This Row],[Priority]]),LEN(lighting[[#This Row],[Priority]]),LEN(vfx[[#This Row],[Priority]]), LEN(render[[#This Row],[Priority]]),LEN(comp[[#This Row],[Priority]]))</f>
        <v>6</v>
      </c>
      <c r="G27" s="2" t="str">
        <f>IF(
        comp[[#This Row],[Progress]]&gt;0%, "Comp",
        IF(
            render[[#This Row],[Progress]]&gt;0%, "Render",
            IF(
                vfx[[#This Row],[Progress]]&gt;0%, "VFX",
                IF(
                    lighting[[#This Row],[Progress]]&gt;0%, "Lighting",
                    IF(
                        anim[[#This Row],[Progress]]&gt;0%, "Anim",
                        IF(
                            layout[[#This Row],[Progress]]&gt;=0%, "Layout"
                        )
                    )
                )
            )
        )
    )</f>
        <v>Render</v>
      </c>
      <c r="H27" s="84">
        <f>SUM(layout[[#This Row],[Estimated]], anim[[#This Row],[Estimated]], lighting[[#This Row],[Estimated]], render[[#This Row],[Estimated]], vfx[[#This Row],[Estimated]], comp[[#This Row],[Estimated]])</f>
        <v>19.5</v>
      </c>
      <c r="I27" s="172">
        <f>IF(layout[[#This Row],[Progress]]="Done", 1, layout[[#This Row],[Progress]])</f>
        <v>1</v>
      </c>
      <c r="J27" s="172">
        <f>IF(anim[[#This Row],[Progress]]="Done", 1, anim[[#This Row],[Progress]])</f>
        <v>1</v>
      </c>
      <c r="K27" s="172">
        <f>IF(lighting[[#This Row],[Progress]]="Done", 1, lighting[[#This Row],[Progress]])</f>
        <v>0</v>
      </c>
      <c r="L27" s="172">
        <f>IF(vfx[[#This Row],[Progress]]="Done", 1, vfx[[#This Row],[Progress]])</f>
        <v>0</v>
      </c>
      <c r="M27" s="172">
        <f>IF(render[[#This Row],[Progress]]="Done", 1, render[[#This Row],[Progress]])</f>
        <v>0.3</v>
      </c>
      <c r="N27" s="172">
        <f>IF(comp[[#This Row],[Progress]]="Done", 1, comp[[#This Row],[Progress]])</f>
        <v>0</v>
      </c>
      <c r="O27" s="6" cm="1">
        <f t="array" ref="O27">SUM(shots[[#This Row],[layout]:[comp]]*SHOTS_ponderation)</f>
        <v>0.48</v>
      </c>
      <c r="P27" s="84">
        <f>(1-shots[[#This Row],[Progress]])*shots[[#This Row],[Estimated]]</f>
        <v>10.14</v>
      </c>
      <c r="Q27" s="189"/>
    </row>
    <row r="28" spans="1:17" ht="30" customHeight="1" x14ac:dyDescent="0.25">
      <c r="A28" s="3" t="str">
        <f>metaSHOTS[[#This Row],[Shot]]</f>
        <v>030_080</v>
      </c>
      <c r="B28" s="2" t="e" vm="25">
        <f>metaSHOTS[[#This Row],[Thumbnail]]</f>
        <v>#VALUE!</v>
      </c>
      <c r="C28" s="2">
        <f>metaSHOTS[[#This Row],[Start]]</f>
        <v>1</v>
      </c>
      <c r="D28" s="2">
        <f>metaSHOTS[[#This Row],[End]]</f>
        <v>51</v>
      </c>
      <c r="E28" s="2">
        <f>metaSHOTS[[#This Row],[Duration]]</f>
        <v>51</v>
      </c>
      <c r="F28" s="92">
        <f>SUM(LEN(layout[[#This Row],[Priority]]),LEN(anim[[#This Row],[Priority]]),LEN(lighting[[#This Row],[Priority]]),LEN(vfx[[#This Row],[Priority]]), LEN(render[[#This Row],[Priority]]),LEN(comp[[#This Row],[Priority]]))</f>
        <v>8</v>
      </c>
      <c r="G28" s="2" t="str">
        <f>IF(
        comp[[#This Row],[Progress]]&gt;0%, "Comp",
        IF(
            render[[#This Row],[Progress]]&gt;0%, "Render",
            IF(
                vfx[[#This Row],[Progress]]&gt;0%, "VFX",
                IF(
                    lighting[[#This Row],[Progress]]&gt;0%, "Lighting",
                    IF(
                        anim[[#This Row],[Progress]]&gt;0%, "Anim",
                        IF(
                            layout[[#This Row],[Progress]]&gt;=0%, "Layout"
                        )
                    )
                )
            )
        )
    )</f>
        <v>Render</v>
      </c>
      <c r="H28" s="84">
        <f>SUM(layout[[#This Row],[Estimated]], anim[[#This Row],[Estimated]], lighting[[#This Row],[Estimated]], render[[#This Row],[Estimated]], vfx[[#This Row],[Estimated]], comp[[#This Row],[Estimated]])</f>
        <v>32.5</v>
      </c>
      <c r="I28" s="172">
        <f>IF(layout[[#This Row],[Progress]]="Done", 1, layout[[#This Row],[Progress]])</f>
        <v>1</v>
      </c>
      <c r="J28" s="172">
        <f>IF(anim[[#This Row],[Progress]]="Done", 1, anim[[#This Row],[Progress]])</f>
        <v>1</v>
      </c>
      <c r="K28" s="172">
        <f>IF(lighting[[#This Row],[Progress]]="Done", 1, lighting[[#This Row],[Progress]])</f>
        <v>0</v>
      </c>
      <c r="L28" s="172">
        <f>IF(vfx[[#This Row],[Progress]]="Done", 1, vfx[[#This Row],[Progress]])</f>
        <v>0</v>
      </c>
      <c r="M28" s="172">
        <f>IF(render[[#This Row],[Progress]]="Done", 1, render[[#This Row],[Progress]])</f>
        <v>0.3</v>
      </c>
      <c r="N28" s="172">
        <f>IF(comp[[#This Row],[Progress]]="Done", 1, comp[[#This Row],[Progress]])</f>
        <v>0</v>
      </c>
      <c r="O28" s="6" cm="1">
        <f t="array" ref="O28">SUM(shots[[#This Row],[layout]:[comp]]*SHOTS_ponderation)</f>
        <v>0.48</v>
      </c>
      <c r="P28" s="84">
        <f>(1-shots[[#This Row],[Progress]])*shots[[#This Row],[Estimated]]</f>
        <v>16.900000000000002</v>
      </c>
      <c r="Q28" s="189"/>
    </row>
    <row r="29" spans="1:17" ht="30" customHeight="1" x14ac:dyDescent="0.25">
      <c r="A29" s="3" t="str">
        <f>metaSHOTS[[#This Row],[Shot]]</f>
        <v>030_100</v>
      </c>
      <c r="B29" s="2" t="e" vm="26">
        <f>metaSHOTS[[#This Row],[Thumbnail]]</f>
        <v>#VALUE!</v>
      </c>
      <c r="C29" s="2">
        <f>metaSHOTS[[#This Row],[Start]]</f>
        <v>1</v>
      </c>
      <c r="D29" s="2">
        <f>metaSHOTS[[#This Row],[End]]</f>
        <v>87</v>
      </c>
      <c r="E29" s="2">
        <f>metaSHOTS[[#This Row],[Duration]]</f>
        <v>87</v>
      </c>
      <c r="F29" s="92">
        <f>SUM(LEN(layout[[#This Row],[Priority]]),LEN(anim[[#This Row],[Priority]]),LEN(lighting[[#This Row],[Priority]]),LEN(vfx[[#This Row],[Priority]]), LEN(render[[#This Row],[Priority]]),LEN(comp[[#This Row],[Priority]]))</f>
        <v>10</v>
      </c>
      <c r="G29" s="2" t="str">
        <f>IF(
        comp[[#This Row],[Progress]]&gt;0%, "Comp",
        IF(
            render[[#This Row],[Progress]]&gt;0%, "Render",
            IF(
                vfx[[#This Row],[Progress]]&gt;0%, "VFX",
                IF(
                    lighting[[#This Row],[Progress]]&gt;0%, "Lighting",
                    IF(
                        anim[[#This Row],[Progress]]&gt;0%, "Anim",
                        IF(
                            layout[[#This Row],[Progress]]&gt;=0%, "Layout"
                        )
                    )
                )
            )
        )
    )</f>
        <v>Render</v>
      </c>
      <c r="H29" s="84">
        <f>SUM(layout[[#This Row],[Estimated]], anim[[#This Row],[Estimated]], lighting[[#This Row],[Estimated]], render[[#This Row],[Estimated]], vfx[[#This Row],[Estimated]], comp[[#This Row],[Estimated]])</f>
        <v>38</v>
      </c>
      <c r="I29" s="172">
        <f>IF(layout[[#This Row],[Progress]]="Done", 1, layout[[#This Row],[Progress]])</f>
        <v>1</v>
      </c>
      <c r="J29" s="172">
        <f>IF(anim[[#This Row],[Progress]]="Done", 1, anim[[#This Row],[Progress]])</f>
        <v>1</v>
      </c>
      <c r="K29" s="172">
        <f>IF(lighting[[#This Row],[Progress]]="Done", 1, lighting[[#This Row],[Progress]])</f>
        <v>0</v>
      </c>
      <c r="L29" s="172">
        <f>IF(vfx[[#This Row],[Progress]]="Done", 1, vfx[[#This Row],[Progress]])</f>
        <v>0</v>
      </c>
      <c r="M29" s="172">
        <f>IF(render[[#This Row],[Progress]]="Done", 1, render[[#This Row],[Progress]])</f>
        <v>0.3</v>
      </c>
      <c r="N29" s="172">
        <f>IF(comp[[#This Row],[Progress]]="Done", 1, comp[[#This Row],[Progress]])</f>
        <v>0</v>
      </c>
      <c r="O29" s="6" cm="1">
        <f t="array" ref="O29">SUM(shots[[#This Row],[layout]:[comp]]*SHOTS_ponderation)</f>
        <v>0.48</v>
      </c>
      <c r="P29" s="84">
        <f>(1-shots[[#This Row],[Progress]])*shots[[#This Row],[Estimated]]</f>
        <v>19.760000000000002</v>
      </c>
      <c r="Q29" s="189"/>
    </row>
    <row r="30" spans="1:17" ht="30" customHeight="1" x14ac:dyDescent="0.25">
      <c r="A30" s="3" t="str">
        <f>metaSHOTS[[#This Row],[Shot]]</f>
        <v>030_110</v>
      </c>
      <c r="B30" s="2" t="e" vm="27">
        <f>metaSHOTS[[#This Row],[Thumbnail]]</f>
        <v>#VALUE!</v>
      </c>
      <c r="C30" s="2">
        <f>metaSHOTS[[#This Row],[Start]]</f>
        <v>1</v>
      </c>
      <c r="D30" s="2">
        <f>metaSHOTS[[#This Row],[End]]</f>
        <v>64</v>
      </c>
      <c r="E30" s="2">
        <f>metaSHOTS[[#This Row],[Duration]]</f>
        <v>64</v>
      </c>
      <c r="F30" s="92">
        <f>SUM(LEN(layout[[#This Row],[Priority]]),LEN(anim[[#This Row],[Priority]]),LEN(lighting[[#This Row],[Priority]]),LEN(vfx[[#This Row],[Priority]]), LEN(render[[#This Row],[Priority]]),LEN(comp[[#This Row],[Priority]]))</f>
        <v>14</v>
      </c>
      <c r="G30" s="2" t="str">
        <f>IF(
        comp[[#This Row],[Progress]]&gt;0%, "Comp",
        IF(
            render[[#This Row],[Progress]]&gt;0%, "Render",
            IF(
                vfx[[#This Row],[Progress]]&gt;0%, "VFX",
                IF(
                    lighting[[#This Row],[Progress]]&gt;0%, "Lighting",
                    IF(
                        anim[[#This Row],[Progress]]&gt;0%, "Anim",
                        IF(
                            layout[[#This Row],[Progress]]&gt;=0%, "Layout"
                        )
                    )
                )
            )
        )
    )</f>
        <v>Render</v>
      </c>
      <c r="H30" s="84">
        <f>SUM(layout[[#This Row],[Estimated]], anim[[#This Row],[Estimated]], lighting[[#This Row],[Estimated]], render[[#This Row],[Estimated]], vfx[[#This Row],[Estimated]], comp[[#This Row],[Estimated]])</f>
        <v>72</v>
      </c>
      <c r="I30" s="172">
        <f>IF(layout[[#This Row],[Progress]]="Done", 1, layout[[#This Row],[Progress]])</f>
        <v>1</v>
      </c>
      <c r="J30" s="172">
        <f>IF(anim[[#This Row],[Progress]]="Done", 1, anim[[#This Row],[Progress]])</f>
        <v>1</v>
      </c>
      <c r="K30" s="172">
        <f>IF(lighting[[#This Row],[Progress]]="Done", 1, lighting[[#This Row],[Progress]])</f>
        <v>0</v>
      </c>
      <c r="L30" s="172">
        <f>IF(vfx[[#This Row],[Progress]]="Done", 1, vfx[[#This Row],[Progress]])</f>
        <v>0.25</v>
      </c>
      <c r="M30" s="172">
        <f>IF(render[[#This Row],[Progress]]="Done", 1, render[[#This Row],[Progress]])</f>
        <v>0.3</v>
      </c>
      <c r="N30" s="172">
        <f>IF(comp[[#This Row],[Progress]]="Done", 1, comp[[#This Row],[Progress]])</f>
        <v>0</v>
      </c>
      <c r="O30" s="6" cm="1">
        <f t="array" ref="O30">SUM(shots[[#This Row],[layout]:[comp]]*SHOTS_ponderation)</f>
        <v>0.505</v>
      </c>
      <c r="P30" s="84">
        <f>(1-shots[[#This Row],[Progress]])*shots[[#This Row],[Estimated]]</f>
        <v>35.64</v>
      </c>
      <c r="Q30" s="189"/>
    </row>
    <row r="31" spans="1:17" ht="30" customHeight="1" x14ac:dyDescent="0.25">
      <c r="A31" s="3" t="str">
        <f>metaSHOTS[[#This Row],[Shot]]</f>
        <v>030_120</v>
      </c>
      <c r="B31" s="2" t="e" vm="28">
        <f>metaSHOTS[[#This Row],[Thumbnail]]</f>
        <v>#VALUE!</v>
      </c>
      <c r="C31" s="2">
        <f>metaSHOTS[[#This Row],[Start]]</f>
        <v>1</v>
      </c>
      <c r="D31" s="2">
        <f>metaSHOTS[[#This Row],[End]]</f>
        <v>71</v>
      </c>
      <c r="E31" s="2">
        <f>metaSHOTS[[#This Row],[Duration]]</f>
        <v>71</v>
      </c>
      <c r="F31" s="92">
        <f>SUM(LEN(layout[[#This Row],[Priority]]),LEN(anim[[#This Row],[Priority]]),LEN(lighting[[#This Row],[Priority]]),LEN(vfx[[#This Row],[Priority]]), LEN(render[[#This Row],[Priority]]),LEN(comp[[#This Row],[Priority]]))</f>
        <v>14</v>
      </c>
      <c r="G31" s="2" t="str">
        <f>IF(
        comp[[#This Row],[Progress]]&gt;0%, "Comp",
        IF(
            render[[#This Row],[Progress]]&gt;0%, "Render",
            IF(
                vfx[[#This Row],[Progress]]&gt;0%, "VFX",
                IF(
                    lighting[[#This Row],[Progress]]&gt;0%, "Lighting",
                    IF(
                        anim[[#This Row],[Progress]]&gt;0%, "Anim",
                        IF(
                            layout[[#This Row],[Progress]]&gt;=0%, "Layout"
                        )
                    )
                )
            )
        )
    )</f>
        <v>Anim</v>
      </c>
      <c r="H31" s="84">
        <f>SUM(layout[[#This Row],[Estimated]], anim[[#This Row],[Estimated]], lighting[[#This Row],[Estimated]], render[[#This Row],[Estimated]], vfx[[#This Row],[Estimated]], comp[[#This Row],[Estimated]])</f>
        <v>43</v>
      </c>
      <c r="I31" s="172">
        <f>IF(layout[[#This Row],[Progress]]="Done", 1, layout[[#This Row],[Progress]])</f>
        <v>0.8</v>
      </c>
      <c r="J31" s="172">
        <f>IF(anim[[#This Row],[Progress]]="Done", 1, anim[[#This Row],[Progress]])</f>
        <v>1</v>
      </c>
      <c r="K31" s="172">
        <f>IF(lighting[[#This Row],[Progress]]="Done", 1, lighting[[#This Row],[Progress]])</f>
        <v>0</v>
      </c>
      <c r="L31" s="172">
        <f>IF(vfx[[#This Row],[Progress]]="Done", 1, vfx[[#This Row],[Progress]])</f>
        <v>0</v>
      </c>
      <c r="M31" s="172">
        <f>IF(render[[#This Row],[Progress]]="Done", 1, render[[#This Row],[Progress]])</f>
        <v>0</v>
      </c>
      <c r="N31" s="172">
        <f>IF(comp[[#This Row],[Progress]]="Done", 1, comp[[#This Row],[Progress]])</f>
        <v>0</v>
      </c>
      <c r="O31" s="6" cm="1">
        <f t="array" ref="O31">SUM(shots[[#This Row],[layout]:[comp]]*SHOTS_ponderation)</f>
        <v>0.42</v>
      </c>
      <c r="P31" s="84">
        <f>(1-shots[[#This Row],[Progress]])*shots[[#This Row],[Estimated]]</f>
        <v>24.940000000000005</v>
      </c>
      <c r="Q31" s="189"/>
    </row>
    <row r="32" spans="1:17" ht="30" customHeight="1" x14ac:dyDescent="0.25">
      <c r="A32" s="3" t="str">
        <f>metaSHOTS[[#This Row],[Shot]]</f>
        <v>030_130</v>
      </c>
      <c r="B32" s="2" t="e" vm="29">
        <f>metaSHOTS[[#This Row],[Thumbnail]]</f>
        <v>#VALUE!</v>
      </c>
      <c r="C32" s="2">
        <f>metaSHOTS[[#This Row],[Start]]</f>
        <v>1</v>
      </c>
      <c r="D32" s="2">
        <f>metaSHOTS[[#This Row],[End]]</f>
        <v>46</v>
      </c>
      <c r="E32" s="2">
        <f>metaSHOTS[[#This Row],[Duration]]</f>
        <v>46</v>
      </c>
      <c r="F32" s="92">
        <f>SUM(LEN(layout[[#This Row],[Priority]]),LEN(anim[[#This Row],[Priority]]),LEN(lighting[[#This Row],[Priority]]),LEN(vfx[[#This Row],[Priority]]), LEN(render[[#This Row],[Priority]]),LEN(comp[[#This Row],[Priority]]))</f>
        <v>14</v>
      </c>
      <c r="G32" s="2" t="str">
        <f>IF(
        comp[[#This Row],[Progress]]&gt;0%, "Comp",
        IF(
            render[[#This Row],[Progress]]&gt;0%, "Render",
            IF(
                vfx[[#This Row],[Progress]]&gt;0%, "VFX",
                IF(
                    lighting[[#This Row],[Progress]]&gt;0%, "Lighting",
                    IF(
                        anim[[#This Row],[Progress]]&gt;0%, "Anim",
                        IF(
                            layout[[#This Row],[Progress]]&gt;=0%, "Layout"
                        )
                    )
                )
            )
        )
    )</f>
        <v>Anim</v>
      </c>
      <c r="H32" s="84">
        <f>SUM(layout[[#This Row],[Estimated]], anim[[#This Row],[Estimated]], lighting[[#This Row],[Estimated]], render[[#This Row],[Estimated]], vfx[[#This Row],[Estimated]], comp[[#This Row],[Estimated]])</f>
        <v>25</v>
      </c>
      <c r="I32" s="172">
        <f>IF(layout[[#This Row],[Progress]]="Done", 1, layout[[#This Row],[Progress]])</f>
        <v>0.8</v>
      </c>
      <c r="J32" s="172">
        <f>IF(anim[[#This Row],[Progress]]="Done", 1, anim[[#This Row],[Progress]])</f>
        <v>1</v>
      </c>
      <c r="K32" s="172">
        <f>IF(lighting[[#This Row],[Progress]]="Done", 1, lighting[[#This Row],[Progress]])</f>
        <v>0</v>
      </c>
      <c r="L32" s="172">
        <f>IF(vfx[[#This Row],[Progress]]="Done", 1, vfx[[#This Row],[Progress]])</f>
        <v>0</v>
      </c>
      <c r="M32" s="172">
        <f>IF(render[[#This Row],[Progress]]="Done", 1, render[[#This Row],[Progress]])</f>
        <v>0</v>
      </c>
      <c r="N32" s="172">
        <f>IF(comp[[#This Row],[Progress]]="Done", 1, comp[[#This Row],[Progress]])</f>
        <v>0</v>
      </c>
      <c r="O32" s="6" cm="1">
        <f t="array" ref="O32">SUM(shots[[#This Row],[layout]:[comp]]*SHOTS_ponderation)</f>
        <v>0.42</v>
      </c>
      <c r="P32" s="84">
        <f>(1-shots[[#This Row],[Progress]])*shots[[#This Row],[Estimated]]</f>
        <v>14.500000000000002</v>
      </c>
      <c r="Q32" s="189"/>
    </row>
    <row r="33" spans="1:17" ht="30" customHeight="1" x14ac:dyDescent="0.25">
      <c r="A33" s="3" t="str">
        <f>metaSHOTS[[#This Row],[Shot]]</f>
        <v>030_140</v>
      </c>
      <c r="B33" s="2" t="e" vm="30">
        <f>metaSHOTS[[#This Row],[Thumbnail]]</f>
        <v>#VALUE!</v>
      </c>
      <c r="C33" s="2">
        <f>metaSHOTS[[#This Row],[Start]]</f>
        <v>1</v>
      </c>
      <c r="D33" s="2">
        <f>metaSHOTS[[#This Row],[End]]</f>
        <v>29</v>
      </c>
      <c r="E33" s="2">
        <f>metaSHOTS[[#This Row],[Duration]]</f>
        <v>29</v>
      </c>
      <c r="F33" s="92">
        <f>SUM(LEN(layout[[#This Row],[Priority]]),LEN(anim[[#This Row],[Priority]]),LEN(lighting[[#This Row],[Priority]]),LEN(vfx[[#This Row],[Priority]]), LEN(render[[#This Row],[Priority]]),LEN(comp[[#This Row],[Priority]]))</f>
        <v>10</v>
      </c>
      <c r="G33" s="2" t="str">
        <f>IF(
        comp[[#This Row],[Progress]]&gt;0%, "Comp",
        IF(
            render[[#This Row],[Progress]]&gt;0%, "Render",
            IF(
                vfx[[#This Row],[Progress]]&gt;0%, "VFX",
                IF(
                    lighting[[#This Row],[Progress]]&gt;0%, "Lighting",
                    IF(
                        anim[[#This Row],[Progress]]&gt;0%, "Anim",
                        IF(
                            layout[[#This Row],[Progress]]&gt;=0%, "Layout"
                        )
                    )
                )
            )
        )
    )</f>
        <v>Anim</v>
      </c>
      <c r="H33" s="84">
        <f>SUM(layout[[#This Row],[Estimated]], anim[[#This Row],[Estimated]], lighting[[#This Row],[Estimated]], render[[#This Row],[Estimated]], vfx[[#This Row],[Estimated]], comp[[#This Row],[Estimated]])</f>
        <v>22</v>
      </c>
      <c r="I33" s="172">
        <f>IF(layout[[#This Row],[Progress]]="Done", 1, layout[[#This Row],[Progress]])</f>
        <v>0.8</v>
      </c>
      <c r="J33" s="172">
        <f>IF(anim[[#This Row],[Progress]]="Done", 1, anim[[#This Row],[Progress]])</f>
        <v>1</v>
      </c>
      <c r="K33" s="172">
        <f>IF(lighting[[#This Row],[Progress]]="Done", 1, lighting[[#This Row],[Progress]])</f>
        <v>0</v>
      </c>
      <c r="L33" s="172">
        <f>IF(vfx[[#This Row],[Progress]]="Done", 1, vfx[[#This Row],[Progress]])</f>
        <v>0</v>
      </c>
      <c r="M33" s="172">
        <f>IF(render[[#This Row],[Progress]]="Done", 1, render[[#This Row],[Progress]])</f>
        <v>0</v>
      </c>
      <c r="N33" s="172">
        <f>IF(comp[[#This Row],[Progress]]="Done", 1, comp[[#This Row],[Progress]])</f>
        <v>0</v>
      </c>
      <c r="O33" s="6" cm="1">
        <f t="array" ref="O33">SUM(shots[[#This Row],[layout]:[comp]]*SHOTS_ponderation)</f>
        <v>0.42</v>
      </c>
      <c r="P33" s="84">
        <f>(1-shots[[#This Row],[Progress]])*shots[[#This Row],[Estimated]]</f>
        <v>12.760000000000002</v>
      </c>
      <c r="Q33" s="189"/>
    </row>
    <row r="34" spans="1:17" ht="30" customHeight="1" x14ac:dyDescent="0.25">
      <c r="A34" s="3" t="str">
        <f>metaSHOTS[[#This Row],[Shot]]</f>
        <v>030_150</v>
      </c>
      <c r="B34" s="2" t="e" vm="31">
        <f>metaSHOTS[[#This Row],[Thumbnail]]</f>
        <v>#VALUE!</v>
      </c>
      <c r="C34" s="2">
        <f>metaSHOTS[[#This Row],[Start]]</f>
        <v>1</v>
      </c>
      <c r="D34" s="2">
        <f>metaSHOTS[[#This Row],[End]]</f>
        <v>19</v>
      </c>
      <c r="E34" s="2">
        <f>metaSHOTS[[#This Row],[Duration]]</f>
        <v>19</v>
      </c>
      <c r="F34" s="92">
        <f>SUM(LEN(layout[[#This Row],[Priority]]),LEN(anim[[#This Row],[Priority]]),LEN(lighting[[#This Row],[Priority]]),LEN(vfx[[#This Row],[Priority]]), LEN(render[[#This Row],[Priority]]),LEN(comp[[#This Row],[Priority]]))</f>
        <v>14</v>
      </c>
      <c r="G34" s="2" t="str">
        <f>IF(
        comp[[#This Row],[Progress]]&gt;0%, "Comp",
        IF(
            render[[#This Row],[Progress]]&gt;0%, "Render",
            IF(
                vfx[[#This Row],[Progress]]&gt;0%, "VFX",
                IF(
                    lighting[[#This Row],[Progress]]&gt;0%, "Lighting",
                    IF(
                        anim[[#This Row],[Progress]]&gt;0%, "Anim",
                        IF(
                            layout[[#This Row],[Progress]]&gt;=0%, "Layout"
                        )
                    )
                )
            )
        )
    )</f>
        <v>Anim</v>
      </c>
      <c r="H34" s="84">
        <f>SUM(layout[[#This Row],[Estimated]], anim[[#This Row],[Estimated]], lighting[[#This Row],[Estimated]], render[[#This Row],[Estimated]], vfx[[#This Row],[Estimated]], comp[[#This Row],[Estimated]])</f>
        <v>28</v>
      </c>
      <c r="I34" s="172">
        <f>layout[[#This Row],[Progress]]</f>
        <v>0.8</v>
      </c>
      <c r="J34" s="172">
        <f>anim[[#This Row],[Progress]]</f>
        <v>1</v>
      </c>
      <c r="K34" s="172">
        <f>lighting[[#This Row],[Progress]]</f>
        <v>0</v>
      </c>
      <c r="L34" s="172">
        <f>vfx[[#This Row],[Progress]]</f>
        <v>0</v>
      </c>
      <c r="M34" s="172">
        <f>render[[#This Row],[Progress]]</f>
        <v>0</v>
      </c>
      <c r="N34" s="172">
        <f>comp[[#This Row],[Progress]]</f>
        <v>0</v>
      </c>
      <c r="O34" s="6" cm="1">
        <f t="array" ref="O34">SUM(shots[[#This Row],[layout]:[comp]]*SHOTS_ponderation)</f>
        <v>0.42</v>
      </c>
      <c r="P34" s="84">
        <f>(1-shots[[#This Row],[Progress]])*shots[[#This Row],[Estimated]]</f>
        <v>16.240000000000002</v>
      </c>
      <c r="Q34" s="189"/>
    </row>
    <row r="35" spans="1:17" ht="30" customHeight="1" x14ac:dyDescent="0.25">
      <c r="A35" s="3" t="str">
        <f>metaSHOTS[[#This Row],[Shot]]</f>
        <v>040_010</v>
      </c>
      <c r="B35" s="2" t="e" vm="32">
        <f>metaSHOTS[[#This Row],[Thumbnail]]</f>
        <v>#VALUE!</v>
      </c>
      <c r="C35" s="2">
        <f>metaSHOTS[[#This Row],[Start]]</f>
        <v>20</v>
      </c>
      <c r="D35" s="2">
        <f>metaSHOTS[[#This Row],[End]]</f>
        <v>108</v>
      </c>
      <c r="E35" s="2">
        <f>metaSHOTS[[#This Row],[Duration]]</f>
        <v>89</v>
      </c>
      <c r="F35" s="92">
        <f>SUM(LEN(layout[[#This Row],[Priority]]),LEN(anim[[#This Row],[Priority]]),LEN(lighting[[#This Row],[Priority]]),LEN(vfx[[#This Row],[Priority]]), LEN(render[[#This Row],[Priority]]),LEN(comp[[#This Row],[Priority]]))</f>
        <v>10</v>
      </c>
      <c r="G35" s="2" t="str">
        <f>IF(
        comp[[#This Row],[Progress]]&gt;0%, "Comp",
        IF(
            render[[#This Row],[Progress]]&gt;0%, "Render",
            IF(
                vfx[[#This Row],[Progress]]&gt;0%, "VFX",
                IF(
                    lighting[[#This Row],[Progress]]&gt;0%, "Lighting",
                    IF(
                        anim[[#This Row],[Progress]]&gt;0%, "Anim",
                        IF(
                            layout[[#This Row],[Progress]]&gt;=0%, "Layout"
                        )
                    )
                )
            )
        )
    )</f>
        <v>VFX</v>
      </c>
      <c r="H35" s="84">
        <f>SUM(layout[[#This Row],[Estimated]], anim[[#This Row],[Estimated]], lighting[[#This Row],[Estimated]], render[[#This Row],[Estimated]], vfx[[#This Row],[Estimated]], comp[[#This Row],[Estimated]])</f>
        <v>39</v>
      </c>
      <c r="I35" s="172">
        <f>layout[[#This Row],[Progress]]</f>
        <v>1</v>
      </c>
      <c r="J35" s="172">
        <f>anim[[#This Row],[Progress]]</f>
        <v>1</v>
      </c>
      <c r="K35" s="172">
        <f>lighting[[#This Row],[Progress]]</f>
        <v>0</v>
      </c>
      <c r="L35" s="172">
        <f>vfx[[#This Row],[Progress]]</f>
        <v>0.98000000000000009</v>
      </c>
      <c r="M35" s="172">
        <f>render[[#This Row],[Progress]]</f>
        <v>0</v>
      </c>
      <c r="N35" s="172">
        <f>comp[[#This Row],[Progress]]</f>
        <v>0</v>
      </c>
      <c r="O35" s="6" cm="1">
        <f t="array" ref="O35">SUM(shots[[#This Row],[layout]:[comp]]*SHOTS_ponderation)</f>
        <v>0.54799999999999993</v>
      </c>
      <c r="P35" s="84">
        <f>(1-shots[[#This Row],[Progress]])*shots[[#This Row],[Estimated]]</f>
        <v>17.628000000000004</v>
      </c>
      <c r="Q35" s="189"/>
    </row>
    <row r="36" spans="1:17" ht="30" customHeight="1" x14ac:dyDescent="0.25">
      <c r="A36" s="3" t="str">
        <f>metaSHOTS[[#This Row],[Shot]]</f>
        <v>040_020</v>
      </c>
      <c r="B36" s="2" t="e" vm="33">
        <f>metaSHOTS[[#This Row],[Thumbnail]]</f>
        <v>#VALUE!</v>
      </c>
      <c r="C36" s="2">
        <f>metaSHOTS[[#This Row],[Start]]</f>
        <v>1</v>
      </c>
      <c r="D36" s="2">
        <f>metaSHOTS[[#This Row],[End]]</f>
        <v>150</v>
      </c>
      <c r="E36" s="2">
        <f>metaSHOTS[[#This Row],[Duration]]</f>
        <v>150</v>
      </c>
      <c r="F36" s="92">
        <f>SUM(LEN(layout[[#This Row],[Priority]]),LEN(anim[[#This Row],[Priority]]),LEN(lighting[[#This Row],[Priority]]),LEN(vfx[[#This Row],[Priority]]), LEN(render[[#This Row],[Priority]]),LEN(comp[[#This Row],[Priority]]))</f>
        <v>6</v>
      </c>
      <c r="G36" s="2" t="str">
        <f>IF(
        comp[[#This Row],[Progress]]&gt;0%, "Comp",
        IF(
            render[[#This Row],[Progress]]&gt;0%, "Render",
            IF(
                vfx[[#This Row],[Progress]]&gt;0%, "VFX",
                IF(
                    lighting[[#This Row],[Progress]]&gt;0%, "Lighting",
                    IF(
                        anim[[#This Row],[Progress]]&gt;0%, "Anim",
                        IF(
                            layout[[#This Row],[Progress]]&gt;=0%, "Layout"
                        )
                    )
                )
            )
        )
    )</f>
        <v>Anim</v>
      </c>
      <c r="H36" s="84">
        <f>SUM(layout[[#This Row],[Estimated]], anim[[#This Row],[Estimated]], lighting[[#This Row],[Estimated]], render[[#This Row],[Estimated]], vfx[[#This Row],[Estimated]], comp[[#This Row],[Estimated]])</f>
        <v>14.5</v>
      </c>
      <c r="I36" s="172">
        <f>layout[[#This Row],[Progress]]</f>
        <v>1</v>
      </c>
      <c r="J36" s="172">
        <f>anim[[#This Row],[Progress]]</f>
        <v>0.9850000000000001</v>
      </c>
      <c r="K36" s="172">
        <f>lighting[[#This Row],[Progress]]</f>
        <v>0</v>
      </c>
      <c r="L36" s="172">
        <f>vfx[[#This Row],[Progress]]</f>
        <v>0</v>
      </c>
      <c r="M36" s="172">
        <f>render[[#This Row],[Progress]]</f>
        <v>0</v>
      </c>
      <c r="N36" s="172">
        <f>comp[[#This Row],[Progress]]</f>
        <v>0</v>
      </c>
      <c r="O36" s="6" cm="1">
        <f t="array" ref="O36">SUM(shots[[#This Row],[layout]:[comp]]*SHOTS_ponderation)</f>
        <v>0.44550000000000001</v>
      </c>
      <c r="P36" s="84">
        <f>(1-shots[[#This Row],[Progress]])*shots[[#This Row],[Estimated]]</f>
        <v>8.0402500000000003</v>
      </c>
      <c r="Q36" s="189"/>
    </row>
    <row r="37" spans="1:17" ht="30" customHeight="1" x14ac:dyDescent="0.25">
      <c r="A37" s="3" t="str">
        <f>metaSHOTS[[#This Row],[Shot]]</f>
        <v>040_030</v>
      </c>
      <c r="B37" s="2" t="e" vm="34">
        <f>metaSHOTS[[#This Row],[Thumbnail]]</f>
        <v>#VALUE!</v>
      </c>
      <c r="C37" s="2">
        <f>metaSHOTS[[#This Row],[Start]]</f>
        <v>1</v>
      </c>
      <c r="D37" s="2">
        <f>metaSHOTS[[#This Row],[End]]</f>
        <v>115</v>
      </c>
      <c r="E37" s="2">
        <f>metaSHOTS[[#This Row],[Duration]]</f>
        <v>115</v>
      </c>
      <c r="F37" s="92">
        <f>SUM(LEN(layout[[#This Row],[Priority]]),LEN(anim[[#This Row],[Priority]]),LEN(lighting[[#This Row],[Priority]]),LEN(vfx[[#This Row],[Priority]]), LEN(render[[#This Row],[Priority]]),LEN(comp[[#This Row],[Priority]]))</f>
        <v>8</v>
      </c>
      <c r="G37" s="2" t="str">
        <f>IF(
        comp[[#This Row],[Progress]]&gt;0%, "Comp",
        IF(
            render[[#This Row],[Progress]]&gt;0%, "Render",
            IF(
                vfx[[#This Row],[Progress]]&gt;0%, "VFX",
                IF(
                    lighting[[#This Row],[Progress]]&gt;0%, "Lighting",
                    IF(
                        anim[[#This Row],[Progress]]&gt;0%, "Anim",
                        IF(
                            layout[[#This Row],[Progress]]&gt;=0%, "Layout"
                        )
                    )
                )
            )
        )
    )</f>
        <v>Anim</v>
      </c>
      <c r="H37" s="84">
        <f>SUM(layout[[#This Row],[Estimated]], anim[[#This Row],[Estimated]], lighting[[#This Row],[Estimated]], render[[#This Row],[Estimated]], vfx[[#This Row],[Estimated]], comp[[#This Row],[Estimated]])</f>
        <v>24</v>
      </c>
      <c r="I37" s="172">
        <f>layout[[#This Row],[Progress]]</f>
        <v>1</v>
      </c>
      <c r="J37" s="172">
        <f>anim[[#This Row],[Progress]]</f>
        <v>1</v>
      </c>
      <c r="K37" s="172">
        <f>lighting[[#This Row],[Progress]]</f>
        <v>0</v>
      </c>
      <c r="L37" s="172">
        <f>vfx[[#This Row],[Progress]]</f>
        <v>0</v>
      </c>
      <c r="M37" s="172">
        <f>render[[#This Row],[Progress]]</f>
        <v>0</v>
      </c>
      <c r="N37" s="172">
        <f>comp[[#This Row],[Progress]]</f>
        <v>0</v>
      </c>
      <c r="O37" s="6" cm="1">
        <f t="array" ref="O37">SUM(shots[[#This Row],[layout]:[comp]]*SHOTS_ponderation)</f>
        <v>0.44999999999999996</v>
      </c>
      <c r="P37" s="84">
        <f>(1-shots[[#This Row],[Progress]])*shots[[#This Row],[Estimated]]</f>
        <v>13.200000000000001</v>
      </c>
      <c r="Q37" s="189"/>
    </row>
    <row r="38" spans="1:17" ht="30" customHeight="1" x14ac:dyDescent="0.25">
      <c r="A38" s="3" t="str">
        <f>metaSHOTS[[#This Row],[Shot]]</f>
        <v>040_040</v>
      </c>
      <c r="B38" s="2" t="e" vm="35">
        <f>metaSHOTS[[#This Row],[Thumbnail]]</f>
        <v>#VALUE!</v>
      </c>
      <c r="C38" s="2">
        <f>metaSHOTS[[#This Row],[Start]]</f>
        <v>1</v>
      </c>
      <c r="D38" s="2">
        <f>metaSHOTS[[#This Row],[End]]</f>
        <v>81</v>
      </c>
      <c r="E38" s="2">
        <f>metaSHOTS[[#This Row],[Duration]]</f>
        <v>81</v>
      </c>
      <c r="F38" s="92">
        <f>SUM(LEN(layout[[#This Row],[Priority]]),LEN(anim[[#This Row],[Priority]]),LEN(lighting[[#This Row],[Priority]]),LEN(vfx[[#This Row],[Priority]]), LEN(render[[#This Row],[Priority]]),LEN(comp[[#This Row],[Priority]]))</f>
        <v>6</v>
      </c>
      <c r="G38" s="2" t="str">
        <f>IF(
        comp[[#This Row],[Progress]]&gt;0%, "Comp",
        IF(
            render[[#This Row],[Progress]]&gt;0%, "Render",
            IF(
                vfx[[#This Row],[Progress]]&gt;0%, "VFX",
                IF(
                    lighting[[#This Row],[Progress]]&gt;0%, "Lighting",
                    IF(
                        anim[[#This Row],[Progress]]&gt;0%, "Anim",
                        IF(
                            layout[[#This Row],[Progress]]&gt;=0%, "Layout"
                        )
                    )
                )
            )
        )
    )</f>
        <v>Anim</v>
      </c>
      <c r="H38" s="84">
        <f>SUM(layout[[#This Row],[Estimated]], anim[[#This Row],[Estimated]], lighting[[#This Row],[Estimated]], render[[#This Row],[Estimated]], vfx[[#This Row],[Estimated]], comp[[#This Row],[Estimated]])</f>
        <v>20</v>
      </c>
      <c r="I38" s="172">
        <f>layout[[#This Row],[Progress]]</f>
        <v>1</v>
      </c>
      <c r="J38" s="172">
        <f>anim[[#This Row],[Progress]]</f>
        <v>1</v>
      </c>
      <c r="K38" s="172">
        <f>lighting[[#This Row],[Progress]]</f>
        <v>0</v>
      </c>
      <c r="L38" s="172">
        <f>vfx[[#This Row],[Progress]]</f>
        <v>0</v>
      </c>
      <c r="M38" s="172">
        <f>render[[#This Row],[Progress]]</f>
        <v>0</v>
      </c>
      <c r="N38" s="172">
        <f>comp[[#This Row],[Progress]]</f>
        <v>0</v>
      </c>
      <c r="O38" s="6" cm="1">
        <f t="array" ref="O38">SUM(shots[[#This Row],[layout]:[comp]]*SHOTS_ponderation)</f>
        <v>0.44999999999999996</v>
      </c>
      <c r="P38" s="84">
        <f>(1-shots[[#This Row],[Progress]])*shots[[#This Row],[Estimated]]</f>
        <v>11</v>
      </c>
      <c r="Q38" s="189"/>
    </row>
    <row r="39" spans="1:17" ht="30" customHeight="1" x14ac:dyDescent="0.25">
      <c r="A39" s="3" t="str">
        <f>metaSHOTS[[#This Row],[Shot]]</f>
        <v>040_050</v>
      </c>
      <c r="B39" s="2" t="e" vm="36">
        <f>metaSHOTS[[#This Row],[Thumbnail]]</f>
        <v>#VALUE!</v>
      </c>
      <c r="C39" s="2">
        <f>metaSHOTS[[#This Row],[Start]]</f>
        <v>1</v>
      </c>
      <c r="D39" s="2">
        <f>metaSHOTS[[#This Row],[End]]</f>
        <v>79</v>
      </c>
      <c r="E39" s="2">
        <f>metaSHOTS[[#This Row],[Duration]]</f>
        <v>79</v>
      </c>
      <c r="F39" s="92">
        <f>SUM(LEN(layout[[#This Row],[Priority]]),LEN(anim[[#This Row],[Priority]]),LEN(lighting[[#This Row],[Priority]]),LEN(vfx[[#This Row],[Priority]]), LEN(render[[#This Row],[Priority]]),LEN(comp[[#This Row],[Priority]]))</f>
        <v>6</v>
      </c>
      <c r="G39" s="2" t="str">
        <f>IF(
        comp[[#This Row],[Progress]]&gt;0%, "Comp",
        IF(
            render[[#This Row],[Progress]]&gt;0%, "Render",
            IF(
                vfx[[#This Row],[Progress]]&gt;0%, "VFX",
                IF(
                    lighting[[#This Row],[Progress]]&gt;0%, "Lighting",
                    IF(
                        anim[[#This Row],[Progress]]&gt;0%, "Anim",
                        IF(
                            layout[[#This Row],[Progress]]&gt;=0%, "Layout"
                        )
                    )
                )
            )
        )
    )</f>
        <v>Anim</v>
      </c>
      <c r="H39" s="84">
        <f>SUM(layout[[#This Row],[Estimated]], anim[[#This Row],[Estimated]], lighting[[#This Row],[Estimated]], render[[#This Row],[Estimated]], vfx[[#This Row],[Estimated]], comp[[#This Row],[Estimated]])</f>
        <v>17.5</v>
      </c>
      <c r="I39" s="172">
        <f>layout[[#This Row],[Progress]]</f>
        <v>1</v>
      </c>
      <c r="J39" s="172">
        <f>anim[[#This Row],[Progress]]</f>
        <v>1</v>
      </c>
      <c r="K39" s="172">
        <f>lighting[[#This Row],[Progress]]</f>
        <v>0</v>
      </c>
      <c r="L39" s="172">
        <f>vfx[[#This Row],[Progress]]</f>
        <v>0</v>
      </c>
      <c r="M39" s="172">
        <f>render[[#This Row],[Progress]]</f>
        <v>0</v>
      </c>
      <c r="N39" s="172">
        <f>comp[[#This Row],[Progress]]</f>
        <v>0</v>
      </c>
      <c r="O39" s="6" cm="1">
        <f t="array" ref="O39">SUM(shots[[#This Row],[layout]:[comp]]*SHOTS_ponderation)</f>
        <v>0.44999999999999996</v>
      </c>
      <c r="P39" s="84">
        <f>(1-shots[[#This Row],[Progress]])*shots[[#This Row],[Estimated]]</f>
        <v>9.625</v>
      </c>
      <c r="Q39" s="189"/>
    </row>
    <row r="40" spans="1:17" ht="30" customHeight="1" x14ac:dyDescent="0.25">
      <c r="A40" s="3" t="str">
        <f>metaSHOTS[[#This Row],[Shot]]</f>
        <v>040_070</v>
      </c>
      <c r="B40" s="2" t="e" vm="37">
        <f>metaSHOTS[[#This Row],[Thumbnail]]</f>
        <v>#VALUE!</v>
      </c>
      <c r="C40" s="2">
        <f>metaSHOTS[[#This Row],[Start]]</f>
        <v>1</v>
      </c>
      <c r="D40" s="2">
        <f>metaSHOTS[[#This Row],[End]]</f>
        <v>39</v>
      </c>
      <c r="E40" s="2">
        <f>metaSHOTS[[#This Row],[Duration]]</f>
        <v>39</v>
      </c>
      <c r="F40" s="92">
        <f>SUM(LEN(layout[[#This Row],[Priority]]),LEN(anim[[#This Row],[Priority]]),LEN(lighting[[#This Row],[Priority]]),LEN(vfx[[#This Row],[Priority]]), LEN(render[[#This Row],[Priority]]),LEN(comp[[#This Row],[Priority]]))</f>
        <v>6</v>
      </c>
      <c r="G40" s="2" t="str">
        <f>IF(
        comp[[#This Row],[Progress]]&gt;0%, "Comp",
        IF(
            render[[#This Row],[Progress]]&gt;0%, "Render",
            IF(
                vfx[[#This Row],[Progress]]&gt;0%, "VFX",
                IF(
                    lighting[[#This Row],[Progress]]&gt;0%, "Lighting",
                    IF(
                        anim[[#This Row],[Progress]]&gt;0%, "Anim",
                        IF(
                            layout[[#This Row],[Progress]]&gt;=0%, "Layout"
                        )
                    )
                )
            )
        )
    )</f>
        <v>Anim</v>
      </c>
      <c r="H40" s="84">
        <f>SUM(layout[[#This Row],[Estimated]], anim[[#This Row],[Estimated]], lighting[[#This Row],[Estimated]], render[[#This Row],[Estimated]], vfx[[#This Row],[Estimated]], comp[[#This Row],[Estimated]])</f>
        <v>17.25</v>
      </c>
      <c r="I40" s="172">
        <f>layout[[#This Row],[Progress]]</f>
        <v>1</v>
      </c>
      <c r="J40" s="172">
        <f>anim[[#This Row],[Progress]]</f>
        <v>1</v>
      </c>
      <c r="K40" s="172">
        <f>lighting[[#This Row],[Progress]]</f>
        <v>0</v>
      </c>
      <c r="L40" s="172">
        <f>vfx[[#This Row],[Progress]]</f>
        <v>0</v>
      </c>
      <c r="M40" s="172">
        <f>render[[#This Row],[Progress]]</f>
        <v>0</v>
      </c>
      <c r="N40" s="172">
        <f>comp[[#This Row],[Progress]]</f>
        <v>0</v>
      </c>
      <c r="O40" s="6" cm="1">
        <f t="array" ref="O40">SUM(shots[[#This Row],[layout]:[comp]]*SHOTS_ponderation)</f>
        <v>0.44999999999999996</v>
      </c>
      <c r="P40" s="84">
        <f>(1-shots[[#This Row],[Progress]])*shots[[#This Row],[Estimated]]</f>
        <v>9.4875000000000007</v>
      </c>
      <c r="Q40" s="189"/>
    </row>
    <row r="41" spans="1:17" ht="30" customHeight="1" x14ac:dyDescent="0.25">
      <c r="A41" s="3" t="str">
        <f>metaSHOTS[[#This Row],[Shot]]</f>
        <v>040_090</v>
      </c>
      <c r="B41" s="2" t="e" vm="38">
        <f>metaSHOTS[[#This Row],[Thumbnail]]</f>
        <v>#VALUE!</v>
      </c>
      <c r="C41" s="2">
        <f>metaSHOTS[[#This Row],[Start]]</f>
        <v>1</v>
      </c>
      <c r="D41" s="2">
        <f>metaSHOTS[[#This Row],[End]]</f>
        <v>63</v>
      </c>
      <c r="E41" s="2">
        <f>metaSHOTS[[#This Row],[Duration]]</f>
        <v>63</v>
      </c>
      <c r="F41" s="92">
        <f>SUM(LEN(layout[[#This Row],[Priority]]),LEN(anim[[#This Row],[Priority]]),LEN(lighting[[#This Row],[Priority]]),LEN(vfx[[#This Row],[Priority]]), LEN(render[[#This Row],[Priority]]),LEN(comp[[#This Row],[Priority]]))</f>
        <v>6</v>
      </c>
      <c r="G41" s="2" t="str">
        <f>IF(
        comp[[#This Row],[Progress]]&gt;0%, "Comp",
        IF(
            render[[#This Row],[Progress]]&gt;0%, "Render",
            IF(
                vfx[[#This Row],[Progress]]&gt;0%, "VFX",
                IF(
                    lighting[[#This Row],[Progress]]&gt;0%, "Lighting",
                    IF(
                        anim[[#This Row],[Progress]]&gt;0%, "Anim",
                        IF(
                            layout[[#This Row],[Progress]]&gt;=0%, "Layout"
                        )
                    )
                )
            )
        )
    )</f>
        <v>Anim</v>
      </c>
      <c r="H41" s="84">
        <f>SUM(layout[[#This Row],[Estimated]], anim[[#This Row],[Estimated]], lighting[[#This Row],[Estimated]], render[[#This Row],[Estimated]], vfx[[#This Row],[Estimated]], comp[[#This Row],[Estimated]])</f>
        <v>14</v>
      </c>
      <c r="I41" s="172">
        <f>layout[[#This Row],[Progress]]</f>
        <v>1</v>
      </c>
      <c r="J41" s="172">
        <f>anim[[#This Row],[Progress]]</f>
        <v>1</v>
      </c>
      <c r="K41" s="172">
        <f>lighting[[#This Row],[Progress]]</f>
        <v>0</v>
      </c>
      <c r="L41" s="172">
        <f>vfx[[#This Row],[Progress]]</f>
        <v>0</v>
      </c>
      <c r="M41" s="172">
        <f>render[[#This Row],[Progress]]</f>
        <v>0</v>
      </c>
      <c r="N41" s="172">
        <f>comp[[#This Row],[Progress]]</f>
        <v>0</v>
      </c>
      <c r="O41" s="6" cm="1">
        <f t="array" ref="O41">SUM(shots[[#This Row],[layout]:[comp]]*SHOTS_ponderation)</f>
        <v>0.44999999999999996</v>
      </c>
      <c r="P41" s="84">
        <f>(1-shots[[#This Row],[Progress]])*shots[[#This Row],[Estimated]]</f>
        <v>7.7000000000000011</v>
      </c>
      <c r="Q41" s="189"/>
    </row>
    <row r="42" spans="1:17" ht="30" customHeight="1" x14ac:dyDescent="0.25">
      <c r="A42" s="3" t="str">
        <f>metaSHOTS[[#This Row],[Shot]]</f>
        <v>040_100</v>
      </c>
      <c r="B42" s="2" t="e" vm="39">
        <f>metaSHOTS[[#This Row],[Thumbnail]]</f>
        <v>#VALUE!</v>
      </c>
      <c r="C42" s="2">
        <f>metaSHOTS[[#This Row],[Start]]</f>
        <v>1</v>
      </c>
      <c r="D42" s="2">
        <f>metaSHOTS[[#This Row],[End]]</f>
        <v>55</v>
      </c>
      <c r="E42" s="2">
        <f>metaSHOTS[[#This Row],[Duration]]</f>
        <v>55</v>
      </c>
      <c r="F42" s="92">
        <f>SUM(LEN(layout[[#This Row],[Priority]]),LEN(anim[[#This Row],[Priority]]),LEN(lighting[[#This Row],[Priority]]),LEN(vfx[[#This Row],[Priority]]), LEN(render[[#This Row],[Priority]]),LEN(comp[[#This Row],[Priority]]))</f>
        <v>6</v>
      </c>
      <c r="G42" s="2" t="str">
        <f>IF(
        comp[[#This Row],[Progress]]&gt;0%, "Comp",
        IF(
            render[[#This Row],[Progress]]&gt;0%, "Render",
            IF(
                vfx[[#This Row],[Progress]]&gt;0%, "VFX",
                IF(
                    lighting[[#This Row],[Progress]]&gt;0%, "Lighting",
                    IF(
                        anim[[#This Row],[Progress]]&gt;0%, "Anim",
                        IF(
                            layout[[#This Row],[Progress]]&gt;=0%, "Layout"
                        )
                    )
                )
            )
        )
    )</f>
        <v>Anim</v>
      </c>
      <c r="H42" s="84">
        <f>SUM(layout[[#This Row],[Estimated]], anim[[#This Row],[Estimated]], lighting[[#This Row],[Estimated]], render[[#This Row],[Estimated]], vfx[[#This Row],[Estimated]], comp[[#This Row],[Estimated]])</f>
        <v>13</v>
      </c>
      <c r="I42" s="172">
        <f>layout[[#This Row],[Progress]]</f>
        <v>1</v>
      </c>
      <c r="J42" s="172">
        <f>anim[[#This Row],[Progress]]</f>
        <v>0.9850000000000001</v>
      </c>
      <c r="K42" s="172">
        <f>lighting[[#This Row],[Progress]]</f>
        <v>0</v>
      </c>
      <c r="L42" s="172">
        <f>vfx[[#This Row],[Progress]]</f>
        <v>0</v>
      </c>
      <c r="M42" s="172">
        <f>render[[#This Row],[Progress]]</f>
        <v>0</v>
      </c>
      <c r="N42" s="172">
        <f>comp[[#This Row],[Progress]]</f>
        <v>0</v>
      </c>
      <c r="O42" s="6" cm="1">
        <f t="array" ref="O42">SUM(shots[[#This Row],[layout]:[comp]]*SHOTS_ponderation)</f>
        <v>0.44550000000000001</v>
      </c>
      <c r="P42" s="84">
        <f>(1-shots[[#This Row],[Progress]])*shots[[#This Row],[Estimated]]</f>
        <v>7.2084999999999999</v>
      </c>
      <c r="Q42" s="189"/>
    </row>
    <row r="43" spans="1:17" ht="30" customHeight="1" x14ac:dyDescent="0.25">
      <c r="A43" s="3" t="str">
        <f>metaSHOTS[[#This Row],[Shot]]</f>
        <v>040_110</v>
      </c>
      <c r="B43" s="2" t="e" vm="40">
        <f>metaSHOTS[[#This Row],[Thumbnail]]</f>
        <v>#VALUE!</v>
      </c>
      <c r="C43" s="2">
        <f>metaSHOTS[[#This Row],[Start]]</f>
        <v>1</v>
      </c>
      <c r="D43" s="2">
        <f>metaSHOTS[[#This Row],[End]]</f>
        <v>76</v>
      </c>
      <c r="E43" s="2">
        <f>metaSHOTS[[#This Row],[Duration]]</f>
        <v>76</v>
      </c>
      <c r="F43" s="92">
        <f>SUM(LEN(layout[[#This Row],[Priority]]),LEN(anim[[#This Row],[Priority]]),LEN(lighting[[#This Row],[Priority]]),LEN(vfx[[#This Row],[Priority]]), LEN(render[[#This Row],[Priority]]),LEN(comp[[#This Row],[Priority]]))</f>
        <v>6</v>
      </c>
      <c r="G43" s="2" t="str">
        <f>IF(
        comp[[#This Row],[Progress]]&gt;0%, "Comp",
        IF(
            render[[#This Row],[Progress]]&gt;0%, "Render",
            IF(
                vfx[[#This Row],[Progress]]&gt;0%, "VFX",
                IF(
                    lighting[[#This Row],[Progress]]&gt;0%, "Lighting",
                    IF(
                        anim[[#This Row],[Progress]]&gt;0%, "Anim",
                        IF(
                            layout[[#This Row],[Progress]]&gt;=0%, "Layout"
                        )
                    )
                )
            )
        )
    )</f>
        <v>Anim</v>
      </c>
      <c r="H43" s="84">
        <f>SUM(layout[[#This Row],[Estimated]], anim[[#This Row],[Estimated]], lighting[[#This Row],[Estimated]], render[[#This Row],[Estimated]], vfx[[#This Row],[Estimated]], comp[[#This Row],[Estimated]])</f>
        <v>15.5</v>
      </c>
      <c r="I43" s="172">
        <f>layout[[#This Row],[Progress]]</f>
        <v>1</v>
      </c>
      <c r="J43" s="172">
        <f>anim[[#This Row],[Progress]]</f>
        <v>1</v>
      </c>
      <c r="K43" s="172">
        <f>lighting[[#This Row],[Progress]]</f>
        <v>0</v>
      </c>
      <c r="L43" s="172">
        <f>vfx[[#This Row],[Progress]]</f>
        <v>0</v>
      </c>
      <c r="M43" s="172">
        <f>render[[#This Row],[Progress]]</f>
        <v>0</v>
      </c>
      <c r="N43" s="172">
        <f>comp[[#This Row],[Progress]]</f>
        <v>0</v>
      </c>
      <c r="O43" s="6" cm="1">
        <f t="array" ref="O43">SUM(shots[[#This Row],[layout]:[comp]]*SHOTS_ponderation)</f>
        <v>0.44999999999999996</v>
      </c>
      <c r="P43" s="84">
        <f>(1-shots[[#This Row],[Progress]])*shots[[#This Row],[Estimated]]</f>
        <v>8.5250000000000004</v>
      </c>
      <c r="Q43" s="189"/>
    </row>
    <row r="44" spans="1:17" ht="30" customHeight="1" x14ac:dyDescent="0.25">
      <c r="A44" s="3" t="str">
        <f>metaSHOTS[[#This Row],[Shot]]</f>
        <v>040_120</v>
      </c>
      <c r="B44" s="2" t="e" vm="41">
        <f>metaSHOTS[[#This Row],[Thumbnail]]</f>
        <v>#VALUE!</v>
      </c>
      <c r="C44" s="2">
        <f>metaSHOTS[[#This Row],[Start]]</f>
        <v>1</v>
      </c>
      <c r="D44" s="2">
        <f>metaSHOTS[[#This Row],[End]]</f>
        <v>90</v>
      </c>
      <c r="E44" s="2">
        <f>metaSHOTS[[#This Row],[Duration]]</f>
        <v>90</v>
      </c>
      <c r="F44" s="92">
        <f>SUM(LEN(layout[[#This Row],[Priority]]),LEN(anim[[#This Row],[Priority]]),LEN(lighting[[#This Row],[Priority]]),LEN(vfx[[#This Row],[Priority]]), LEN(render[[#This Row],[Priority]]),LEN(comp[[#This Row],[Priority]]))</f>
        <v>10</v>
      </c>
      <c r="G44" s="2" t="str">
        <f>IF(
        comp[[#This Row],[Progress]]&gt;0%, "Comp",
        IF(
            render[[#This Row],[Progress]]&gt;0%, "Render",
            IF(
                vfx[[#This Row],[Progress]]&gt;0%, "VFX",
                IF(
                    lighting[[#This Row],[Progress]]&gt;0%, "Lighting",
                    IF(
                        anim[[#This Row],[Progress]]&gt;0%, "Anim",
                        IF(
                            layout[[#This Row],[Progress]]&gt;=0%, "Layout"
                        )
                    )
                )
            )
        )
    )</f>
        <v>Anim</v>
      </c>
      <c r="H44" s="84">
        <f>SUM(layout[[#This Row],[Estimated]], anim[[#This Row],[Estimated]], lighting[[#This Row],[Estimated]], render[[#This Row],[Estimated]], vfx[[#This Row],[Estimated]], comp[[#This Row],[Estimated]])</f>
        <v>24</v>
      </c>
      <c r="I44" s="172">
        <f>layout[[#This Row],[Progress]]</f>
        <v>1</v>
      </c>
      <c r="J44" s="172">
        <f>anim[[#This Row],[Progress]]</f>
        <v>1</v>
      </c>
      <c r="K44" s="172">
        <f>lighting[[#This Row],[Progress]]</f>
        <v>0</v>
      </c>
      <c r="L44" s="172">
        <f>vfx[[#This Row],[Progress]]</f>
        <v>0</v>
      </c>
      <c r="M44" s="172">
        <f>render[[#This Row],[Progress]]</f>
        <v>0</v>
      </c>
      <c r="N44" s="172">
        <f>comp[[#This Row],[Progress]]</f>
        <v>0</v>
      </c>
      <c r="O44" s="6" cm="1">
        <f t="array" ref="O44">SUM(shots[[#This Row],[layout]:[comp]]*SHOTS_ponderation)</f>
        <v>0.44999999999999996</v>
      </c>
      <c r="P44" s="84">
        <f>(1-shots[[#This Row],[Progress]])*shots[[#This Row],[Estimated]]</f>
        <v>13.200000000000001</v>
      </c>
      <c r="Q44" s="189"/>
    </row>
    <row r="45" spans="1:17" ht="30" customHeight="1" x14ac:dyDescent="0.25">
      <c r="A45" s="3" t="str">
        <f>metaSHOTS[[#This Row],[Shot]]</f>
        <v>050_005</v>
      </c>
      <c r="B45" s="2" t="e" vm="42">
        <f>metaSHOTS[[#This Row],[Thumbnail]]</f>
        <v>#VALUE!</v>
      </c>
      <c r="C45" s="2">
        <f>metaSHOTS[[#This Row],[Start]]</f>
        <v>1</v>
      </c>
      <c r="D45" s="2">
        <f>metaSHOTS[[#This Row],[End]]</f>
        <v>137</v>
      </c>
      <c r="E45" s="2">
        <f>metaSHOTS[[#This Row],[Duration]]</f>
        <v>137</v>
      </c>
      <c r="F45" s="92">
        <f>SUM(LEN(layout[[#This Row],[Priority]]),LEN(anim[[#This Row],[Priority]]),LEN(lighting[[#This Row],[Priority]]),LEN(vfx[[#This Row],[Priority]]), LEN(render[[#This Row],[Priority]]),LEN(comp[[#This Row],[Priority]]))</f>
        <v>6</v>
      </c>
      <c r="G45" s="2" t="str">
        <f>IF(
        comp[[#This Row],[Progress]]&gt;0%, "Comp",
        IF(
            render[[#This Row],[Progress]]&gt;0%, "Render",
            IF(
                vfx[[#This Row],[Progress]]&gt;0%, "VFX",
                IF(
                    lighting[[#This Row],[Progress]]&gt;0%, "Lighting",
                    IF(
                        anim[[#This Row],[Progress]]&gt;0%, "Anim",
                        IF(
                            layout[[#This Row],[Progress]]&gt;=0%, "Layout"
                        )
                    )
                )
            )
        )
    )</f>
        <v>Anim</v>
      </c>
      <c r="H45" s="84">
        <f>SUM(layout[[#This Row],[Estimated]], anim[[#This Row],[Estimated]], lighting[[#This Row],[Estimated]], render[[#This Row],[Estimated]], vfx[[#This Row],[Estimated]], comp[[#This Row],[Estimated]])</f>
        <v>18</v>
      </c>
      <c r="I45" s="172">
        <f>layout[[#This Row],[Progress]]</f>
        <v>0.8</v>
      </c>
      <c r="J45" s="172">
        <f>anim[[#This Row],[Progress]]</f>
        <v>0.97000000000000008</v>
      </c>
      <c r="K45" s="172">
        <f>lighting[[#This Row],[Progress]]</f>
        <v>0</v>
      </c>
      <c r="L45" s="172">
        <f>vfx[[#This Row],[Progress]]</f>
        <v>0</v>
      </c>
      <c r="M45" s="172">
        <f>render[[#This Row],[Progress]]</f>
        <v>0</v>
      </c>
      <c r="N45" s="172">
        <f>comp[[#This Row],[Progress]]</f>
        <v>0</v>
      </c>
      <c r="O45" s="6" cm="1">
        <f t="array" ref="O45">SUM(shots[[#This Row],[layout]:[comp]]*SHOTS_ponderation)</f>
        <v>0.41100000000000003</v>
      </c>
      <c r="P45" s="84">
        <f>(1-shots[[#This Row],[Progress]])*shots[[#This Row],[Estimated]]</f>
        <v>10.602</v>
      </c>
      <c r="Q45" s="189"/>
    </row>
    <row r="46" spans="1:17" ht="30" customHeight="1" x14ac:dyDescent="0.25">
      <c r="A46" s="3" t="str">
        <f>metaSHOTS[[#This Row],[Shot]]</f>
        <v>050_020</v>
      </c>
      <c r="B46" s="2" t="e" vm="43">
        <f>metaSHOTS[[#This Row],[Thumbnail]]</f>
        <v>#VALUE!</v>
      </c>
      <c r="C46" s="2">
        <f>metaSHOTS[[#This Row],[Start]]</f>
        <v>1</v>
      </c>
      <c r="D46" s="2">
        <f>metaSHOTS[[#This Row],[End]]</f>
        <v>510</v>
      </c>
      <c r="E46" s="2">
        <f>metaSHOTS[[#This Row],[Duration]]</f>
        <v>510</v>
      </c>
      <c r="F46" s="92">
        <f>SUM(LEN(layout[[#This Row],[Priority]]),LEN(anim[[#This Row],[Priority]]),LEN(lighting[[#This Row],[Priority]]),LEN(vfx[[#This Row],[Priority]]), LEN(render[[#This Row],[Priority]]),LEN(comp[[#This Row],[Priority]]))</f>
        <v>6</v>
      </c>
      <c r="G46" s="2" t="str">
        <f>IF(
        comp[[#This Row],[Progress]]&gt;0%, "Comp",
        IF(
            render[[#This Row],[Progress]]&gt;0%, "Render",
            IF(
                vfx[[#This Row],[Progress]]&gt;0%, "VFX",
                IF(
                    lighting[[#This Row],[Progress]]&gt;0%, "Lighting",
                    IF(
                        anim[[#This Row],[Progress]]&gt;0%, "Anim",
                        IF(
                            layout[[#This Row],[Progress]]&gt;=0%, "Layout"
                        )
                    )
                )
            )
        )
    )</f>
        <v>VFX</v>
      </c>
      <c r="H46" s="84">
        <f>SUM(layout[[#This Row],[Estimated]], anim[[#This Row],[Estimated]], lighting[[#This Row],[Estimated]], render[[#This Row],[Estimated]], vfx[[#This Row],[Estimated]], comp[[#This Row],[Estimated]])</f>
        <v>29</v>
      </c>
      <c r="I46" s="172">
        <f>layout[[#This Row],[Progress]]</f>
        <v>0.87</v>
      </c>
      <c r="J46" s="172">
        <f>anim[[#This Row],[Progress]]</f>
        <v>0.97000000000000008</v>
      </c>
      <c r="K46" s="172">
        <f>lighting[[#This Row],[Progress]]</f>
        <v>0</v>
      </c>
      <c r="L46" s="172">
        <f>vfx[[#This Row],[Progress]]</f>
        <v>0.96000000000000008</v>
      </c>
      <c r="M46" s="172">
        <f>render[[#This Row],[Progress]]</f>
        <v>0</v>
      </c>
      <c r="N46" s="172">
        <f>comp[[#This Row],[Progress]]</f>
        <v>0</v>
      </c>
      <c r="O46" s="6" cm="1">
        <f t="array" ref="O46">SUM(shots[[#This Row],[layout]:[comp]]*SHOTS_ponderation)</f>
        <v>0.51750000000000007</v>
      </c>
      <c r="P46" s="84">
        <f>(1-shots[[#This Row],[Progress]])*shots[[#This Row],[Estimated]]</f>
        <v>13.992499999999998</v>
      </c>
      <c r="Q46" s="189"/>
    </row>
    <row r="47" spans="1:17" ht="30" customHeight="1" x14ac:dyDescent="0.25">
      <c r="A47" s="3" t="str">
        <f>metaSHOTS[[#This Row],[Shot]]</f>
        <v>060_010</v>
      </c>
      <c r="B47" s="2" t="e" vm="44">
        <f>metaSHOTS[[#This Row],[Thumbnail]]</f>
        <v>#VALUE!</v>
      </c>
      <c r="C47" s="2">
        <f>metaSHOTS[[#This Row],[Start]]</f>
        <v>1</v>
      </c>
      <c r="D47" s="2">
        <f>metaSHOTS[[#This Row],[End]]</f>
        <v>241</v>
      </c>
      <c r="E47" s="2">
        <f>metaSHOTS[[#This Row],[Duration]]</f>
        <v>241</v>
      </c>
      <c r="F47" s="92">
        <f>SUM(LEN(layout[[#This Row],[Priority]]),LEN(anim[[#This Row],[Priority]]),LEN(lighting[[#This Row],[Priority]]),LEN(vfx[[#This Row],[Priority]]), LEN(render[[#This Row],[Priority]]),LEN(comp[[#This Row],[Priority]]))</f>
        <v>10</v>
      </c>
      <c r="G47" s="2" t="str">
        <f>IF(
        comp[[#This Row],[Progress]]&gt;0%, "Comp",
        IF(
            render[[#This Row],[Progress]]&gt;0%, "Render",
            IF(
                vfx[[#This Row],[Progress]]&gt;0%, "VFX",
                IF(
                    lighting[[#This Row],[Progress]]&gt;0%, "Lighting",
                    IF(
                        anim[[#This Row],[Progress]]&gt;0%, "Anim",
                        IF(
                            layout[[#This Row],[Progress]]&gt;=0%, "Layout"
                        )
                    )
                )
            )
        )
    )</f>
        <v>Comp</v>
      </c>
      <c r="H47" s="84">
        <f>SUM(layout[[#This Row],[Estimated]], anim[[#This Row],[Estimated]], lighting[[#This Row],[Estimated]], render[[#This Row],[Estimated]], vfx[[#This Row],[Estimated]], comp[[#This Row],[Estimated]])</f>
        <v>11.5</v>
      </c>
      <c r="I47" s="172">
        <f>layout[[#This Row],[Progress]]</f>
        <v>1</v>
      </c>
      <c r="J47" s="172">
        <f>anim[[#This Row],[Progress]]</f>
        <v>1</v>
      </c>
      <c r="K47" s="172">
        <f>lighting[[#This Row],[Progress]]</f>
        <v>1</v>
      </c>
      <c r="L47" s="172">
        <f>vfx[[#This Row],[Progress]]</f>
        <v>0</v>
      </c>
      <c r="M47" s="172">
        <f>render[[#This Row],[Progress]]</f>
        <v>0.95</v>
      </c>
      <c r="N47" s="172">
        <f>comp[[#This Row],[Progress]]</f>
        <v>0.60499999999999998</v>
      </c>
      <c r="O47" s="6" cm="1">
        <f t="array" ref="O47">SUM(shots[[#This Row],[layout]:[comp]]*SHOTS_ponderation)</f>
        <v>0.81599999999999995</v>
      </c>
      <c r="P47" s="84">
        <f>(1-shots[[#This Row],[Progress]])*shots[[#This Row],[Estimated]]</f>
        <v>2.1160000000000005</v>
      </c>
      <c r="Q47" s="189"/>
    </row>
    <row r="48" spans="1:17" ht="30" customHeight="1" x14ac:dyDescent="0.25">
      <c r="A48" s="3" t="str">
        <f>metaSHOTS[[#This Row],[Shot]]</f>
        <v>060_030</v>
      </c>
      <c r="B48" s="2" t="e" vm="45">
        <f>metaSHOTS[[#This Row],[Thumbnail]]</f>
        <v>#VALUE!</v>
      </c>
      <c r="C48" s="2">
        <f>metaSHOTS[[#This Row],[Start]]</f>
        <v>1</v>
      </c>
      <c r="D48" s="2">
        <f>metaSHOTS[[#This Row],[End]]</f>
        <v>511</v>
      </c>
      <c r="E48" s="2">
        <f>metaSHOTS[[#This Row],[Duration]]</f>
        <v>511</v>
      </c>
      <c r="F48" s="92">
        <f>SUM(LEN(layout[[#This Row],[Priority]]),LEN(anim[[#This Row],[Priority]]),LEN(lighting[[#This Row],[Priority]]),LEN(vfx[[#This Row],[Priority]]), LEN(render[[#This Row],[Priority]]),LEN(comp[[#This Row],[Priority]]))</f>
        <v>6</v>
      </c>
      <c r="G48" s="2" t="str">
        <f>IF(
        comp[[#This Row],[Progress]]&gt;0%, "Comp",
        IF(
            render[[#This Row],[Progress]]&gt;0%, "Render",
            IF(
                vfx[[#This Row],[Progress]]&gt;0%, "VFX",
                IF(
                    lighting[[#This Row],[Progress]]&gt;0%, "Lighting",
                    IF(
                        anim[[#This Row],[Progress]]&gt;0%, "Anim",
                        IF(
                            layout[[#This Row],[Progress]]&gt;=0%, "Layout"
                        )
                    )
                )
            )
        )
    )</f>
        <v>Lighting</v>
      </c>
      <c r="H48" s="84">
        <f>SUM(layout[[#This Row],[Estimated]], anim[[#This Row],[Estimated]], lighting[[#This Row],[Estimated]], render[[#This Row],[Estimated]], vfx[[#This Row],[Estimated]], comp[[#This Row],[Estimated]])</f>
        <v>13.5</v>
      </c>
      <c r="I48" s="172">
        <f>layout[[#This Row],[Progress]]</f>
        <v>1</v>
      </c>
      <c r="J48" s="172">
        <f>anim[[#This Row],[Progress]]</f>
        <v>1</v>
      </c>
      <c r="K48" s="172">
        <f>lighting[[#This Row],[Progress]]</f>
        <v>0.7</v>
      </c>
      <c r="L48" s="172">
        <f>vfx[[#This Row],[Progress]]</f>
        <v>0</v>
      </c>
      <c r="M48" s="172">
        <f>render[[#This Row],[Progress]]</f>
        <v>0</v>
      </c>
      <c r="N48" s="172">
        <f>comp[[#This Row],[Progress]]</f>
        <v>0</v>
      </c>
      <c r="O48" s="6" cm="1">
        <f t="array" ref="O48">SUM(shots[[#This Row],[layout]:[comp]]*SHOTS_ponderation)</f>
        <v>0.55499999999999994</v>
      </c>
      <c r="P48" s="84">
        <f>(1-shots[[#This Row],[Progress]])*shots[[#This Row],[Estimated]]</f>
        <v>6.0075000000000012</v>
      </c>
      <c r="Q48" s="189"/>
    </row>
    <row r="49" spans="1:17" ht="30" customHeight="1" x14ac:dyDescent="0.25">
      <c r="A49" s="3" t="str">
        <f>metaSHOTS[[#This Row],[Shot]]</f>
        <v>040_045</v>
      </c>
      <c r="B49" s="2" t="e" vm="46">
        <f>metaSHOTS[[#This Row],[Thumbnail]]</f>
        <v>#VALUE!</v>
      </c>
      <c r="C49" s="2">
        <f>metaSHOTS[[#This Row],[Start]]</f>
        <v>1</v>
      </c>
      <c r="D49" s="2">
        <f>metaSHOTS[[#This Row],[End]]</f>
        <v>55</v>
      </c>
      <c r="E49" s="2">
        <f>metaSHOTS[[#This Row],[Duration]]</f>
        <v>55</v>
      </c>
      <c r="F49" s="92">
        <f>SUM(LEN(layout[[#This Row],[Priority]]),LEN(anim[[#This Row],[Priority]]),LEN(lighting[[#This Row],[Priority]]),LEN(vfx[[#This Row],[Priority]]), LEN(render[[#This Row],[Priority]]),LEN(comp[[#This Row],[Priority]]))</f>
        <v>6</v>
      </c>
      <c r="G49" s="2" t="str">
        <f>IF(
        comp[[#This Row],[Progress]]&gt;0%, "Comp",
        IF(
            render[[#This Row],[Progress]]&gt;0%, "Render",
            IF(
                vfx[[#This Row],[Progress]]&gt;0%, "VFX",
                IF(
                    lighting[[#This Row],[Progress]]&gt;0%, "Lighting",
                    IF(
                        anim[[#This Row],[Progress]]&gt;0%, "Anim",
                        IF(
                            layout[[#This Row],[Progress]]&gt;=0%, "Layout"
                        )
                    )
                )
            )
        )
    )</f>
        <v>Anim</v>
      </c>
      <c r="H49" s="84">
        <f>SUM(layout[[#This Row],[Estimated]], anim[[#This Row],[Estimated]], lighting[[#This Row],[Estimated]], render[[#This Row],[Estimated]], vfx[[#This Row],[Estimated]], comp[[#This Row],[Estimated]])</f>
        <v>14</v>
      </c>
      <c r="I49" s="172">
        <f>layout[[#This Row],[Progress]]</f>
        <v>1</v>
      </c>
      <c r="J49" s="172">
        <f>anim[[#This Row],[Progress]]</f>
        <v>1</v>
      </c>
      <c r="K49" s="172">
        <f>lighting[[#This Row],[Progress]]</f>
        <v>0</v>
      </c>
      <c r="L49" s="172">
        <f>vfx[[#This Row],[Progress]]</f>
        <v>0</v>
      </c>
      <c r="M49" s="172">
        <f>render[[#This Row],[Progress]]</f>
        <v>0</v>
      </c>
      <c r="N49" s="172">
        <f>comp[[#This Row],[Progress]]</f>
        <v>0</v>
      </c>
      <c r="O49" s="6" cm="1">
        <f t="array" ref="O49">SUM(shots[[#This Row],[layout]:[comp]]*SHOTS_ponderation)</f>
        <v>0.44999999999999996</v>
      </c>
      <c r="P49" s="84">
        <f>(1-shots[[#This Row],[Progress]])*shots[[#This Row],[Estimated]]</f>
        <v>7.7000000000000011</v>
      </c>
      <c r="Q49" s="189"/>
    </row>
    <row r="50" spans="1:17" ht="30" customHeight="1" x14ac:dyDescent="0.25">
      <c r="A50" s="3" t="str">
        <f>metaSHOTS[[#This Row],[Shot]]</f>
        <v>040_135</v>
      </c>
      <c r="B50" s="2" t="e" vm="47">
        <f>metaSHOTS[[#This Row],[Thumbnail]]</f>
        <v>#VALUE!</v>
      </c>
      <c r="C50" s="2">
        <f>metaSHOTS[[#This Row],[Start]]</f>
        <v>1</v>
      </c>
      <c r="D50" s="2">
        <f>metaSHOTS[[#This Row],[End]]</f>
        <v>126</v>
      </c>
      <c r="E50" s="2">
        <f>metaSHOTS[[#This Row],[Duration]]</f>
        <v>126</v>
      </c>
      <c r="F50" s="92">
        <f>SUM(LEN(layout[[#This Row],[Priority]]),LEN(anim[[#This Row],[Priority]]),LEN(lighting[[#This Row],[Priority]]),LEN(vfx[[#This Row],[Priority]]), LEN(render[[#This Row],[Priority]]),LEN(comp[[#This Row],[Priority]]))</f>
        <v>6</v>
      </c>
      <c r="G50" s="2" t="str">
        <f>IF(
        comp[[#This Row],[Progress]]&gt;0%, "Comp",
        IF(
            render[[#This Row],[Progress]]&gt;0%, "Render",
            IF(
                vfx[[#This Row],[Progress]]&gt;0%, "VFX",
                IF(
                    lighting[[#This Row],[Progress]]&gt;0%, "Lighting",
                    IF(
                        anim[[#This Row],[Progress]]&gt;0%, "Anim",
                        IF(
                            layout[[#This Row],[Progress]]&gt;=0%, "Layout"
                        )
                    )
                )
            )
        )
    )</f>
        <v>Anim</v>
      </c>
      <c r="H50" s="84">
        <f>SUM(layout[[#This Row],[Estimated]], anim[[#This Row],[Estimated]], lighting[[#This Row],[Estimated]], render[[#This Row],[Estimated]], vfx[[#This Row],[Estimated]], comp[[#This Row],[Estimated]])</f>
        <v>18</v>
      </c>
      <c r="I50" s="172">
        <f>layout[[#This Row],[Progress]]</f>
        <v>1</v>
      </c>
      <c r="J50" s="172">
        <f>anim[[#This Row],[Progress]]</f>
        <v>0.9850000000000001</v>
      </c>
      <c r="K50" s="172">
        <f>lighting[[#This Row],[Progress]]</f>
        <v>0</v>
      </c>
      <c r="L50" s="172">
        <f>vfx[[#This Row],[Progress]]</f>
        <v>0</v>
      </c>
      <c r="M50" s="172">
        <f>render[[#This Row],[Progress]]</f>
        <v>0</v>
      </c>
      <c r="N50" s="172">
        <f>comp[[#This Row],[Progress]]</f>
        <v>0</v>
      </c>
      <c r="O50" s="6" cm="1">
        <f t="array" ref="O50">SUM(shots[[#This Row],[layout]:[comp]]*SHOTS_ponderation)</f>
        <v>0.44550000000000001</v>
      </c>
      <c r="P50" s="84">
        <f>(1-shots[[#This Row],[Progress]])*shots[[#This Row],[Estimated]]</f>
        <v>9.9809999999999999</v>
      </c>
      <c r="Q50" s="189"/>
    </row>
    <row r="51" spans="1:17" ht="30" customHeight="1" x14ac:dyDescent="0.25">
      <c r="A51" s="3" t="str">
        <f>metaSHOTS[[#This Row],[Shot]]</f>
        <v>050_010</v>
      </c>
      <c r="B51" s="2" t="e" vm="48">
        <f>metaSHOTS[[#This Row],[Thumbnail]]</f>
        <v>#VALUE!</v>
      </c>
      <c r="C51" s="2">
        <f>metaSHOTS[[#This Row],[Start]]</f>
        <v>1</v>
      </c>
      <c r="D51" s="2">
        <f>metaSHOTS[[#This Row],[End]]</f>
        <v>71</v>
      </c>
      <c r="E51" s="2">
        <f>metaSHOTS[[#This Row],[Duration]]</f>
        <v>71</v>
      </c>
      <c r="F51" s="92">
        <f>SUM(LEN(layout[[#This Row],[Priority]]),LEN(anim[[#This Row],[Priority]]),LEN(lighting[[#This Row],[Priority]]),LEN(vfx[[#This Row],[Priority]]), LEN(render[[#This Row],[Priority]]),LEN(comp[[#This Row],[Priority]]))</f>
        <v>10</v>
      </c>
      <c r="G51" s="2" t="str">
        <f>IF(
        comp[[#This Row],[Progress]]&gt;0%, "Comp",
        IF(
            render[[#This Row],[Progress]]&gt;0%, "Render",
            IF(
                vfx[[#This Row],[Progress]]&gt;0%, "VFX",
                IF(
                    lighting[[#This Row],[Progress]]&gt;0%, "Lighting",
                    IF(
                        anim[[#This Row],[Progress]]&gt;0%, "Anim",
                        IF(
                            layout[[#This Row],[Progress]]&gt;=0%, "Layout"
                        )
                    )
                )
            )
        )
    )</f>
        <v>Anim</v>
      </c>
      <c r="H51" s="84">
        <f>SUM(layout[[#This Row],[Estimated]], anim[[#This Row],[Estimated]], lighting[[#This Row],[Estimated]], render[[#This Row],[Estimated]], vfx[[#This Row],[Estimated]], comp[[#This Row],[Estimated]])</f>
        <v>19</v>
      </c>
      <c r="I51" s="172">
        <f>layout[[#This Row],[Progress]]</f>
        <v>0.8</v>
      </c>
      <c r="J51" s="172">
        <f>anim[[#This Row],[Progress]]</f>
        <v>0.94000000000000006</v>
      </c>
      <c r="K51" s="172">
        <f>lighting[[#This Row],[Progress]]</f>
        <v>0</v>
      </c>
      <c r="L51" s="172">
        <f>vfx[[#This Row],[Progress]]</f>
        <v>0</v>
      </c>
      <c r="M51" s="172">
        <f>render[[#This Row],[Progress]]</f>
        <v>0</v>
      </c>
      <c r="N51" s="172">
        <f>comp[[#This Row],[Progress]]</f>
        <v>0</v>
      </c>
      <c r="O51" s="6" cm="1">
        <f t="array" ref="O51">SUM(shots[[#This Row],[layout]:[comp]]*SHOTS_ponderation)</f>
        <v>0.40200000000000002</v>
      </c>
      <c r="P51" s="84">
        <f>(1-shots[[#This Row],[Progress]])*shots[[#This Row],[Estimated]]</f>
        <v>11.362</v>
      </c>
      <c r="Q51" s="189"/>
    </row>
    <row r="52" spans="1:17" ht="30" customHeight="1" x14ac:dyDescent="0.25">
      <c r="A52" s="2" t="s">
        <v>22</v>
      </c>
      <c r="H52" s="84">
        <f>SUBTOTAL(109,shots[Estimated])</f>
        <v>1126.5</v>
      </c>
      <c r="I52" s="90">
        <f>layoutProgress</f>
        <v>0.96394052044609668</v>
      </c>
      <c r="J52" s="90">
        <f>animProgress</f>
        <v>0.99757042253521122</v>
      </c>
      <c r="K52" s="90">
        <f>lightingProgress</f>
        <v>0.44225806451612903</v>
      </c>
      <c r="L52" s="90">
        <f>vfxProgress</f>
        <v>0.23448275862068965</v>
      </c>
      <c r="M52" s="90">
        <f>renderProgress</f>
        <v>0.43125000000000013</v>
      </c>
      <c r="N52" s="90">
        <f>compProgress</f>
        <v>0.24463768115942022</v>
      </c>
      <c r="O52" s="16">
        <f>(shots[[#Totals],[Estimated]]-shots[[#Totals],[Hours to do]])/shots[[#Totals],[Estimated]]</f>
        <v>0.62576209498446522</v>
      </c>
      <c r="P52" s="84">
        <f>SUBTOTAL(109,shots[Hours to do])</f>
        <v>421.57899999999995</v>
      </c>
      <c r="Q52" s="8"/>
    </row>
  </sheetData>
  <sheetProtection algorithmName="SHA-512" hashValue="osxRE9DJXxk64RrwFAWoVemUQ0FaBHPTDK++jslAVpTng7V2WEFS5TZ1dADI2CjaN2M+Z3ZXVy2ReC4XInr0+A==" saltValue="UVbCwCx+1cnEF/d5v8zMjA==" spinCount="100000" sheet="1" selectLockedCells="1" autoFilter="0"/>
  <mergeCells count="1">
    <mergeCell ref="A1:G2"/>
  </mergeCells>
  <conditionalFormatting sqref="F4:F51">
    <cfRule type="dataBar" priority="919">
      <dataBar>
        <cfvo type="min"/>
        <cfvo type="max"/>
        <color rgb="FFFFB628"/>
      </dataBar>
      <extLst>
        <ext xmlns:x14="http://schemas.microsoft.com/office/spreadsheetml/2009/9/main" uri="{B025F937-C7B1-47D3-B67F-A62EFF666E3E}">
          <x14:id>{77B34172-BC79-452C-9B23-6B74B57E39C5}</x14:id>
        </ext>
      </extLst>
    </cfRule>
  </conditionalFormatting>
  <conditionalFormatting sqref="I4:O51">
    <cfRule type="colorScale" priority="3">
      <colorScale>
        <cfvo type="num" val="0"/>
        <cfvo type="num" val="0.5"/>
        <cfvo type="num" val="1"/>
        <color rgb="FFFF0000"/>
        <color rgb="FFFFFF00"/>
        <color theme="9" tint="-0.249977111117893"/>
      </colorScale>
    </cfRule>
  </conditionalFormatting>
  <conditionalFormatting sqref="P4:P51">
    <cfRule type="dataBar" priority="921">
      <dataBar>
        <cfvo type="min"/>
        <cfvo type="max"/>
        <color rgb="FF008AEF"/>
      </dataBar>
      <extLst>
        <ext xmlns:x14="http://schemas.microsoft.com/office/spreadsheetml/2009/9/main" uri="{B025F937-C7B1-47D3-B67F-A62EFF666E3E}">
          <x14:id>{5E56AA62-606E-44D9-9520-44A96DB8FAF0}</x14:id>
        </ext>
      </extLst>
    </cfRule>
  </conditionalFormatting>
  <pageMargins left="0.7" right="0.7" top="0.75" bottom="0.75" header="0.3" footer="0.3"/>
  <ignoredErrors>
    <ignoredError sqref="I8:N22 I23:N26 I27:N33" calculatedColumn="1"/>
  </ignoredErrors>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7B34172-BC79-452C-9B23-6B74B57E39C5}">
            <x14:dataBar minLength="0" maxLength="100" border="1" negativeBarBorderColorSameAsPositive="0">
              <x14:cfvo type="autoMin"/>
              <x14:cfvo type="autoMax"/>
              <x14:borderColor rgb="FFFFB628"/>
              <x14:negativeFillColor rgb="FFFF0000"/>
              <x14:negativeBorderColor rgb="FFFF0000"/>
              <x14:axisColor rgb="FF000000"/>
            </x14:dataBar>
          </x14:cfRule>
          <xm:sqref>F4:F51</xm:sqref>
        </x14:conditionalFormatting>
        <x14:conditionalFormatting xmlns:xm="http://schemas.microsoft.com/office/excel/2006/main">
          <x14:cfRule type="dataBar" id="{5E56AA62-606E-44D9-9520-44A96DB8FAF0}">
            <x14:dataBar minLength="0" maxLength="100" border="1" negativeBarBorderColorSameAsPositive="0">
              <x14:cfvo type="autoMin"/>
              <x14:cfvo type="autoMax"/>
              <x14:borderColor rgb="FF008AEF"/>
              <x14:negativeFillColor rgb="FFFF0000"/>
              <x14:negativeBorderColor rgb="FFFF0000"/>
              <x14:axisColor rgb="FF000000"/>
            </x14:dataBar>
          </x14:cfRule>
          <xm:sqref>P4:P51</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87EAD-7E73-4202-86D9-0AF48F6EB177}">
  <sheetPr codeName="Feuil3">
    <tabColor theme="4" tint="-0.499984740745262"/>
  </sheetPr>
  <dimension ref="A1:Q105"/>
  <sheetViews>
    <sheetView showRowColHeaders="0" zoomScaleNormal="100" workbookViewId="0">
      <pane ySplit="3" topLeftCell="A21" activePane="bottomLeft" state="frozen"/>
      <selection activeCell="AH97" sqref="AH97"/>
      <selection pane="bottomLeft" activeCell="H40" sqref="H40"/>
    </sheetView>
  </sheetViews>
  <sheetFormatPr baseColWidth="10" defaultColWidth="16" defaultRowHeight="23.25" customHeight="1" x14ac:dyDescent="0.25"/>
  <cols>
    <col min="1" max="1" width="18.7109375" style="37" customWidth="1"/>
    <col min="2" max="2" width="21.7109375" style="37" customWidth="1"/>
    <col min="3" max="3" width="16" style="37"/>
    <col min="4" max="4" width="56.42578125" style="37" customWidth="1"/>
    <col min="5" max="5" width="31.7109375" style="37" customWidth="1"/>
    <col min="6" max="6" width="19.28515625" style="37" customWidth="1"/>
    <col min="7" max="10" width="15.7109375" style="82" customWidth="1"/>
    <col min="11" max="11" width="17.42578125" style="81" bestFit="1" customWidth="1"/>
    <col min="12" max="12" width="15.7109375" style="81" customWidth="1"/>
    <col min="13" max="13" width="16" style="83"/>
    <col min="14" max="14" width="16" style="83" customWidth="1"/>
    <col min="15" max="15" width="16" style="83"/>
    <col min="16" max="16" width="15" style="83" customWidth="1"/>
    <col min="17" max="17" width="16" style="83" customWidth="1"/>
    <col min="18" max="18" width="16.140625" style="37" customWidth="1"/>
    <col min="19" max="16384" width="16" style="37"/>
  </cols>
  <sheetData>
    <row r="1" spans="1:14" ht="41.25" customHeight="1" x14ac:dyDescent="0.25">
      <c r="A1" s="298" t="s">
        <v>391</v>
      </c>
      <c r="B1" s="298"/>
      <c r="C1" s="298"/>
      <c r="D1" s="298"/>
      <c r="E1" s="298"/>
    </row>
    <row r="2" spans="1:14" ht="41.25" customHeight="1" x14ac:dyDescent="0.25">
      <c r="A2" s="298"/>
      <c r="B2" s="298"/>
      <c r="C2" s="298"/>
      <c r="D2" s="298"/>
      <c r="E2" s="298"/>
    </row>
    <row r="3" spans="1:14" ht="23.25" customHeight="1" x14ac:dyDescent="0.25">
      <c r="A3" s="37" t="s">
        <v>299</v>
      </c>
      <c r="B3" s="37" t="s">
        <v>23</v>
      </c>
      <c r="C3" s="37" t="s">
        <v>300</v>
      </c>
      <c r="D3" s="37" t="s">
        <v>61</v>
      </c>
      <c r="E3" s="37" t="s">
        <v>264</v>
      </c>
      <c r="K3" s="82"/>
      <c r="L3" s="82"/>
      <c r="M3" s="82"/>
      <c r="N3" s="82"/>
    </row>
    <row r="4" spans="1:14" ht="24" customHeight="1" x14ac:dyDescent="0.25">
      <c r="A4" s="162" t="s">
        <v>392</v>
      </c>
      <c r="B4" s="81" t="s">
        <v>393</v>
      </c>
      <c r="D4" s="81" t="s">
        <v>394</v>
      </c>
      <c r="E4" s="1" t="e" cm="1">
        <f t="array" aca="1" ref="E4" ca="1">getShots(metaASSETS[[#This Row],[Asset Name]])</f>
        <v>#VALUE!</v>
      </c>
      <c r="K4" s="82"/>
      <c r="L4" s="82"/>
      <c r="M4" s="82"/>
      <c r="N4" s="82"/>
    </row>
    <row r="5" spans="1:14" ht="24" customHeight="1" x14ac:dyDescent="0.25">
      <c r="A5" s="162" t="s">
        <v>395</v>
      </c>
      <c r="B5" s="81" t="s">
        <v>393</v>
      </c>
      <c r="D5" s="81" t="s">
        <v>394</v>
      </c>
      <c r="E5" s="1" t="e" cm="1">
        <f t="array" aca="1" ref="E5" ca="1">getShots(metaASSETS[[#This Row],[Asset Name]])</f>
        <v>#VALUE!</v>
      </c>
      <c r="K5" s="82"/>
      <c r="L5" s="82"/>
      <c r="M5" s="82"/>
      <c r="N5" s="82"/>
    </row>
    <row r="6" spans="1:14" ht="24" customHeight="1" x14ac:dyDescent="0.25">
      <c r="A6" s="162" t="s">
        <v>396</v>
      </c>
      <c r="B6" s="81" t="s">
        <v>393</v>
      </c>
      <c r="D6" s="81" t="s">
        <v>394</v>
      </c>
      <c r="E6" s="1" t="e" cm="1">
        <f t="array" aca="1" ref="E6" ca="1">getShots(metaASSETS[[#This Row],[Asset Name]])</f>
        <v>#VALUE!</v>
      </c>
      <c r="K6" s="82"/>
      <c r="L6" s="82"/>
      <c r="M6" s="82"/>
      <c r="N6" s="82"/>
    </row>
    <row r="7" spans="1:14" ht="24" customHeight="1" x14ac:dyDescent="0.25">
      <c r="A7" s="162" t="s">
        <v>397</v>
      </c>
      <c r="B7" s="81" t="s">
        <v>398</v>
      </c>
      <c r="D7" s="81" t="s">
        <v>399</v>
      </c>
      <c r="E7" s="1" t="e" cm="1">
        <f t="array" aca="1" ref="E7" ca="1">getShots(metaASSETS[[#This Row],[Asset Name]])</f>
        <v>#VALUE!</v>
      </c>
      <c r="K7" s="82"/>
      <c r="L7" s="82"/>
      <c r="M7" s="82"/>
      <c r="N7" s="82"/>
    </row>
    <row r="8" spans="1:14" ht="24" customHeight="1" x14ac:dyDescent="0.25">
      <c r="A8" s="162" t="s">
        <v>400</v>
      </c>
      <c r="B8" s="81" t="s">
        <v>398</v>
      </c>
      <c r="D8" s="81" t="s">
        <v>401</v>
      </c>
      <c r="E8" s="1" t="e" cm="1">
        <f t="array" aca="1" ref="E8" ca="1">getShots(metaASSETS[[#This Row],[Asset Name]])</f>
        <v>#VALUE!</v>
      </c>
      <c r="K8" s="82"/>
      <c r="L8" s="82"/>
      <c r="M8" s="82"/>
      <c r="N8" s="82"/>
    </row>
    <row r="9" spans="1:14" ht="24" customHeight="1" x14ac:dyDescent="0.25">
      <c r="A9" s="162" t="s">
        <v>402</v>
      </c>
      <c r="B9" s="81" t="s">
        <v>398</v>
      </c>
      <c r="D9" s="81" t="s">
        <v>403</v>
      </c>
      <c r="E9" s="1" t="e" cm="1">
        <f t="array" aca="1" ref="E9" ca="1">getShots(metaASSETS[[#This Row],[Asset Name]])</f>
        <v>#VALUE!</v>
      </c>
      <c r="K9" s="82"/>
      <c r="L9" s="82"/>
      <c r="M9" s="82"/>
      <c r="N9" s="82"/>
    </row>
    <row r="10" spans="1:14" ht="24" customHeight="1" x14ac:dyDescent="0.25">
      <c r="A10" s="162" t="s">
        <v>404</v>
      </c>
      <c r="B10" s="81" t="s">
        <v>398</v>
      </c>
      <c r="D10" s="81" t="s">
        <v>405</v>
      </c>
      <c r="E10" s="1" t="e" cm="1">
        <f t="array" aca="1" ref="E10" ca="1">getShots(metaASSETS[[#This Row],[Asset Name]])</f>
        <v>#VALUE!</v>
      </c>
      <c r="K10" s="82"/>
      <c r="L10" s="82"/>
      <c r="M10" s="82"/>
      <c r="N10" s="82"/>
    </row>
    <row r="11" spans="1:14" ht="24" customHeight="1" x14ac:dyDescent="0.25">
      <c r="A11" s="162" t="s">
        <v>406</v>
      </c>
      <c r="B11" s="81" t="s">
        <v>398</v>
      </c>
      <c r="D11" s="81" t="s">
        <v>407</v>
      </c>
      <c r="E11" s="1" t="e" cm="1">
        <f t="array" aca="1" ref="E11" ca="1">getShots(metaASSETS[[#This Row],[Asset Name]])</f>
        <v>#VALUE!</v>
      </c>
      <c r="K11" s="82"/>
      <c r="L11" s="82"/>
      <c r="M11" s="82"/>
      <c r="N11" s="82"/>
    </row>
    <row r="12" spans="1:14" ht="24" customHeight="1" x14ac:dyDescent="0.25">
      <c r="A12" s="162" t="s">
        <v>408</v>
      </c>
      <c r="B12" s="81" t="s">
        <v>398</v>
      </c>
      <c r="D12" s="81" t="s">
        <v>407</v>
      </c>
      <c r="E12" s="1" t="e" cm="1">
        <f t="array" aca="1" ref="E12" ca="1">getShots(metaASSETS[[#This Row],[Asset Name]])</f>
        <v>#VALUE!</v>
      </c>
      <c r="K12" s="82"/>
      <c r="L12" s="82"/>
      <c r="M12" s="82"/>
      <c r="N12" s="82"/>
    </row>
    <row r="13" spans="1:14" ht="24" customHeight="1" x14ac:dyDescent="0.25">
      <c r="A13" s="162" t="s">
        <v>409</v>
      </c>
      <c r="B13" s="81" t="s">
        <v>398</v>
      </c>
      <c r="D13" s="81" t="s">
        <v>407</v>
      </c>
      <c r="E13" s="1" t="e" cm="1">
        <f t="array" aca="1" ref="E13" ca="1">getShots(metaASSETS[[#This Row],[Asset Name]])</f>
        <v>#VALUE!</v>
      </c>
      <c r="K13" s="82"/>
      <c r="L13" s="82"/>
      <c r="M13" s="82"/>
      <c r="N13" s="82"/>
    </row>
    <row r="14" spans="1:14" ht="24" customHeight="1" x14ac:dyDescent="0.25">
      <c r="A14" s="162" t="s">
        <v>410</v>
      </c>
      <c r="B14" s="81" t="s">
        <v>398</v>
      </c>
      <c r="D14" s="81" t="s">
        <v>407</v>
      </c>
      <c r="E14" s="1" t="e" cm="1">
        <f t="array" aca="1" ref="E14" ca="1">getShots(metaASSETS[[#This Row],[Asset Name]])</f>
        <v>#VALUE!</v>
      </c>
      <c r="K14" s="82"/>
      <c r="L14" s="82"/>
      <c r="M14" s="82"/>
      <c r="N14" s="82"/>
    </row>
    <row r="15" spans="1:14" ht="24" customHeight="1" x14ac:dyDescent="0.25">
      <c r="A15" s="162" t="s">
        <v>411</v>
      </c>
      <c r="B15" s="81" t="s">
        <v>398</v>
      </c>
      <c r="D15" s="81" t="s">
        <v>412</v>
      </c>
      <c r="E15" s="1" t="e" cm="1">
        <f t="array" aca="1" ref="E15" ca="1">getShots(metaASSETS[[#This Row],[Asset Name]])</f>
        <v>#VALUE!</v>
      </c>
      <c r="K15" s="82"/>
      <c r="L15" s="82"/>
      <c r="M15" s="82"/>
      <c r="N15" s="82"/>
    </row>
    <row r="16" spans="1:14" ht="24" customHeight="1" x14ac:dyDescent="0.25">
      <c r="A16" s="162" t="s">
        <v>413</v>
      </c>
      <c r="B16" s="81" t="s">
        <v>398</v>
      </c>
      <c r="D16" s="81" t="s">
        <v>412</v>
      </c>
      <c r="E16" s="1" t="e" cm="1">
        <f t="array" aca="1" ref="E16" ca="1">getShots(metaASSETS[[#This Row],[Asset Name]])</f>
        <v>#VALUE!</v>
      </c>
      <c r="K16" s="82"/>
      <c r="L16" s="82"/>
      <c r="M16" s="82"/>
      <c r="N16" s="82"/>
    </row>
    <row r="17" spans="1:14" ht="24" customHeight="1" x14ac:dyDescent="0.25">
      <c r="A17" s="162" t="s">
        <v>414</v>
      </c>
      <c r="B17" s="81" t="s">
        <v>398</v>
      </c>
      <c r="D17" s="81" t="s">
        <v>412</v>
      </c>
      <c r="E17" s="1" t="e" cm="1">
        <f t="array" aca="1" ref="E17" ca="1">getShots(metaASSETS[[#This Row],[Asset Name]])</f>
        <v>#VALUE!</v>
      </c>
      <c r="K17" s="82"/>
      <c r="L17" s="82"/>
      <c r="M17" s="82"/>
      <c r="N17" s="82"/>
    </row>
    <row r="18" spans="1:14" ht="24" customHeight="1" x14ac:dyDescent="0.25">
      <c r="A18" s="162" t="s">
        <v>415</v>
      </c>
      <c r="B18" s="81" t="s">
        <v>398</v>
      </c>
      <c r="D18" s="81" t="s">
        <v>416</v>
      </c>
      <c r="E18" s="1" t="e" cm="1">
        <f t="array" aca="1" ref="E18" ca="1">getShots(metaASSETS[[#This Row],[Asset Name]])</f>
        <v>#VALUE!</v>
      </c>
      <c r="K18" s="82"/>
      <c r="L18" s="82"/>
      <c r="M18" s="82"/>
      <c r="N18" s="82"/>
    </row>
    <row r="19" spans="1:14" ht="24" customHeight="1" x14ac:dyDescent="0.25">
      <c r="A19" s="162" t="s">
        <v>417</v>
      </c>
      <c r="B19" s="81" t="s">
        <v>398</v>
      </c>
      <c r="D19" s="81" t="s">
        <v>416</v>
      </c>
      <c r="E19" s="1" t="e" cm="1">
        <f t="array" aca="1" ref="E19" ca="1">getShots(metaASSETS[[#This Row],[Asset Name]])</f>
        <v>#VALUE!</v>
      </c>
      <c r="K19" s="82"/>
      <c r="L19" s="82"/>
      <c r="M19" s="82"/>
      <c r="N19" s="82"/>
    </row>
    <row r="20" spans="1:14" ht="24" customHeight="1" x14ac:dyDescent="0.25">
      <c r="A20" s="162" t="s">
        <v>418</v>
      </c>
      <c r="B20" s="81" t="s">
        <v>398</v>
      </c>
      <c r="C20" s="83"/>
      <c r="D20" s="81" t="s">
        <v>416</v>
      </c>
      <c r="E20" s="94" t="e" cm="1">
        <f t="array" aca="1" ref="E20" ca="1">getShots(metaASSETS[[#This Row],[Asset Name]])</f>
        <v>#VALUE!</v>
      </c>
      <c r="K20" s="82"/>
      <c r="L20" s="82"/>
      <c r="M20" s="82"/>
      <c r="N20" s="82"/>
    </row>
    <row r="21" spans="1:14" s="83" customFormat="1" ht="24" customHeight="1" x14ac:dyDescent="0.25">
      <c r="A21" s="162" t="s">
        <v>419</v>
      </c>
      <c r="B21" s="81" t="s">
        <v>398</v>
      </c>
      <c r="C21" s="37"/>
      <c r="D21" s="81" t="s">
        <v>416</v>
      </c>
      <c r="E21" s="1" t="e" cm="1">
        <f t="array" aca="1" ref="E21" ca="1">getShots(metaASSETS[[#This Row],[Asset Name]])</f>
        <v>#VALUE!</v>
      </c>
      <c r="G21" s="82"/>
      <c r="H21" s="82"/>
      <c r="I21" s="82"/>
      <c r="J21" s="82"/>
      <c r="K21" s="82"/>
      <c r="L21" s="82"/>
      <c r="M21" s="82"/>
      <c r="N21" s="82"/>
    </row>
    <row r="22" spans="1:14" ht="24" customHeight="1" x14ac:dyDescent="0.25">
      <c r="A22" s="162" t="s">
        <v>420</v>
      </c>
      <c r="B22" s="81" t="s">
        <v>398</v>
      </c>
      <c r="D22" s="81" t="s">
        <v>416</v>
      </c>
      <c r="E22" s="1" t="e" cm="1">
        <f t="array" aca="1" ref="E22" ca="1">getShots(metaASSETS[[#This Row],[Asset Name]])</f>
        <v>#VALUE!</v>
      </c>
      <c r="K22" s="82"/>
      <c r="L22" s="82"/>
      <c r="M22" s="82"/>
      <c r="N22" s="82"/>
    </row>
    <row r="23" spans="1:14" ht="24" customHeight="1" x14ac:dyDescent="0.25">
      <c r="A23" s="162" t="s">
        <v>421</v>
      </c>
      <c r="B23" s="81" t="s">
        <v>398</v>
      </c>
      <c r="D23" s="81" t="s">
        <v>416</v>
      </c>
      <c r="E23" s="1" t="e" cm="1">
        <f t="array" aca="1" ref="E23" ca="1">getShots(metaASSETS[[#This Row],[Asset Name]])</f>
        <v>#VALUE!</v>
      </c>
      <c r="K23" s="82"/>
      <c r="L23" s="82"/>
      <c r="M23" s="82"/>
      <c r="N23" s="82"/>
    </row>
    <row r="24" spans="1:14" ht="24" customHeight="1" x14ac:dyDescent="0.25">
      <c r="A24" s="162" t="s">
        <v>422</v>
      </c>
      <c r="B24" s="81" t="s">
        <v>398</v>
      </c>
      <c r="D24" s="81" t="s">
        <v>416</v>
      </c>
      <c r="E24" s="1" t="e" cm="1">
        <f t="array" aca="1" ref="E24" ca="1">getShots(metaASSETS[[#This Row],[Asset Name]])</f>
        <v>#VALUE!</v>
      </c>
      <c r="K24" s="82"/>
      <c r="L24" s="82"/>
      <c r="M24" s="82"/>
      <c r="N24" s="82"/>
    </row>
    <row r="25" spans="1:14" ht="24" customHeight="1" x14ac:dyDescent="0.25">
      <c r="A25" s="162" t="s">
        <v>423</v>
      </c>
      <c r="B25" s="81" t="s">
        <v>375</v>
      </c>
      <c r="D25" s="81" t="s">
        <v>424</v>
      </c>
      <c r="E25" s="1" t="e" cm="1">
        <f t="array" aca="1" ref="E25" ca="1">getShots(metaASSETS[[#This Row],[Asset Name]])</f>
        <v>#VALUE!</v>
      </c>
      <c r="K25" s="82"/>
      <c r="L25" s="82"/>
      <c r="M25" s="82"/>
      <c r="N25" s="82"/>
    </row>
    <row r="26" spans="1:14" ht="24" customHeight="1" x14ac:dyDescent="0.25">
      <c r="A26" s="162" t="s">
        <v>425</v>
      </c>
      <c r="B26" s="81" t="s">
        <v>375</v>
      </c>
      <c r="D26" s="81" t="s">
        <v>426</v>
      </c>
      <c r="E26" s="1" t="e" cm="1">
        <f t="array" aca="1" ref="E26" ca="1">getShots(metaASSETS[[#This Row],[Asset Name]])</f>
        <v>#VALUE!</v>
      </c>
      <c r="K26" s="82"/>
      <c r="L26" s="82"/>
      <c r="M26" s="82"/>
      <c r="N26" s="82"/>
    </row>
    <row r="27" spans="1:14" ht="24" customHeight="1" x14ac:dyDescent="0.25">
      <c r="A27" s="162" t="s">
        <v>427</v>
      </c>
      <c r="B27" s="81" t="s">
        <v>375</v>
      </c>
      <c r="D27" s="81" t="s">
        <v>428</v>
      </c>
      <c r="E27" s="1" t="e" cm="1">
        <f t="array" aca="1" ref="E27" ca="1">getShots(metaASSETS[[#This Row],[Asset Name]])</f>
        <v>#VALUE!</v>
      </c>
      <c r="K27" s="82"/>
      <c r="L27" s="82"/>
      <c r="M27" s="82"/>
      <c r="N27" s="82"/>
    </row>
    <row r="28" spans="1:14" ht="24" customHeight="1" x14ac:dyDescent="0.25">
      <c r="A28" s="162" t="s">
        <v>429</v>
      </c>
      <c r="B28" s="81" t="s">
        <v>375</v>
      </c>
      <c r="C28" s="83"/>
      <c r="D28" s="81" t="s">
        <v>430</v>
      </c>
      <c r="E28" s="94" t="e" cm="1">
        <f t="array" aca="1" ref="E28" ca="1">getShots(metaASSETS[[#This Row],[Asset Name]])</f>
        <v>#VALUE!</v>
      </c>
      <c r="K28" s="82"/>
      <c r="L28" s="82"/>
      <c r="M28" s="82"/>
      <c r="N28" s="82"/>
    </row>
    <row r="29" spans="1:14" ht="24" customHeight="1" x14ac:dyDescent="0.25">
      <c r="A29" s="162" t="s">
        <v>431</v>
      </c>
      <c r="B29" s="81" t="s">
        <v>375</v>
      </c>
      <c r="D29" s="81" t="s">
        <v>432</v>
      </c>
      <c r="E29" s="1" t="e" cm="1">
        <f t="array" aca="1" ref="E29" ca="1">getShots(metaASSETS[[#This Row],[Asset Name]])</f>
        <v>#VALUE!</v>
      </c>
      <c r="K29" s="82"/>
      <c r="L29" s="82"/>
      <c r="M29" s="82"/>
      <c r="N29" s="82"/>
    </row>
    <row r="30" spans="1:14" s="83" customFormat="1" ht="24" customHeight="1" x14ac:dyDescent="0.25">
      <c r="A30" s="162" t="s">
        <v>433</v>
      </c>
      <c r="B30" s="81" t="s">
        <v>434</v>
      </c>
      <c r="C30" s="37"/>
      <c r="D30" s="81" t="s">
        <v>435</v>
      </c>
      <c r="E30" s="1" t="e" cm="1">
        <f t="array" aca="1" ref="E30" ca="1">getShots(metaASSETS[[#This Row],[Asset Name]])</f>
        <v>#VALUE!</v>
      </c>
      <c r="G30" s="82"/>
      <c r="H30" s="82"/>
      <c r="I30" s="82"/>
      <c r="J30" s="82"/>
      <c r="K30" s="82"/>
      <c r="L30" s="82"/>
      <c r="M30" s="82"/>
      <c r="N30" s="82"/>
    </row>
    <row r="31" spans="1:14" ht="23.25" customHeight="1" x14ac:dyDescent="0.25">
      <c r="A31" s="162" t="s">
        <v>436</v>
      </c>
      <c r="B31" s="81" t="s">
        <v>434</v>
      </c>
      <c r="D31" s="81" t="s">
        <v>437</v>
      </c>
      <c r="E31" s="1" t="e" cm="1">
        <f t="array" aca="1" ref="E31" ca="1">getShots(metaASSETS[[#This Row],[Asset Name]])</f>
        <v>#VALUE!</v>
      </c>
      <c r="K31" s="82"/>
      <c r="L31" s="82"/>
      <c r="M31" s="82"/>
      <c r="N31" s="82"/>
    </row>
    <row r="32" spans="1:14" ht="23.25" customHeight="1" x14ac:dyDescent="0.25">
      <c r="A32" s="162" t="s">
        <v>438</v>
      </c>
      <c r="B32" s="81" t="s">
        <v>434</v>
      </c>
      <c r="D32" s="81" t="s">
        <v>439</v>
      </c>
      <c r="E32" s="1" t="e" cm="1">
        <f t="array" aca="1" ref="E32" ca="1">getShots(metaASSETS[[#This Row],[Asset Name]])</f>
        <v>#VALUE!</v>
      </c>
      <c r="K32" s="82"/>
      <c r="L32" s="82"/>
      <c r="M32" s="82"/>
      <c r="N32" s="82"/>
    </row>
    <row r="33" spans="1:14" ht="23.25" customHeight="1" x14ac:dyDescent="0.25">
      <c r="A33" s="162" t="s">
        <v>440</v>
      </c>
      <c r="B33" s="81" t="s">
        <v>434</v>
      </c>
      <c r="D33" s="81" t="s">
        <v>441</v>
      </c>
      <c r="E33" s="1" t="e" cm="1">
        <f t="array" aca="1" ref="E33" ca="1">getShots(metaASSETS[[#This Row],[Asset Name]])</f>
        <v>#VALUE!</v>
      </c>
      <c r="K33" s="82"/>
      <c r="L33" s="82"/>
      <c r="M33" s="82"/>
      <c r="N33" s="82"/>
    </row>
    <row r="34" spans="1:14" ht="23.25" customHeight="1" x14ac:dyDescent="0.25">
      <c r="A34" s="162" t="s">
        <v>442</v>
      </c>
      <c r="B34" s="81" t="s">
        <v>434</v>
      </c>
      <c r="D34" s="81" t="s">
        <v>441</v>
      </c>
      <c r="E34" s="1" t="e" cm="1">
        <f t="array" aca="1" ref="E34" ca="1">getShots(metaASSETS[[#This Row],[Asset Name]])</f>
        <v>#VALUE!</v>
      </c>
      <c r="K34" s="82"/>
      <c r="L34" s="82"/>
      <c r="M34" s="82"/>
      <c r="N34" s="82"/>
    </row>
    <row r="35" spans="1:14" ht="23.25" customHeight="1" x14ac:dyDescent="0.25">
      <c r="A35" s="162" t="s">
        <v>443</v>
      </c>
      <c r="B35" s="81" t="s">
        <v>434</v>
      </c>
      <c r="D35" s="81" t="s">
        <v>441</v>
      </c>
      <c r="E35" s="1" t="e" cm="1">
        <f t="array" aca="1" ref="E35" ca="1">getShots(metaASSETS[[#This Row],[Asset Name]])</f>
        <v>#VALUE!</v>
      </c>
      <c r="K35" s="82"/>
      <c r="L35" s="82"/>
      <c r="M35" s="82"/>
      <c r="N35" s="82"/>
    </row>
    <row r="36" spans="1:14" ht="23.25" customHeight="1" x14ac:dyDescent="0.25">
      <c r="A36" s="162" t="s">
        <v>444</v>
      </c>
      <c r="B36" s="81" t="s">
        <v>434</v>
      </c>
      <c r="D36" s="81" t="s">
        <v>441</v>
      </c>
      <c r="E36" s="1" t="e" cm="1">
        <f t="array" aca="1" ref="E36" ca="1">getShots(metaASSETS[[#This Row],[Asset Name]])</f>
        <v>#VALUE!</v>
      </c>
      <c r="K36" s="82"/>
      <c r="L36" s="82"/>
      <c r="M36" s="82"/>
      <c r="N36" s="82"/>
    </row>
    <row r="37" spans="1:14" ht="23.25" customHeight="1" x14ac:dyDescent="0.25">
      <c r="A37" s="162" t="s">
        <v>445</v>
      </c>
      <c r="B37" s="81" t="s">
        <v>434</v>
      </c>
      <c r="D37" s="81" t="s">
        <v>441</v>
      </c>
      <c r="E37" s="1" t="e" cm="1">
        <f t="array" aca="1" ref="E37" ca="1">getShots(metaASSETS[[#This Row],[Asset Name]])</f>
        <v>#VALUE!</v>
      </c>
      <c r="K37" s="82"/>
      <c r="L37" s="82"/>
      <c r="M37" s="82"/>
      <c r="N37" s="82"/>
    </row>
    <row r="38" spans="1:14" ht="23.25" customHeight="1" x14ac:dyDescent="0.25">
      <c r="A38" s="162" t="s">
        <v>446</v>
      </c>
      <c r="B38" s="81" t="s">
        <v>434</v>
      </c>
      <c r="D38" s="81" t="s">
        <v>447</v>
      </c>
      <c r="E38" s="1" t="e" cm="1">
        <f t="array" aca="1" ref="E38" ca="1">getShots(metaASSETS[[#This Row],[Asset Name]])</f>
        <v>#VALUE!</v>
      </c>
      <c r="K38" s="82"/>
      <c r="L38" s="82"/>
      <c r="M38" s="82"/>
      <c r="N38" s="82"/>
    </row>
    <row r="39" spans="1:14" ht="23.25" customHeight="1" x14ac:dyDescent="0.25">
      <c r="A39" s="162" t="s">
        <v>448</v>
      </c>
      <c r="B39" s="81" t="s">
        <v>434</v>
      </c>
      <c r="D39" s="81" t="s">
        <v>449</v>
      </c>
      <c r="E39" s="1" t="e" cm="1">
        <f t="array" aca="1" ref="E39" ca="1">getShots(metaASSETS[[#This Row],[Asset Name]])</f>
        <v>#VALUE!</v>
      </c>
      <c r="K39" s="82"/>
      <c r="L39" s="82"/>
      <c r="M39" s="82"/>
      <c r="N39" s="82"/>
    </row>
    <row r="40" spans="1:14" ht="23.25" customHeight="1" x14ac:dyDescent="0.25">
      <c r="A40" s="162" t="s">
        <v>450</v>
      </c>
      <c r="B40" s="81" t="s">
        <v>434</v>
      </c>
      <c r="D40" s="81" t="s">
        <v>451</v>
      </c>
      <c r="E40" s="1" t="e" cm="1">
        <f t="array" aca="1" ref="E40" ca="1">getShots(metaASSETS[[#This Row],[Asset Name]])</f>
        <v>#VALUE!</v>
      </c>
      <c r="K40" s="82"/>
      <c r="L40" s="82"/>
      <c r="M40" s="82"/>
      <c r="N40" s="82"/>
    </row>
    <row r="41" spans="1:14" ht="23.25" customHeight="1" x14ac:dyDescent="0.25">
      <c r="A41" s="162" t="s">
        <v>452</v>
      </c>
      <c r="B41" s="81" t="s">
        <v>434</v>
      </c>
      <c r="D41" s="81" t="s">
        <v>453</v>
      </c>
      <c r="E41" s="1" t="e" cm="1">
        <f t="array" aca="1" ref="E41" ca="1">getShots(metaASSETS[[#This Row],[Asset Name]])</f>
        <v>#VALUE!</v>
      </c>
      <c r="K41" s="82"/>
      <c r="L41" s="82"/>
      <c r="M41" s="82"/>
      <c r="N41" s="82"/>
    </row>
    <row r="42" spans="1:14" ht="23.25" customHeight="1" x14ac:dyDescent="0.25">
      <c r="A42" s="162" t="s">
        <v>454</v>
      </c>
      <c r="B42" s="81" t="s">
        <v>434</v>
      </c>
      <c r="D42" s="81" t="s">
        <v>455</v>
      </c>
      <c r="E42" s="1" t="e" cm="1">
        <f t="array" aca="1" ref="E42" ca="1">getShots(metaASSETS[[#This Row],[Asset Name]])</f>
        <v>#VALUE!</v>
      </c>
      <c r="K42" s="82"/>
      <c r="L42" s="82"/>
      <c r="M42" s="82"/>
      <c r="N42" s="82"/>
    </row>
    <row r="43" spans="1:14" ht="23.25" customHeight="1" x14ac:dyDescent="0.25">
      <c r="A43" s="162" t="s">
        <v>456</v>
      </c>
      <c r="B43" s="81" t="s">
        <v>434</v>
      </c>
      <c r="D43" s="81" t="s">
        <v>455</v>
      </c>
      <c r="E43" s="1" t="e" cm="1">
        <f t="array" aca="1" ref="E43" ca="1">getShots(metaASSETS[[#This Row],[Asset Name]])</f>
        <v>#VALUE!</v>
      </c>
      <c r="K43" s="82"/>
      <c r="L43" s="82"/>
      <c r="M43" s="82"/>
      <c r="N43" s="82"/>
    </row>
    <row r="44" spans="1:14" ht="23.25" customHeight="1" x14ac:dyDescent="0.25">
      <c r="A44" s="162" t="s">
        <v>457</v>
      </c>
      <c r="B44" s="81" t="s">
        <v>434</v>
      </c>
      <c r="D44" s="81" t="s">
        <v>455</v>
      </c>
      <c r="E44" s="1" t="e" cm="1">
        <f t="array" aca="1" ref="E44" ca="1">getShots(metaASSETS[[#This Row],[Asset Name]])</f>
        <v>#VALUE!</v>
      </c>
      <c r="K44" s="82"/>
      <c r="L44" s="82"/>
      <c r="M44" s="82"/>
      <c r="N44" s="82"/>
    </row>
    <row r="45" spans="1:14" ht="23.25" customHeight="1" x14ac:dyDescent="0.25">
      <c r="A45" s="162" t="s">
        <v>458</v>
      </c>
      <c r="B45" s="81" t="s">
        <v>434</v>
      </c>
      <c r="D45" s="81" t="s">
        <v>455</v>
      </c>
      <c r="E45" s="1" t="e" cm="1">
        <f t="array" aca="1" ref="E45" ca="1">getShots(metaASSETS[[#This Row],[Asset Name]])</f>
        <v>#VALUE!</v>
      </c>
      <c r="K45" s="82"/>
      <c r="L45" s="82"/>
      <c r="M45" s="82"/>
      <c r="N45" s="82"/>
    </row>
    <row r="46" spans="1:14" ht="23.25" customHeight="1" x14ac:dyDescent="0.25">
      <c r="A46" s="162" t="s">
        <v>459</v>
      </c>
      <c r="B46" s="81" t="s">
        <v>434</v>
      </c>
      <c r="D46" s="81" t="s">
        <v>455</v>
      </c>
      <c r="E46" s="1" t="e" cm="1">
        <f t="array" aca="1" ref="E46" ca="1">getShots(metaASSETS[[#This Row],[Asset Name]])</f>
        <v>#VALUE!</v>
      </c>
      <c r="K46" s="82"/>
      <c r="L46" s="82"/>
      <c r="M46" s="82"/>
      <c r="N46" s="82"/>
    </row>
    <row r="47" spans="1:14" ht="23.25" customHeight="1" x14ac:dyDescent="0.25">
      <c r="A47" s="162" t="s">
        <v>460</v>
      </c>
      <c r="B47" s="81" t="s">
        <v>434</v>
      </c>
      <c r="D47" s="81" t="s">
        <v>455</v>
      </c>
      <c r="E47" s="1" t="e" cm="1">
        <f t="array" aca="1" ref="E47" ca="1">getShots(metaASSETS[[#This Row],[Asset Name]])</f>
        <v>#VALUE!</v>
      </c>
      <c r="K47" s="82"/>
      <c r="L47" s="82"/>
      <c r="M47" s="82"/>
      <c r="N47" s="82"/>
    </row>
    <row r="48" spans="1:14" ht="23.25" customHeight="1" x14ac:dyDescent="0.25">
      <c r="A48" s="162" t="s">
        <v>461</v>
      </c>
      <c r="B48" s="81" t="s">
        <v>434</v>
      </c>
      <c r="D48" s="81" t="s">
        <v>455</v>
      </c>
      <c r="E48" s="1" t="e" cm="1">
        <f t="array" aca="1" ref="E48" ca="1">getShots(metaASSETS[[#This Row],[Asset Name]])</f>
        <v>#VALUE!</v>
      </c>
      <c r="K48" s="82"/>
      <c r="L48" s="82"/>
      <c r="M48" s="82"/>
      <c r="N48" s="82"/>
    </row>
    <row r="49" spans="1:14" ht="23.25" customHeight="1" x14ac:dyDescent="0.25">
      <c r="A49" s="162" t="s">
        <v>462</v>
      </c>
      <c r="B49" s="81" t="s">
        <v>434</v>
      </c>
      <c r="D49" s="81" t="s">
        <v>455</v>
      </c>
      <c r="E49" s="1" t="e" cm="1">
        <f t="array" aca="1" ref="E49" ca="1">getShots(metaASSETS[[#This Row],[Asset Name]])</f>
        <v>#VALUE!</v>
      </c>
      <c r="K49" s="82"/>
      <c r="L49" s="82"/>
      <c r="M49" s="82"/>
      <c r="N49" s="82"/>
    </row>
    <row r="50" spans="1:14" ht="23.25" customHeight="1" x14ac:dyDescent="0.25">
      <c r="A50" s="162" t="s">
        <v>463</v>
      </c>
      <c r="B50" s="81" t="s">
        <v>464</v>
      </c>
      <c r="D50" s="81" t="s">
        <v>465</v>
      </c>
      <c r="E50" s="1" t="e" cm="1">
        <f t="array" aca="1" ref="E50" ca="1">getShots(metaASSETS[[#This Row],[Asset Name]])</f>
        <v>#VALUE!</v>
      </c>
      <c r="K50" s="82"/>
      <c r="L50" s="82"/>
      <c r="M50" s="82"/>
      <c r="N50" s="82"/>
    </row>
    <row r="51" spans="1:14" ht="23.25" customHeight="1" x14ac:dyDescent="0.25">
      <c r="A51" s="162" t="s">
        <v>466</v>
      </c>
      <c r="B51" s="81" t="s">
        <v>467</v>
      </c>
      <c r="D51" s="81" t="s">
        <v>468</v>
      </c>
      <c r="E51" s="1" t="e" cm="1">
        <f t="array" aca="1" ref="E51" ca="1">getShots(metaASSETS[[#This Row],[Asset Name]])</f>
        <v>#VALUE!</v>
      </c>
      <c r="K51" s="82"/>
      <c r="L51" s="82"/>
      <c r="M51" s="82"/>
      <c r="N51" s="82"/>
    </row>
    <row r="52" spans="1:14" ht="23.25" customHeight="1" x14ac:dyDescent="0.25">
      <c r="A52" s="162" t="s">
        <v>469</v>
      </c>
      <c r="B52" s="81" t="s">
        <v>467</v>
      </c>
      <c r="D52" s="81" t="s">
        <v>468</v>
      </c>
      <c r="E52" s="1" t="e" cm="1">
        <f t="array" aca="1" ref="E52" ca="1">getShots(metaASSETS[[#This Row],[Asset Name]])</f>
        <v>#VALUE!</v>
      </c>
      <c r="K52" s="82"/>
      <c r="L52" s="82"/>
      <c r="M52" s="82"/>
      <c r="N52" s="82"/>
    </row>
    <row r="53" spans="1:14" ht="23.25" customHeight="1" x14ac:dyDescent="0.25">
      <c r="A53" s="162" t="s">
        <v>470</v>
      </c>
      <c r="B53" s="81" t="s">
        <v>467</v>
      </c>
      <c r="D53" s="81" t="s">
        <v>468</v>
      </c>
      <c r="E53" s="1" t="e" cm="1">
        <f t="array" aca="1" ref="E53" ca="1">getShots(metaASSETS[[#This Row],[Asset Name]])</f>
        <v>#VALUE!</v>
      </c>
      <c r="K53" s="82"/>
      <c r="L53" s="82"/>
      <c r="M53" s="82"/>
      <c r="N53" s="82"/>
    </row>
    <row r="54" spans="1:14" ht="23.25" customHeight="1" x14ac:dyDescent="0.25">
      <c r="A54" s="162" t="s">
        <v>471</v>
      </c>
      <c r="B54" s="81" t="s">
        <v>472</v>
      </c>
      <c r="D54" s="81" t="s">
        <v>473</v>
      </c>
      <c r="E54" s="1" t="e" cm="1">
        <f t="array" aca="1" ref="E54" ca="1">getShots(metaASSETS[[#This Row],[Asset Name]])</f>
        <v>#VALUE!</v>
      </c>
      <c r="K54" s="82"/>
      <c r="L54" s="82"/>
      <c r="M54" s="82"/>
      <c r="N54" s="82"/>
    </row>
    <row r="55" spans="1:14" ht="23.25" customHeight="1" x14ac:dyDescent="0.25">
      <c r="A55" s="162" t="s">
        <v>474</v>
      </c>
      <c r="B55" s="81" t="s">
        <v>472</v>
      </c>
      <c r="D55" s="81" t="s">
        <v>473</v>
      </c>
      <c r="E55" s="1" t="e" cm="1">
        <f t="array" aca="1" ref="E55" ca="1">getShots(metaASSETS[[#This Row],[Asset Name]])</f>
        <v>#VALUE!</v>
      </c>
      <c r="K55" s="82"/>
      <c r="L55" s="82"/>
      <c r="M55" s="82"/>
      <c r="N55" s="82"/>
    </row>
    <row r="56" spans="1:14" ht="23.25" customHeight="1" x14ac:dyDescent="0.25">
      <c r="A56" s="162" t="s">
        <v>475</v>
      </c>
      <c r="B56" s="81" t="s">
        <v>472</v>
      </c>
      <c r="D56" s="81" t="s">
        <v>473</v>
      </c>
      <c r="E56" s="1" t="e" cm="1">
        <f t="array" aca="1" ref="E56" ca="1">getShots(metaASSETS[[#This Row],[Asset Name]])</f>
        <v>#VALUE!</v>
      </c>
      <c r="K56" s="82"/>
      <c r="L56" s="82"/>
      <c r="M56" s="82"/>
      <c r="N56" s="82"/>
    </row>
    <row r="57" spans="1:14" ht="23.25" customHeight="1" x14ac:dyDescent="0.25">
      <c r="A57" s="162" t="s">
        <v>476</v>
      </c>
      <c r="B57" s="81" t="s">
        <v>472</v>
      </c>
      <c r="D57" s="81" t="s">
        <v>473</v>
      </c>
      <c r="E57" s="1" t="e" cm="1">
        <f t="array" aca="1" ref="E57" ca="1">getShots(metaASSETS[[#This Row],[Asset Name]])</f>
        <v>#VALUE!</v>
      </c>
      <c r="K57" s="82"/>
      <c r="L57" s="82"/>
      <c r="M57" s="82"/>
      <c r="N57" s="82"/>
    </row>
    <row r="58" spans="1:14" ht="23.25" customHeight="1" x14ac:dyDescent="0.25">
      <c r="A58" s="162" t="s">
        <v>477</v>
      </c>
      <c r="B58" s="81" t="s">
        <v>472</v>
      </c>
      <c r="D58" s="81" t="s">
        <v>478</v>
      </c>
      <c r="E58" s="1" t="e" cm="1">
        <f t="array" aca="1" ref="E58" ca="1">getShots(metaASSETS[[#This Row],[Asset Name]])</f>
        <v>#VALUE!</v>
      </c>
      <c r="K58" s="82"/>
      <c r="L58" s="82"/>
      <c r="M58" s="82"/>
      <c r="N58" s="82"/>
    </row>
    <row r="59" spans="1:14" ht="23.25" customHeight="1" x14ac:dyDescent="0.25">
      <c r="A59" s="162" t="s">
        <v>479</v>
      </c>
      <c r="B59" s="81" t="s">
        <v>472</v>
      </c>
      <c r="D59" s="81" t="s">
        <v>480</v>
      </c>
      <c r="E59" s="1" t="e" cm="1">
        <f t="array" aca="1" ref="E59" ca="1">getShots(metaASSETS[[#This Row],[Asset Name]])</f>
        <v>#VALUE!</v>
      </c>
      <c r="K59" s="82"/>
      <c r="L59" s="82"/>
      <c r="M59" s="82"/>
      <c r="N59" s="82"/>
    </row>
    <row r="60" spans="1:14" ht="23.25" customHeight="1" x14ac:dyDescent="0.25">
      <c r="A60" s="162" t="s">
        <v>481</v>
      </c>
      <c r="B60" s="81" t="s">
        <v>472</v>
      </c>
      <c r="D60" s="81" t="s">
        <v>482</v>
      </c>
      <c r="E60" s="1" t="e" cm="1">
        <f t="array" aca="1" ref="E60" ca="1">getShots(metaASSETS[[#This Row],[Asset Name]])</f>
        <v>#VALUE!</v>
      </c>
      <c r="K60" s="82"/>
      <c r="L60" s="82"/>
      <c r="M60" s="82"/>
      <c r="N60" s="82"/>
    </row>
    <row r="61" spans="1:14" ht="23.25" customHeight="1" x14ac:dyDescent="0.25">
      <c r="A61" s="162" t="s">
        <v>483</v>
      </c>
      <c r="B61" s="81" t="s">
        <v>472</v>
      </c>
      <c r="D61" s="81" t="s">
        <v>484</v>
      </c>
      <c r="E61" s="1" t="e" cm="1">
        <f t="array" aca="1" ref="E61" ca="1">getShots(metaASSETS[[#This Row],[Asset Name]])</f>
        <v>#VALUE!</v>
      </c>
      <c r="K61" s="82"/>
      <c r="L61" s="82"/>
      <c r="M61" s="82"/>
      <c r="N61" s="82"/>
    </row>
    <row r="62" spans="1:14" ht="23.25" customHeight="1" x14ac:dyDescent="0.25">
      <c r="A62" s="162" t="s">
        <v>485</v>
      </c>
      <c r="B62" s="81" t="s">
        <v>472</v>
      </c>
      <c r="D62" s="81" t="s">
        <v>486</v>
      </c>
      <c r="E62" s="1" t="e" cm="1">
        <f t="array" aca="1" ref="E62" ca="1">getShots(metaASSETS[[#This Row],[Asset Name]])</f>
        <v>#VALUE!</v>
      </c>
      <c r="K62" s="82"/>
      <c r="L62" s="82"/>
      <c r="M62" s="82"/>
      <c r="N62" s="82"/>
    </row>
    <row r="63" spans="1:14" ht="23.25" customHeight="1" x14ac:dyDescent="0.25">
      <c r="A63" s="162" t="s">
        <v>487</v>
      </c>
      <c r="B63" s="81" t="s">
        <v>472</v>
      </c>
      <c r="D63" s="81"/>
      <c r="E63" s="1" t="e" cm="1">
        <f t="array" aca="1" ref="E63" ca="1">getShots(metaASSETS[[#This Row],[Asset Name]])</f>
        <v>#VALUE!</v>
      </c>
      <c r="K63" s="82"/>
      <c r="L63" s="82"/>
      <c r="M63" s="82"/>
      <c r="N63" s="82"/>
    </row>
    <row r="64" spans="1:14" ht="23.25" customHeight="1" x14ac:dyDescent="0.25">
      <c r="A64" s="162" t="s">
        <v>488</v>
      </c>
      <c r="B64" s="81" t="s">
        <v>472</v>
      </c>
      <c r="D64" s="81" t="s">
        <v>489</v>
      </c>
      <c r="E64" s="1" t="e" cm="1">
        <f t="array" aca="1" ref="E64" ca="1">getShots(metaASSETS[[#This Row],[Asset Name]])</f>
        <v>#VALUE!</v>
      </c>
      <c r="K64" s="82"/>
      <c r="L64" s="82"/>
      <c r="M64" s="82"/>
      <c r="N64" s="82"/>
    </row>
    <row r="65" spans="1:14" ht="23.25" customHeight="1" x14ac:dyDescent="0.25">
      <c r="A65" s="162" t="s">
        <v>490</v>
      </c>
      <c r="B65" s="81" t="s">
        <v>472</v>
      </c>
      <c r="D65" s="81" t="s">
        <v>489</v>
      </c>
      <c r="E65" s="1" t="e" cm="1">
        <f t="array" aca="1" ref="E65" ca="1">getShots(metaASSETS[[#This Row],[Asset Name]])</f>
        <v>#VALUE!</v>
      </c>
      <c r="K65" s="82"/>
      <c r="L65" s="82"/>
      <c r="M65" s="82"/>
      <c r="N65" s="82"/>
    </row>
    <row r="66" spans="1:14" ht="23.25" customHeight="1" x14ac:dyDescent="0.25">
      <c r="A66" s="162" t="s">
        <v>491</v>
      </c>
      <c r="B66" s="81" t="s">
        <v>472</v>
      </c>
      <c r="D66" s="81" t="s">
        <v>492</v>
      </c>
      <c r="E66" s="1" t="e" cm="1">
        <f t="array" aca="1" ref="E66" ca="1">getShots(metaASSETS[[#This Row],[Asset Name]])</f>
        <v>#VALUE!</v>
      </c>
      <c r="K66" s="82"/>
      <c r="L66" s="82"/>
      <c r="M66" s="82"/>
      <c r="N66" s="82"/>
    </row>
    <row r="67" spans="1:14" ht="23.25" customHeight="1" x14ac:dyDescent="0.25">
      <c r="A67" s="162" t="s">
        <v>493</v>
      </c>
      <c r="B67" s="81" t="s">
        <v>472</v>
      </c>
      <c r="D67" s="81" t="s">
        <v>492</v>
      </c>
      <c r="E67" s="1" t="e" cm="1">
        <f t="array" aca="1" ref="E67" ca="1">getShots(metaASSETS[[#This Row],[Asset Name]])</f>
        <v>#VALUE!</v>
      </c>
      <c r="K67" s="82"/>
      <c r="L67" s="82"/>
      <c r="M67" s="82"/>
      <c r="N67" s="82"/>
    </row>
    <row r="68" spans="1:14" ht="23.25" customHeight="1" x14ac:dyDescent="0.25">
      <c r="A68" s="162" t="s">
        <v>494</v>
      </c>
      <c r="B68" s="81" t="s">
        <v>472</v>
      </c>
      <c r="D68" s="81" t="s">
        <v>492</v>
      </c>
      <c r="E68" s="1" t="e" cm="1">
        <f t="array" aca="1" ref="E68" ca="1">getShots(metaASSETS[[#This Row],[Asset Name]])</f>
        <v>#VALUE!</v>
      </c>
      <c r="K68" s="82"/>
      <c r="L68" s="82"/>
      <c r="M68" s="82"/>
      <c r="N68" s="82"/>
    </row>
    <row r="69" spans="1:14" ht="23.25" customHeight="1" x14ac:dyDescent="0.25">
      <c r="A69" s="162" t="s">
        <v>495</v>
      </c>
      <c r="B69" s="81" t="s">
        <v>472</v>
      </c>
      <c r="D69" s="81" t="s">
        <v>496</v>
      </c>
      <c r="E69" s="1" t="e" cm="1">
        <f t="array" aca="1" ref="E69" ca="1">getShots(metaASSETS[[#This Row],[Asset Name]])</f>
        <v>#VALUE!</v>
      </c>
      <c r="K69" s="82"/>
      <c r="L69" s="82"/>
      <c r="M69" s="82"/>
      <c r="N69" s="82"/>
    </row>
    <row r="70" spans="1:14" ht="23.25" customHeight="1" x14ac:dyDescent="0.25">
      <c r="A70" s="162" t="s">
        <v>497</v>
      </c>
      <c r="B70" s="81" t="s">
        <v>472</v>
      </c>
      <c r="D70" s="81" t="s">
        <v>498</v>
      </c>
      <c r="E70" s="1" t="e" cm="1">
        <f t="array" aca="1" ref="E70" ca="1">getShots(metaASSETS[[#This Row],[Asset Name]])</f>
        <v>#VALUE!</v>
      </c>
      <c r="K70" s="82"/>
      <c r="L70" s="82"/>
      <c r="M70" s="82"/>
      <c r="N70" s="82"/>
    </row>
    <row r="71" spans="1:14" ht="23.25" customHeight="1" x14ac:dyDescent="0.25">
      <c r="A71" s="162" t="s">
        <v>499</v>
      </c>
      <c r="B71" s="81" t="s">
        <v>472</v>
      </c>
      <c r="D71" s="81" t="s">
        <v>500</v>
      </c>
      <c r="E71" s="1" t="e" cm="1">
        <f t="array" aca="1" ref="E71" ca="1">getShots(metaASSETS[[#This Row],[Asset Name]])</f>
        <v>#VALUE!</v>
      </c>
      <c r="K71" s="82"/>
      <c r="L71" s="82"/>
      <c r="M71" s="82"/>
      <c r="N71" s="82"/>
    </row>
    <row r="72" spans="1:14" ht="23.25" customHeight="1" x14ac:dyDescent="0.25">
      <c r="A72" s="162" t="s">
        <v>501</v>
      </c>
      <c r="B72" s="81" t="s">
        <v>472</v>
      </c>
      <c r="D72" s="81" t="s">
        <v>502</v>
      </c>
      <c r="E72" s="1" t="e" cm="1">
        <f t="array" aca="1" ref="E72" ca="1">getShots(metaASSETS[[#This Row],[Asset Name]])</f>
        <v>#VALUE!</v>
      </c>
      <c r="K72" s="82"/>
      <c r="L72" s="82"/>
      <c r="M72" s="82"/>
      <c r="N72" s="82"/>
    </row>
    <row r="73" spans="1:14" ht="23.25" customHeight="1" x14ac:dyDescent="0.25">
      <c r="A73" s="162" t="s">
        <v>503</v>
      </c>
      <c r="B73" s="81" t="s">
        <v>472</v>
      </c>
      <c r="D73" s="81" t="s">
        <v>504</v>
      </c>
      <c r="E73" s="1" t="e" cm="1">
        <f t="array" aca="1" ref="E73" ca="1">getShots(metaASSETS[[#This Row],[Asset Name]])</f>
        <v>#VALUE!</v>
      </c>
      <c r="K73" s="82"/>
      <c r="L73" s="82"/>
      <c r="M73" s="82"/>
      <c r="N73" s="82"/>
    </row>
    <row r="74" spans="1:14" ht="23.25" customHeight="1" x14ac:dyDescent="0.25">
      <c r="A74" s="162" t="s">
        <v>505</v>
      </c>
      <c r="B74" s="81" t="s">
        <v>472</v>
      </c>
      <c r="D74" s="81" t="s">
        <v>504</v>
      </c>
      <c r="E74" s="1" t="e" cm="1">
        <f t="array" aca="1" ref="E74" ca="1">getShots(metaASSETS[[#This Row],[Asset Name]])</f>
        <v>#VALUE!</v>
      </c>
      <c r="K74" s="82"/>
      <c r="L74" s="82"/>
      <c r="M74" s="82"/>
      <c r="N74" s="82"/>
    </row>
    <row r="75" spans="1:14" ht="23.25" customHeight="1" x14ac:dyDescent="0.25">
      <c r="A75" s="162" t="s">
        <v>506</v>
      </c>
      <c r="B75" s="81" t="s">
        <v>472</v>
      </c>
      <c r="D75" s="81" t="s">
        <v>504</v>
      </c>
      <c r="E75" s="1" t="e" cm="1">
        <f t="array" aca="1" ref="E75" ca="1">getShots(metaASSETS[[#This Row],[Asset Name]])</f>
        <v>#VALUE!</v>
      </c>
      <c r="K75" s="82"/>
      <c r="L75" s="82"/>
      <c r="M75" s="82"/>
      <c r="N75" s="82"/>
    </row>
    <row r="76" spans="1:14" ht="23.25" customHeight="1" x14ac:dyDescent="0.25">
      <c r="A76" s="162" t="s">
        <v>507</v>
      </c>
      <c r="B76" s="81" t="s">
        <v>472</v>
      </c>
      <c r="D76" s="81" t="s">
        <v>504</v>
      </c>
      <c r="E76" s="1" t="e" cm="1">
        <f t="array" aca="1" ref="E76" ca="1">getShots(metaASSETS[[#This Row],[Asset Name]])</f>
        <v>#VALUE!</v>
      </c>
      <c r="K76" s="82"/>
      <c r="L76" s="82"/>
      <c r="M76" s="82"/>
      <c r="N76" s="82"/>
    </row>
    <row r="77" spans="1:14" ht="23.25" customHeight="1" x14ac:dyDescent="0.25">
      <c r="A77" s="162" t="s">
        <v>508</v>
      </c>
      <c r="B77" s="81" t="s">
        <v>472</v>
      </c>
      <c r="D77" s="81" t="s">
        <v>504</v>
      </c>
      <c r="E77" s="1" t="e" cm="1">
        <f t="array" aca="1" ref="E77" ca="1">getShots(metaASSETS[[#This Row],[Asset Name]])</f>
        <v>#VALUE!</v>
      </c>
      <c r="K77" s="82"/>
      <c r="L77" s="82"/>
      <c r="M77" s="82"/>
      <c r="N77" s="82"/>
    </row>
    <row r="78" spans="1:14" ht="23.25" customHeight="1" x14ac:dyDescent="0.25">
      <c r="A78" s="162" t="s">
        <v>509</v>
      </c>
      <c r="B78" s="81" t="s">
        <v>472</v>
      </c>
      <c r="D78" s="81" t="s">
        <v>510</v>
      </c>
      <c r="E78" s="1" t="e" cm="1">
        <f t="array" aca="1" ref="E78" ca="1">getShots(metaASSETS[[#This Row],[Asset Name]])</f>
        <v>#VALUE!</v>
      </c>
      <c r="K78" s="82"/>
      <c r="L78" s="82"/>
      <c r="M78" s="82"/>
      <c r="N78" s="82"/>
    </row>
    <row r="79" spans="1:14" ht="23.25" customHeight="1" x14ac:dyDescent="0.25">
      <c r="K79" s="82"/>
      <c r="L79" s="82"/>
      <c r="M79" s="82"/>
      <c r="N79" s="82"/>
    </row>
    <row r="80" spans="1:14" ht="23.25" customHeight="1" x14ac:dyDescent="0.25">
      <c r="K80" s="82"/>
      <c r="L80" s="82"/>
      <c r="M80" s="82"/>
      <c r="N80" s="82"/>
    </row>
    <row r="81" spans="11:14" ht="23.25" customHeight="1" x14ac:dyDescent="0.25">
      <c r="K81" s="82"/>
      <c r="L81" s="82"/>
      <c r="M81" s="82"/>
      <c r="N81" s="82"/>
    </row>
    <row r="82" spans="11:14" ht="23.25" customHeight="1" x14ac:dyDescent="0.25">
      <c r="K82" s="82"/>
      <c r="L82" s="82"/>
      <c r="M82" s="82"/>
      <c r="N82" s="82"/>
    </row>
    <row r="83" spans="11:14" ht="23.25" customHeight="1" x14ac:dyDescent="0.25">
      <c r="K83" s="82"/>
      <c r="L83" s="82"/>
      <c r="M83" s="82"/>
      <c r="N83" s="82"/>
    </row>
    <row r="84" spans="11:14" ht="23.25" customHeight="1" x14ac:dyDescent="0.25">
      <c r="K84" s="82"/>
      <c r="L84" s="82"/>
      <c r="M84" s="82"/>
      <c r="N84" s="82"/>
    </row>
    <row r="85" spans="11:14" ht="23.25" customHeight="1" x14ac:dyDescent="0.25">
      <c r="K85" s="82"/>
      <c r="L85" s="82"/>
      <c r="M85" s="82"/>
      <c r="N85" s="82"/>
    </row>
    <row r="86" spans="11:14" ht="23.25" customHeight="1" x14ac:dyDescent="0.25">
      <c r="K86" s="82"/>
      <c r="L86" s="82"/>
      <c r="M86" s="82"/>
      <c r="N86" s="82"/>
    </row>
    <row r="87" spans="11:14" ht="23.25" customHeight="1" x14ac:dyDescent="0.25">
      <c r="K87" s="82"/>
      <c r="L87" s="82"/>
      <c r="M87" s="82"/>
      <c r="N87" s="82"/>
    </row>
    <row r="88" spans="11:14" ht="23.25" customHeight="1" x14ac:dyDescent="0.25">
      <c r="K88" s="82"/>
      <c r="L88" s="82"/>
      <c r="M88" s="82"/>
      <c r="N88" s="82"/>
    </row>
    <row r="89" spans="11:14" ht="23.25" customHeight="1" x14ac:dyDescent="0.25">
      <c r="K89" s="82"/>
      <c r="L89" s="82"/>
      <c r="M89" s="82"/>
      <c r="N89" s="82"/>
    </row>
    <row r="90" spans="11:14" ht="23.25" customHeight="1" x14ac:dyDescent="0.25">
      <c r="K90" s="82"/>
      <c r="L90" s="82"/>
      <c r="M90" s="82"/>
      <c r="N90" s="82"/>
    </row>
    <row r="91" spans="11:14" ht="23.25" customHeight="1" x14ac:dyDescent="0.25">
      <c r="K91" s="82"/>
      <c r="L91" s="82"/>
      <c r="M91" s="82"/>
      <c r="N91" s="82"/>
    </row>
    <row r="92" spans="11:14" ht="23.25" customHeight="1" x14ac:dyDescent="0.25">
      <c r="K92" s="82"/>
      <c r="L92" s="82"/>
      <c r="M92" s="82"/>
      <c r="N92" s="82"/>
    </row>
    <row r="93" spans="11:14" ht="23.25" customHeight="1" x14ac:dyDescent="0.25">
      <c r="K93" s="82"/>
      <c r="L93" s="82"/>
      <c r="M93" s="82"/>
      <c r="N93" s="82"/>
    </row>
    <row r="94" spans="11:14" ht="23.25" customHeight="1" x14ac:dyDescent="0.25">
      <c r="K94" s="82"/>
      <c r="L94" s="82"/>
      <c r="M94" s="82"/>
      <c r="N94" s="82"/>
    </row>
    <row r="95" spans="11:14" ht="23.25" customHeight="1" x14ac:dyDescent="0.25">
      <c r="K95" s="82"/>
      <c r="L95" s="82"/>
      <c r="M95" s="82"/>
      <c r="N95" s="82"/>
    </row>
    <row r="96" spans="11:14" ht="23.25" customHeight="1" x14ac:dyDescent="0.25">
      <c r="K96" s="82"/>
      <c r="L96" s="82"/>
      <c r="M96" s="82"/>
      <c r="N96" s="82"/>
    </row>
    <row r="97" spans="11:14" ht="23.25" customHeight="1" x14ac:dyDescent="0.25">
      <c r="K97" s="82"/>
      <c r="L97" s="82"/>
      <c r="M97" s="82"/>
      <c r="N97" s="82"/>
    </row>
    <row r="98" spans="11:14" ht="23.25" customHeight="1" x14ac:dyDescent="0.25">
      <c r="K98" s="82"/>
      <c r="L98" s="82"/>
      <c r="M98" s="82"/>
      <c r="N98" s="82"/>
    </row>
    <row r="99" spans="11:14" ht="23.25" customHeight="1" x14ac:dyDescent="0.25">
      <c r="K99" s="82"/>
      <c r="L99" s="82"/>
      <c r="M99" s="82"/>
      <c r="N99" s="82"/>
    </row>
    <row r="100" spans="11:14" ht="23.25" customHeight="1" x14ac:dyDescent="0.25">
      <c r="K100" s="82"/>
      <c r="L100" s="82"/>
      <c r="M100" s="82"/>
      <c r="N100" s="82"/>
    </row>
    <row r="101" spans="11:14" ht="23.25" customHeight="1" x14ac:dyDescent="0.25">
      <c r="K101" s="82"/>
      <c r="L101" s="82"/>
      <c r="M101" s="82"/>
      <c r="N101" s="82"/>
    </row>
    <row r="102" spans="11:14" ht="23.25" customHeight="1" x14ac:dyDescent="0.25">
      <c r="K102" s="82"/>
      <c r="L102" s="82"/>
      <c r="M102" s="82"/>
      <c r="N102" s="82"/>
    </row>
    <row r="103" spans="11:14" ht="23.25" customHeight="1" x14ac:dyDescent="0.25">
      <c r="K103" s="82"/>
      <c r="L103" s="82"/>
      <c r="M103" s="82"/>
      <c r="N103" s="82"/>
    </row>
    <row r="104" spans="11:14" ht="23.25" customHeight="1" x14ac:dyDescent="0.25">
      <c r="K104" s="82"/>
      <c r="L104" s="82"/>
      <c r="M104" s="82"/>
      <c r="N104" s="82"/>
    </row>
    <row r="105" spans="11:14" ht="23.25" customHeight="1" x14ac:dyDescent="0.25">
      <c r="K105" s="82"/>
      <c r="L105" s="82"/>
      <c r="M105" s="82"/>
      <c r="N105" s="82"/>
    </row>
  </sheetData>
  <sheetProtection selectLockedCells="1" autoFilter="0" selectUnlockedCells="1"/>
  <mergeCells count="1">
    <mergeCell ref="A1:E2"/>
  </mergeCells>
  <phoneticPr fontId="3" type="noConversion"/>
  <pageMargins left="0.7" right="0.7" top="0.75" bottom="0.75" header="0.3" footer="0.3"/>
  <pageSetup paperSize="9" orientation="portrait" horizontalDpi="360" verticalDpi="360"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4E53F177-CFDB-45EF-B363-95F5BF1939FA}">
          <x14:formula1>
            <xm:f>_data_!$L$10:$L$16</xm:f>
          </x14:formula1>
          <xm:sqref>B4:B78</xm:sqref>
        </x14:dataValidation>
      </x14:dataValidations>
    </ext>
    <ext xmlns:x15="http://schemas.microsoft.com/office/spreadsheetml/2010/11/main" uri="{3A4CF648-6AED-40f4-86FF-DC5316D8AED3}">
      <x14:slicerList xmlns:x14="http://schemas.microsoft.com/office/spreadsheetml/2009/9/main">
        <x14:slicer r:id="rId4"/>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E72DF-1D01-4FD9-ABC4-1590A99FBF9F}">
  <sheetPr codeName="Feuil19">
    <tabColor theme="9" tint="-0.499984740745262"/>
  </sheetPr>
  <dimension ref="A1:R54"/>
  <sheetViews>
    <sheetView showGridLines="0" showRowColHeaders="0" zoomScale="115" zoomScaleNormal="115" workbookViewId="0">
      <pane ySplit="3" topLeftCell="A25" activePane="bottomLeft" state="frozen"/>
      <selection pane="bottomLeft" activeCell="N36" sqref="N36"/>
    </sheetView>
  </sheetViews>
  <sheetFormatPr baseColWidth="10" defaultColWidth="16" defaultRowHeight="30" customHeight="1" x14ac:dyDescent="0.25"/>
  <cols>
    <col min="1" max="1" width="16" style="2"/>
    <col min="2" max="2" width="10.28515625" style="2" customWidth="1"/>
    <col min="3" max="5" width="16" style="2"/>
    <col min="6" max="6" width="34.140625" style="2" customWidth="1"/>
    <col min="7" max="7" width="16" style="2" customWidth="1"/>
    <col min="8" max="8" width="16" style="2"/>
    <col min="9" max="9" width="8.28515625" style="2" customWidth="1"/>
    <col min="10" max="11" width="7.28515625" style="2" customWidth="1"/>
    <col min="12" max="12" width="7.5703125" style="2" customWidth="1"/>
    <col min="13" max="13" width="32.85546875" style="2" customWidth="1"/>
    <col min="14" max="14" width="16" style="2"/>
    <col min="15" max="15" width="12.85546875" style="2" customWidth="1"/>
    <col min="16" max="16" width="16" style="2"/>
    <col min="17" max="17" width="10.5703125" style="2" customWidth="1"/>
    <col min="18" max="18" width="19.5703125" style="2" customWidth="1"/>
    <col min="19" max="16384" width="16" style="2"/>
  </cols>
  <sheetData>
    <row r="1" spans="1:18" ht="30" customHeight="1" x14ac:dyDescent="0.25">
      <c r="A1" s="297" t="s">
        <v>511</v>
      </c>
      <c r="B1" s="297"/>
      <c r="C1" s="297"/>
      <c r="D1" s="297"/>
      <c r="E1" s="297"/>
      <c r="F1" s="297"/>
      <c r="G1" s="297"/>
    </row>
    <row r="2" spans="1:18" ht="30" customHeight="1" x14ac:dyDescent="0.25">
      <c r="A2" s="297"/>
      <c r="B2" s="297"/>
      <c r="C2" s="297"/>
      <c r="D2" s="297"/>
      <c r="E2" s="297"/>
      <c r="F2" s="297"/>
      <c r="G2" s="297"/>
      <c r="P2" s="256"/>
      <c r="Q2" s="256"/>
    </row>
    <row r="3" spans="1:18" ht="30" customHeight="1" x14ac:dyDescent="0.25">
      <c r="A3" s="37" t="s">
        <v>343</v>
      </c>
      <c r="B3" s="37" t="s">
        <v>300</v>
      </c>
      <c r="C3" s="37" t="s">
        <v>344</v>
      </c>
      <c r="D3" s="37" t="s">
        <v>345</v>
      </c>
      <c r="E3" s="37" t="s">
        <v>346</v>
      </c>
      <c r="F3" s="37" t="s">
        <v>512</v>
      </c>
      <c r="G3" s="37" t="s">
        <v>513</v>
      </c>
      <c r="I3" s="7" t="s">
        <v>514</v>
      </c>
      <c r="J3" s="3" t="s">
        <v>515</v>
      </c>
      <c r="K3" s="3" t="s">
        <v>516</v>
      </c>
      <c r="L3" s="3" t="s">
        <v>22</v>
      </c>
      <c r="M3" s="3" t="s">
        <v>517</v>
      </c>
      <c r="N3" s="2" t="s">
        <v>343</v>
      </c>
      <c r="O3" s="2" t="s">
        <v>300</v>
      </c>
      <c r="P3" s="3" t="s">
        <v>518</v>
      </c>
      <c r="Q3" s="3" t="s">
        <v>519</v>
      </c>
      <c r="R3" s="3" t="s">
        <v>520</v>
      </c>
    </row>
    <row r="4" spans="1:18" ht="30" customHeight="1" x14ac:dyDescent="0.25">
      <c r="A4" s="37" t="str">
        <f>shotlist[[#This Row],[Shot Name]]</f>
        <v>000_010</v>
      </c>
      <c r="B4" s="2" t="e" vm="49">
        <v>#VALUE!</v>
      </c>
      <c r="C4" s="233">
        <v>1</v>
      </c>
      <c r="D4" s="233">
        <v>339</v>
      </c>
      <c r="E4" s="37">
        <f>metaSHOTS[[#This Row],[End]]-metaSHOTS[[#This Row],[Start]]+1</f>
        <v>339</v>
      </c>
      <c r="F4" s="94" t="str" cm="1">
        <f t="array" aca="1" ref="F4" ca="1">getAssets(metaSHOTS[[#This Row],[Shot]], 1)</f>
        <v>vitrail_00, church_int</v>
      </c>
      <c r="G4" s="94" t="str" cm="1">
        <f t="array" aca="1" ref="G4" ca="1">getAssets(metaSHOTS[[#This Row],[Shot]], 2)</f>
        <v>-</v>
      </c>
      <c r="H4" s="89"/>
      <c r="I4" s="8"/>
      <c r="J4" s="11"/>
      <c r="K4" s="11"/>
      <c r="L4" s="258" t="str">
        <f>IF(NOT(ISBLANK(I4)), J4+K4, "")</f>
        <v/>
      </c>
      <c r="M4" s="252"/>
      <c r="N4" s="2" t="str">
        <f>metaSHOTS[[#This Row],[Shot]]</f>
        <v>000_010</v>
      </c>
      <c r="O4" s="2" t="e" vm="1">
        <f>metaSHOTS[[#This Row],[Thumbnail]]</f>
        <v>#VALUE!</v>
      </c>
    </row>
    <row r="5" spans="1:18" ht="30" customHeight="1" x14ac:dyDescent="0.25">
      <c r="A5" s="37" t="str">
        <f>shotlist[[#This Row],[Shot Name]]</f>
        <v>010_010</v>
      </c>
      <c r="B5" s="83" t="e" vm="50">
        <v>#VALUE!</v>
      </c>
      <c r="C5" s="233">
        <v>1</v>
      </c>
      <c r="D5" s="233">
        <v>93</v>
      </c>
      <c r="E5" s="37">
        <f>metaSHOTS[[#This Row],[End]]-metaSHOTS[[#This Row],[Start]]+1</f>
        <v>93</v>
      </c>
      <c r="F5" s="94" t="str" cm="1">
        <f t="array" aca="1" ref="F5" ca="1">getAssets(metaSHOTS[[#This Row],[Shot]], 1)</f>
        <v>vitrail_00</v>
      </c>
      <c r="G5" s="94" t="str" cm="1">
        <f t="array" aca="1" ref="G5" ca="1">getAssets(metaSHOTS[[#This Row],[Shot]], 2)</f>
        <v>-</v>
      </c>
      <c r="H5" s="89"/>
      <c r="I5" s="8"/>
      <c r="J5" s="11"/>
      <c r="K5" s="11"/>
      <c r="L5" s="258" t="str">
        <f t="shared" ref="L5:L51" si="0">IF(NOT(ISBLANK(I5)), J5+K5, "")</f>
        <v/>
      </c>
      <c r="M5" s="8"/>
      <c r="N5" s="2" t="str">
        <f>metaSHOTS[[#This Row],[Shot]]</f>
        <v>010_010</v>
      </c>
      <c r="O5" s="2" t="e" vm="2">
        <f>metaSHOTS[[#This Row],[Thumbnail]]</f>
        <v>#VALUE!</v>
      </c>
    </row>
    <row r="6" spans="1:18" ht="30" customHeight="1" x14ac:dyDescent="0.25">
      <c r="A6" s="37" t="str">
        <f>shotlist[[#This Row],[Shot Name]]</f>
        <v>010_040</v>
      </c>
      <c r="B6" s="83" t="e" vm="51">
        <v>#VALUE!</v>
      </c>
      <c r="C6" s="233">
        <v>1</v>
      </c>
      <c r="D6" s="233">
        <v>111</v>
      </c>
      <c r="E6" s="37">
        <f>metaSHOTS[[#This Row],[End]]-metaSHOTS[[#This Row],[Start]]+1</f>
        <v>111</v>
      </c>
      <c r="F6" s="94" t="str" cm="1">
        <f t="array" aca="1" ref="F6" ca="1">getAssets(metaSHOTS[[#This Row],[Shot]], 1)</f>
        <v>joan, hill</v>
      </c>
      <c r="G6" s="94" t="str" cm="1">
        <f t="array" aca="1" ref="G6" ca="1">getAssets(metaSHOTS[[#This Row],[Shot]], 2)</f>
        <v>soldier_02, soldier_03, villager_01, army_fr, weapon_05, broken_vitrail</v>
      </c>
      <c r="H6" s="89"/>
      <c r="I6" s="8"/>
      <c r="J6" s="11"/>
      <c r="K6" s="11"/>
      <c r="L6" s="258" t="str">
        <f t="shared" si="0"/>
        <v/>
      </c>
      <c r="M6" s="8"/>
      <c r="N6" s="2" t="str">
        <f>metaSHOTS[[#This Row],[Shot]]</f>
        <v>010_040</v>
      </c>
      <c r="O6" s="2" t="e" vm="3">
        <f>metaSHOTS[[#This Row],[Thumbnail]]</f>
        <v>#VALUE!</v>
      </c>
    </row>
    <row r="7" spans="1:18" ht="30" customHeight="1" x14ac:dyDescent="0.25">
      <c r="A7" s="37" t="str">
        <f>shotlist[[#This Row],[Shot Name]]</f>
        <v>010_050</v>
      </c>
      <c r="B7" s="83" t="e" vm="52">
        <v>#VALUE!</v>
      </c>
      <c r="C7" s="233">
        <v>1</v>
      </c>
      <c r="D7" s="233">
        <v>65</v>
      </c>
      <c r="E7" s="37">
        <f>metaSHOTS[[#This Row],[End]]-metaSHOTS[[#This Row],[Start]]+1</f>
        <v>65</v>
      </c>
      <c r="F7" s="94" t="str" cm="1">
        <f t="array" aca="1" ref="F7" ca="1">getAssets(metaSHOTS[[#This Row],[Shot]], 1)</f>
        <v>joan</v>
      </c>
      <c r="G7" s="94" t="str" cm="1">
        <f t="array" aca="1" ref="G7" ca="1">getAssets(metaSHOTS[[#This Row],[Shot]], 2)</f>
        <v>soldier_02, soldier_03, villager_01, army_fr, weapon_05, broken_vitrail</v>
      </c>
      <c r="H7" s="89"/>
      <c r="I7" s="8"/>
      <c r="J7" s="11"/>
      <c r="K7" s="11"/>
      <c r="L7" s="258" t="str">
        <f t="shared" si="0"/>
        <v/>
      </c>
      <c r="M7" s="8"/>
      <c r="N7" s="2" t="str">
        <f>metaSHOTS[[#This Row],[Shot]]</f>
        <v>010_050</v>
      </c>
      <c r="O7" s="2" t="e" vm="4">
        <f>metaSHOTS[[#This Row],[Thumbnail]]</f>
        <v>#VALUE!</v>
      </c>
    </row>
    <row r="8" spans="1:18" ht="30" customHeight="1" x14ac:dyDescent="0.25">
      <c r="A8" s="37" t="str">
        <f>shotlist[[#This Row],[Shot Name]]</f>
        <v>010_060</v>
      </c>
      <c r="B8" s="83" t="e" vm="53">
        <v>#VALUE!</v>
      </c>
      <c r="C8" s="233">
        <v>1</v>
      </c>
      <c r="D8" s="233">
        <v>76</v>
      </c>
      <c r="E8" s="37">
        <f>metaSHOTS[[#This Row],[End]]-metaSHOTS[[#This Row],[Start]]+1</f>
        <v>76</v>
      </c>
      <c r="F8" s="94" t="str" cm="1">
        <f t="array" aca="1" ref="F8" ca="1">getAssets(metaSHOTS[[#This Row],[Shot]], 1)</f>
        <v>joan, hill</v>
      </c>
      <c r="G8" s="94" t="str" cm="1">
        <f t="array" aca="1" ref="G8" ca="1">getAssets(metaSHOTS[[#This Row],[Shot]], 2)</f>
        <v>soldier_02, soldier_03, villager_01, army_fr, weapon_05, broken_vitrail</v>
      </c>
      <c r="H8" s="89"/>
      <c r="I8" s="8"/>
      <c r="J8" s="11"/>
      <c r="K8" s="11"/>
      <c r="L8" s="258" t="str">
        <f t="shared" si="0"/>
        <v/>
      </c>
      <c r="M8" s="8"/>
      <c r="N8" s="2" t="str">
        <f>metaSHOTS[[#This Row],[Shot]]</f>
        <v>010_060</v>
      </c>
      <c r="O8" s="2" t="e" vm="5">
        <f>metaSHOTS[[#This Row],[Thumbnail]]</f>
        <v>#VALUE!</v>
      </c>
    </row>
    <row r="9" spans="1:18" ht="30" customHeight="1" x14ac:dyDescent="0.25">
      <c r="A9" s="37" t="str">
        <f>shotlist[[#This Row],[Shot Name]]</f>
        <v>010_070</v>
      </c>
      <c r="B9" s="83" t="e" vm="54">
        <v>#VALUE!</v>
      </c>
      <c r="C9" s="233">
        <v>1</v>
      </c>
      <c r="D9" s="233">
        <v>41</v>
      </c>
      <c r="E9" s="37">
        <f>metaSHOTS[[#This Row],[End]]-metaSHOTS[[#This Row],[Start]]+1</f>
        <v>41</v>
      </c>
      <c r="F9" s="94" t="str" cm="1">
        <f t="array" aca="1" ref="F9" ca="1">getAssets(metaSHOTS[[#This Row],[Shot]], 1)</f>
        <v>joan</v>
      </c>
      <c r="G9" s="94" t="str" cm="1">
        <f t="array" aca="1" ref="G9" ca="1">getAssets(metaSHOTS[[#This Row],[Shot]], 2)</f>
        <v>soldier_02, soldier_03, villager_01, army_fr, weapon_05, broken_vitrail</v>
      </c>
      <c r="H9" s="89"/>
      <c r="I9" s="8"/>
      <c r="J9" s="11"/>
      <c r="K9" s="11"/>
      <c r="L9" s="258" t="str">
        <f t="shared" si="0"/>
        <v/>
      </c>
      <c r="M9" s="8"/>
      <c r="N9" s="2" t="str">
        <f>metaSHOTS[[#This Row],[Shot]]</f>
        <v>010_070</v>
      </c>
      <c r="O9" s="2" t="e" vm="6">
        <f>metaSHOTS[[#This Row],[Thumbnail]]</f>
        <v>#VALUE!</v>
      </c>
    </row>
    <row r="10" spans="1:18" ht="30" customHeight="1" x14ac:dyDescent="0.25">
      <c r="A10" s="37" t="str">
        <f>shotlist[[#This Row],[Shot Name]]</f>
        <v>010_080</v>
      </c>
      <c r="B10" s="83" t="e" vm="55">
        <v>#VALUE!</v>
      </c>
      <c r="C10" s="233">
        <v>1</v>
      </c>
      <c r="D10" s="233">
        <v>18</v>
      </c>
      <c r="E10" s="37">
        <f>metaSHOTS[[#This Row],[End]]-metaSHOTS[[#This Row],[Start]]+1</f>
        <v>18</v>
      </c>
      <c r="F10" s="94" t="str" cm="1">
        <f t="array" aca="1" ref="F10" ca="1">getAssets(metaSHOTS[[#This Row],[Shot]], 1)</f>
        <v>joan, hill</v>
      </c>
      <c r="G10" s="94" t="str" cm="1">
        <f t="array" aca="1" ref="G10" ca="1">getAssets(metaSHOTS[[#This Row],[Shot]], 2)</f>
        <v>soldier_02, soldier_03, villager_01, army_fr, weapon_05, broken_vitrail</v>
      </c>
      <c r="H10" s="89"/>
      <c r="I10" s="8"/>
      <c r="J10" s="11"/>
      <c r="K10" s="11"/>
      <c r="L10" s="258" t="str">
        <f t="shared" si="0"/>
        <v/>
      </c>
      <c r="M10" s="8"/>
      <c r="N10" s="2" t="str">
        <f>metaSHOTS[[#This Row],[Shot]]</f>
        <v>010_080</v>
      </c>
      <c r="O10" s="2" t="e" vm="7">
        <f>metaSHOTS[[#This Row],[Thumbnail]]</f>
        <v>#VALUE!</v>
      </c>
    </row>
    <row r="11" spans="1:18" ht="30" customHeight="1" x14ac:dyDescent="0.25">
      <c r="A11" s="37" t="str">
        <f>shotlist[[#This Row],[Shot Name]]</f>
        <v>010_090</v>
      </c>
      <c r="B11" s="83" t="e" vm="56">
        <v>#VALUE!</v>
      </c>
      <c r="C11" s="233">
        <v>2</v>
      </c>
      <c r="D11" s="233">
        <v>9</v>
      </c>
      <c r="E11" s="37">
        <f>metaSHOTS[[#This Row],[End]]-metaSHOTS[[#This Row],[Start]]+1</f>
        <v>8</v>
      </c>
      <c r="F11" s="94" t="str" cm="1">
        <f t="array" aca="1" ref="F11" ca="1">getAssets(metaSHOTS[[#This Row],[Shot]], 1)</f>
        <v>joan, L_arm, hill</v>
      </c>
      <c r="G11" s="94" t="str" cm="1">
        <f t="array" aca="1" ref="G11" ca="1">getAssets(metaSHOTS[[#This Row],[Shot]], 2)</f>
        <v>soldier_02, soldier_03, villager_01, army_fr, weapon_05, broken_vitrail</v>
      </c>
      <c r="H11" s="89"/>
      <c r="I11" s="8" t="s">
        <v>521</v>
      </c>
      <c r="J11" s="11">
        <v>-1</v>
      </c>
      <c r="K11" s="11"/>
      <c r="L11" s="258">
        <f t="shared" si="0"/>
        <v>-1</v>
      </c>
      <c r="M11" s="8"/>
      <c r="N11" s="2" t="str">
        <f>metaSHOTS[[#This Row],[Shot]]</f>
        <v>010_090</v>
      </c>
      <c r="O11" s="2" t="e" vm="8">
        <f>metaSHOTS[[#This Row],[Thumbnail]]</f>
        <v>#VALUE!</v>
      </c>
      <c r="R11" s="2" t="s">
        <v>341</v>
      </c>
    </row>
    <row r="12" spans="1:18" ht="30" customHeight="1" x14ac:dyDescent="0.25">
      <c r="A12" s="37" t="str">
        <f>shotlist[[#This Row],[Shot Name]]</f>
        <v>010_100</v>
      </c>
      <c r="B12" s="83" t="e" vm="57">
        <v>#VALUE!</v>
      </c>
      <c r="C12" s="233">
        <v>1</v>
      </c>
      <c r="D12" s="233">
        <v>75</v>
      </c>
      <c r="E12" s="37">
        <f>metaSHOTS[[#This Row],[End]]-metaSHOTS[[#This Row],[Start]]+1</f>
        <v>75</v>
      </c>
      <c r="F12" s="94" t="str" cm="1">
        <f t="array" aca="1" ref="F12" ca="1">getAssets(metaSHOTS[[#This Row],[Shot]], 1)</f>
        <v>joan</v>
      </c>
      <c r="G12" s="94" t="str" cm="1">
        <f t="array" aca="1" ref="G12" ca="1">getAssets(metaSHOTS[[#This Row],[Shot]], 2)</f>
        <v>soldier_02, soldier_03, villager_01, army_fr, weapon_05, broken_vitrail</v>
      </c>
      <c r="H12" s="89"/>
      <c r="I12" s="8"/>
      <c r="J12" s="11"/>
      <c r="K12" s="11"/>
      <c r="L12" s="258" t="str">
        <f t="shared" si="0"/>
        <v/>
      </c>
      <c r="M12" s="8"/>
      <c r="N12" s="2" t="str">
        <f>metaSHOTS[[#This Row],[Shot]]</f>
        <v>010_100</v>
      </c>
      <c r="O12" s="2" t="e" vm="9">
        <f>metaSHOTS[[#This Row],[Thumbnail]]</f>
        <v>#VALUE!</v>
      </c>
      <c r="P12" s="2" t="s">
        <v>522</v>
      </c>
    </row>
    <row r="13" spans="1:18" ht="30" customHeight="1" x14ac:dyDescent="0.25">
      <c r="A13" s="37" t="str">
        <f>shotlist[[#This Row],[Shot Name]]</f>
        <v>010_110</v>
      </c>
      <c r="B13" s="83" t="e" vm="58">
        <v>#VALUE!</v>
      </c>
      <c r="C13" s="233">
        <v>1</v>
      </c>
      <c r="D13" s="233">
        <v>52</v>
      </c>
      <c r="E13" s="37">
        <f>metaSHOTS[[#This Row],[End]]-metaSHOTS[[#This Row],[Start]]+1</f>
        <v>52</v>
      </c>
      <c r="F13" s="94" t="str" cm="1">
        <f t="array" aca="1" ref="F13" ca="1">getAssets(metaSHOTS[[#This Row],[Shot]], 1)</f>
        <v>joan, L_arm</v>
      </c>
      <c r="G13" s="94" t="str" cm="1">
        <f t="array" aca="1" ref="G13" ca="1">getAssets(metaSHOTS[[#This Row],[Shot]], 2)</f>
        <v>weapon_05, broken_vitrail</v>
      </c>
      <c r="H13" s="89"/>
      <c r="I13" s="8"/>
      <c r="J13" s="11"/>
      <c r="K13" s="11"/>
      <c r="L13" s="258" t="str">
        <f t="shared" si="0"/>
        <v/>
      </c>
      <c r="M13" s="8"/>
      <c r="N13" s="2" t="str">
        <f>metaSHOTS[[#This Row],[Shot]]</f>
        <v>010_110</v>
      </c>
      <c r="O13" s="2" t="e" vm="10">
        <f>metaSHOTS[[#This Row],[Thumbnail]]</f>
        <v>#VALUE!</v>
      </c>
      <c r="P13" s="2" t="s">
        <v>522</v>
      </c>
    </row>
    <row r="14" spans="1:18" ht="30" customHeight="1" x14ac:dyDescent="0.25">
      <c r="A14" s="37" t="str">
        <f>shotlist[[#This Row],[Shot Name]]</f>
        <v>010_160</v>
      </c>
      <c r="B14" s="83" t="e" vm="59">
        <v>#VALUE!</v>
      </c>
      <c r="C14" s="233">
        <v>1</v>
      </c>
      <c r="D14" s="233">
        <v>21</v>
      </c>
      <c r="E14" s="37">
        <f>metaSHOTS[[#This Row],[End]]-metaSHOTS[[#This Row],[Start]]+1</f>
        <v>21</v>
      </c>
      <c r="F14" s="94" t="str" cm="1">
        <f t="array" aca="1" ref="F14" ca="1">getAssets(metaSHOTS[[#This Row],[Shot]], 1)</f>
        <v>joan</v>
      </c>
      <c r="G14" s="94" t="str" cm="1">
        <f t="array" aca="1" ref="G14" ca="1">getAssets(metaSHOTS[[#This Row],[Shot]], 2)</f>
        <v>weapon_05, broken_vitrail</v>
      </c>
      <c r="H14" s="89"/>
      <c r="I14" s="8"/>
      <c r="J14" s="11"/>
      <c r="K14" s="11"/>
      <c r="L14" s="258" t="str">
        <f t="shared" si="0"/>
        <v/>
      </c>
      <c r="M14" s="8"/>
      <c r="N14" s="2" t="str">
        <f>metaSHOTS[[#This Row],[Shot]]</f>
        <v>010_160</v>
      </c>
      <c r="O14" s="2" t="e" vm="11">
        <f>metaSHOTS[[#This Row],[Thumbnail]]</f>
        <v>#VALUE!</v>
      </c>
    </row>
    <row r="15" spans="1:18" ht="30" customHeight="1" x14ac:dyDescent="0.25">
      <c r="A15" s="37" t="str">
        <f>shotlist[[#This Row],[Shot Name]]</f>
        <v>010_170</v>
      </c>
      <c r="B15" s="83" t="e" vm="60">
        <v>#VALUE!</v>
      </c>
      <c r="C15" s="233">
        <v>1</v>
      </c>
      <c r="D15" s="233">
        <v>17</v>
      </c>
      <c r="E15" s="37">
        <f>metaSHOTS[[#This Row],[End]]-metaSHOTS[[#This Row],[Start]]+1</f>
        <v>17</v>
      </c>
      <c r="F15" s="94" t="str" cm="1">
        <f t="array" aca="1" ref="F15" ca="1">getAssets(metaSHOTS[[#This Row],[Shot]], 1)</f>
        <v>joan, L_arm, hill</v>
      </c>
      <c r="G15" s="94" t="str" cm="1">
        <f t="array" aca="1" ref="G15" ca="1">getAssets(metaSHOTS[[#This Row],[Shot]], 2)</f>
        <v>soldier_02, soldier_03, villager_01, army_fr, weapon_05, broken_vitrail</v>
      </c>
      <c r="H15" s="89"/>
      <c r="I15" s="8"/>
      <c r="J15" s="11"/>
      <c r="K15" s="11"/>
      <c r="L15" s="258" t="str">
        <f t="shared" si="0"/>
        <v/>
      </c>
      <c r="M15" s="8"/>
      <c r="N15" s="2" t="str">
        <f>metaSHOTS[[#This Row],[Shot]]</f>
        <v>010_170</v>
      </c>
      <c r="O15" s="2" t="e" vm="12">
        <f>metaSHOTS[[#This Row],[Thumbnail]]</f>
        <v>#VALUE!</v>
      </c>
    </row>
    <row r="16" spans="1:18" ht="30" customHeight="1" x14ac:dyDescent="0.25">
      <c r="A16" s="37" t="str">
        <f>shotlist[[#This Row],[Shot Name]]</f>
        <v>010_180</v>
      </c>
      <c r="B16" s="83" t="e" vm="61">
        <v>#VALUE!</v>
      </c>
      <c r="C16" s="233">
        <v>1</v>
      </c>
      <c r="D16" s="233">
        <v>124</v>
      </c>
      <c r="E16" s="37">
        <f>metaSHOTS[[#This Row],[End]]-metaSHOTS[[#This Row],[Start]]+1</f>
        <v>124</v>
      </c>
      <c r="F16" s="94" t="str" cm="1">
        <f t="array" aca="1" ref="F16" ca="1">getAssets(metaSHOTS[[#This Row],[Shot]], 1)</f>
        <v>joan, L_arm, hill</v>
      </c>
      <c r="G16" s="94" t="str" cm="1">
        <f t="array" aca="1" ref="G16" ca="1">getAssets(metaSHOTS[[#This Row],[Shot]], 2)</f>
        <v>soldier_02, soldier_03, villager_01, army_fr, weapon_05, broken_vitrail</v>
      </c>
      <c r="H16" s="89"/>
      <c r="I16" s="8"/>
      <c r="J16" s="11"/>
      <c r="K16" s="11"/>
      <c r="L16" s="258" t="str">
        <f t="shared" si="0"/>
        <v/>
      </c>
      <c r="M16" s="8"/>
      <c r="N16" s="2" t="str">
        <f>metaSHOTS[[#This Row],[Shot]]</f>
        <v>010_180</v>
      </c>
      <c r="O16" s="2" t="e" vm="13">
        <f>metaSHOTS[[#This Row],[Thumbnail]]</f>
        <v>#VALUE!</v>
      </c>
      <c r="P16" s="2" t="s">
        <v>522</v>
      </c>
    </row>
    <row r="17" spans="1:18" s="92" customFormat="1" ht="30" customHeight="1" x14ac:dyDescent="0.25">
      <c r="A17" s="83" t="str">
        <f>shotlist[[#This Row],[Shot Name]]</f>
        <v>010_190</v>
      </c>
      <c r="B17" s="83" t="e" vm="62">
        <v>#VALUE!</v>
      </c>
      <c r="C17" s="233">
        <v>1</v>
      </c>
      <c r="D17" s="233">
        <v>121</v>
      </c>
      <c r="E17" s="37">
        <f>metaSHOTS[[#This Row],[End]]-metaSHOTS[[#This Row],[Start]]+1</f>
        <v>121</v>
      </c>
      <c r="F17" s="94" t="str" cm="1">
        <f t="array" aca="1" ref="F17" ca="1">getAssets(metaSHOTS[[#This Row],[Shot]], 1)</f>
        <v>joan</v>
      </c>
      <c r="G17" s="94" t="str" cm="1">
        <f t="array" aca="1" ref="G17" ca="1">getAssets(metaSHOTS[[#This Row],[Shot]], 2)</f>
        <v>soldier_02, soldier_03, villager_01, army_fr, weapon_05, broken_vitrail</v>
      </c>
      <c r="H17" s="216"/>
      <c r="I17" s="180"/>
      <c r="J17" s="254"/>
      <c r="K17" s="254"/>
      <c r="L17" s="258" t="str">
        <f t="shared" si="0"/>
        <v/>
      </c>
      <c r="M17" s="180"/>
      <c r="N17" s="2" t="str">
        <f>metaSHOTS[[#This Row],[Shot]]</f>
        <v>010_190</v>
      </c>
      <c r="O17" s="2" t="e" vm="14">
        <f>metaSHOTS[[#This Row],[Thumbnail]]</f>
        <v>#VALUE!</v>
      </c>
      <c r="R17" s="2"/>
    </row>
    <row r="18" spans="1:18" ht="30" customHeight="1" x14ac:dyDescent="0.25">
      <c r="A18" s="37" t="str">
        <f>shotlist[[#This Row],[Shot Name]]</f>
        <v>010_200</v>
      </c>
      <c r="B18" s="83" t="e" vm="63">
        <v>#VALUE!</v>
      </c>
      <c r="C18" s="233">
        <v>1</v>
      </c>
      <c r="D18" s="233">
        <v>121</v>
      </c>
      <c r="E18" s="37">
        <f>metaSHOTS[[#This Row],[End]]-metaSHOTS[[#This Row],[Start]]+1</f>
        <v>121</v>
      </c>
      <c r="F18" s="94" t="str" cm="1">
        <f t="array" aca="1" ref="F18" ca="1">getAssets(metaSHOTS[[#This Row],[Shot]], 1)</f>
        <v>joan, L_arm</v>
      </c>
      <c r="G18" s="94" t="str" cm="1">
        <f t="array" aca="1" ref="G18" ca="1">getAssets(metaSHOTS[[#This Row],[Shot]], 2)</f>
        <v>soldier_02, soldier_03, villager_01, army_fr, weapon_05, broken_vitrail</v>
      </c>
      <c r="H18" s="89"/>
      <c r="I18" s="8"/>
      <c r="J18" s="11"/>
      <c r="K18" s="11"/>
      <c r="L18" s="258" t="str">
        <f t="shared" si="0"/>
        <v/>
      </c>
      <c r="M18" s="8" t="s">
        <v>523</v>
      </c>
      <c r="N18" s="2" t="str">
        <f>metaSHOTS[[#This Row],[Shot]]</f>
        <v>010_200</v>
      </c>
      <c r="O18" s="2" t="e" vm="15">
        <f>metaSHOTS[[#This Row],[Thumbnail]]</f>
        <v>#VALUE!</v>
      </c>
    </row>
    <row r="19" spans="1:18" ht="30" customHeight="1" x14ac:dyDescent="0.25">
      <c r="A19" s="37" t="str">
        <f>shotlist[[#This Row],[Shot Name]]</f>
        <v>020_020</v>
      </c>
      <c r="B19" s="83" t="e" vm="64">
        <v>#VALUE!</v>
      </c>
      <c r="C19" s="233">
        <v>1</v>
      </c>
      <c r="D19" s="233">
        <v>102</v>
      </c>
      <c r="E19" s="37">
        <f>metaSHOTS[[#This Row],[End]]-metaSHOTS[[#This Row],[Start]]+1</f>
        <v>102</v>
      </c>
      <c r="F19" s="94" t="str" cm="1">
        <f t="array" aca="1" ref="F19" ca="1">getAssets(metaSHOTS[[#This Row],[Shot]], 1)</f>
        <v>joan</v>
      </c>
      <c r="G19" s="94" t="str" cm="1">
        <f t="array" aca="1" ref="G19" ca="1">getAssets(metaSHOTS[[#This Row],[Shot]], 2)</f>
        <v>soldier_02, soldier_03, villager_01, army_fr, weapon_05, broken_vitrail</v>
      </c>
      <c r="H19" s="89"/>
      <c r="I19" s="8"/>
      <c r="J19" s="11"/>
      <c r="K19" s="11"/>
      <c r="L19" s="258" t="str">
        <f t="shared" si="0"/>
        <v/>
      </c>
      <c r="M19" s="8"/>
      <c r="N19" s="2" t="str">
        <f>metaSHOTS[[#This Row],[Shot]]</f>
        <v>020_020</v>
      </c>
      <c r="O19" s="2" t="e" vm="16">
        <f>metaSHOTS[[#This Row],[Thumbnail]]</f>
        <v>#VALUE!</v>
      </c>
    </row>
    <row r="20" spans="1:18" ht="30" customHeight="1" x14ac:dyDescent="0.25">
      <c r="A20" s="37" t="str">
        <f>shotlist[[#This Row],[Shot Name]]</f>
        <v>020_030</v>
      </c>
      <c r="B20" s="83" t="e" vm="65">
        <v>#VALUE!</v>
      </c>
      <c r="C20" s="233">
        <v>1</v>
      </c>
      <c r="D20" s="233">
        <v>107</v>
      </c>
      <c r="E20" s="37">
        <f>metaSHOTS[[#This Row],[End]]-metaSHOTS[[#This Row],[Start]]+1</f>
        <v>107</v>
      </c>
      <c r="F20" s="94" t="str" cm="1">
        <f t="array" aca="1" ref="F20" ca="1">getAssets(metaSHOTS[[#This Row],[Shot]], 1)</f>
        <v>joan, L_arm, hill</v>
      </c>
      <c r="G20" s="94" t="str" cm="1">
        <f t="array" aca="1" ref="G20" ca="1">getAssets(metaSHOTS[[#This Row],[Shot]], 2)</f>
        <v>soldier_02, soldier_03, villager_01, army_fr, weapon_05, broken_vitrail</v>
      </c>
      <c r="H20" s="89"/>
      <c r="I20" s="8"/>
      <c r="J20" s="11"/>
      <c r="K20" s="11"/>
      <c r="L20" s="258" t="str">
        <f t="shared" si="0"/>
        <v/>
      </c>
      <c r="M20" s="8"/>
      <c r="N20" s="2" t="str">
        <f>metaSHOTS[[#This Row],[Shot]]</f>
        <v>020_030</v>
      </c>
      <c r="O20" s="2" t="e" vm="17">
        <f>metaSHOTS[[#This Row],[Thumbnail]]</f>
        <v>#VALUE!</v>
      </c>
    </row>
    <row r="21" spans="1:18" ht="30" customHeight="1" x14ac:dyDescent="0.25">
      <c r="A21" s="37" t="str">
        <f>shotlist[[#This Row],[Shot Name]]</f>
        <v>020_040</v>
      </c>
      <c r="B21" s="83" t="e" vm="66">
        <v>#VALUE!</v>
      </c>
      <c r="C21" s="233">
        <v>1</v>
      </c>
      <c r="D21" s="233">
        <v>43</v>
      </c>
      <c r="E21" s="37">
        <f>metaSHOTS[[#This Row],[End]]-metaSHOTS[[#This Row],[Start]]+1</f>
        <v>43</v>
      </c>
      <c r="F21" s="94" t="str" cm="1">
        <f t="array" aca="1" ref="F21" ca="1">getAssets(metaSHOTS[[#This Row],[Shot]], 1)</f>
        <v>joan, L_arm</v>
      </c>
      <c r="G21" s="94" t="str" cm="1">
        <f t="array" aca="1" ref="G21" ca="1">getAssets(metaSHOTS[[#This Row],[Shot]], 2)</f>
        <v>soldier_02, soldier_03, villager_01, army_fr, weapon_05, broken_vitrail</v>
      </c>
      <c r="H21" s="89"/>
      <c r="I21" s="8"/>
      <c r="J21" s="11"/>
      <c r="K21" s="11"/>
      <c r="L21" s="258" t="str">
        <f t="shared" si="0"/>
        <v/>
      </c>
      <c r="M21" s="8"/>
      <c r="N21" s="2" t="str">
        <f>metaSHOTS[[#This Row],[Shot]]</f>
        <v>020_040</v>
      </c>
      <c r="O21" s="2" t="e" vm="18">
        <f>metaSHOTS[[#This Row],[Thumbnail]]</f>
        <v>#VALUE!</v>
      </c>
    </row>
    <row r="22" spans="1:18" ht="30" customHeight="1" x14ac:dyDescent="0.25">
      <c r="A22" s="37" t="str">
        <f>shotlist[[#This Row],[Shot Name]]</f>
        <v>020_050</v>
      </c>
      <c r="B22" s="83" t="e" vm="67">
        <v>#VALUE!</v>
      </c>
      <c r="C22" s="233">
        <v>1</v>
      </c>
      <c r="D22" s="233">
        <v>227</v>
      </c>
      <c r="E22" s="37">
        <f>metaSHOTS[[#This Row],[End]]-metaSHOTS[[#This Row],[Start]]+1</f>
        <v>227</v>
      </c>
      <c r="F22" s="94" t="str" cm="1">
        <f t="array" aca="1" ref="F22" ca="1">getAssets(metaSHOTS[[#This Row],[Shot]], 1)</f>
        <v>joan, L_arm</v>
      </c>
      <c r="G22" s="94" t="str" cm="1">
        <f t="array" aca="1" ref="G22" ca="1">getAssets(metaSHOTS[[#This Row],[Shot]], 2)</f>
        <v>soldier_02, soldier_03, villager_01, army_fr, weapon_05, broken_vitrail</v>
      </c>
      <c r="H22" s="89"/>
      <c r="I22" s="8" t="s">
        <v>521</v>
      </c>
      <c r="J22" s="11"/>
      <c r="K22" s="11">
        <v>-13</v>
      </c>
      <c r="L22" s="258">
        <f t="shared" si="0"/>
        <v>-13</v>
      </c>
      <c r="M22" s="8"/>
      <c r="N22" s="2" t="str">
        <f>metaSHOTS[[#This Row],[Shot]]</f>
        <v>020_050</v>
      </c>
      <c r="O22" s="2" t="e" vm="19">
        <f>metaSHOTS[[#This Row],[Thumbnail]]</f>
        <v>#VALUE!</v>
      </c>
      <c r="R22" s="2" t="s">
        <v>341</v>
      </c>
    </row>
    <row r="23" spans="1:18" ht="30" customHeight="1" x14ac:dyDescent="0.25">
      <c r="A23" s="37" t="str">
        <f>shotlist[[#This Row],[Shot Name]]</f>
        <v>030_020</v>
      </c>
      <c r="B23" s="83" t="e" vm="68">
        <v>#VALUE!</v>
      </c>
      <c r="C23" s="233">
        <v>1</v>
      </c>
      <c r="D23" s="233">
        <v>290</v>
      </c>
      <c r="E23" s="37">
        <f>metaSHOTS[[#This Row],[End]]-metaSHOTS[[#This Row],[Start]]+1</f>
        <v>290</v>
      </c>
      <c r="F23" s="94" t="str" cm="1">
        <f t="array" aca="1" ref="F23" ca="1">getAssets(metaSHOTS[[#This Row],[Shot]], 1)</f>
        <v>joan</v>
      </c>
      <c r="G23" s="94" t="str" cm="1">
        <f t="array" aca="1" ref="G23" ca="1">getAssets(metaSHOTS[[#This Row],[Shot]], 2)</f>
        <v>L_arm, soldier_02, soldier_03, villager_01, army_fr, weapon_05, broken_vitrail</v>
      </c>
      <c r="H23" s="89"/>
      <c r="I23" s="8"/>
      <c r="J23" s="11"/>
      <c r="K23" s="11"/>
      <c r="L23" s="258" t="str">
        <f t="shared" si="0"/>
        <v/>
      </c>
      <c r="M23" s="8"/>
      <c r="N23" s="2" t="str">
        <f>metaSHOTS[[#This Row],[Shot]]</f>
        <v>030_020</v>
      </c>
      <c r="O23" s="2" t="e" vm="20">
        <f>metaSHOTS[[#This Row],[Thumbnail]]</f>
        <v>#VALUE!</v>
      </c>
    </row>
    <row r="24" spans="1:18" ht="30" customHeight="1" x14ac:dyDescent="0.25">
      <c r="A24" s="37" t="str">
        <f>shotlist[[#This Row],[Shot Name]]</f>
        <v>030_030</v>
      </c>
      <c r="B24" s="83" t="e" vm="69">
        <v>#VALUE!</v>
      </c>
      <c r="C24" s="233">
        <v>1</v>
      </c>
      <c r="D24" s="233">
        <v>141</v>
      </c>
      <c r="E24" s="37">
        <f>metaSHOTS[[#This Row],[End]]-metaSHOTS[[#This Row],[Start]]+1</f>
        <v>141</v>
      </c>
      <c r="F24" s="94" t="str" cm="1">
        <f t="array" aca="1" ref="F24" ca="1">getAssets(metaSHOTS[[#This Row],[Shot]], 1)</f>
        <v>joan</v>
      </c>
      <c r="G24" s="94" t="str" cm="1">
        <f t="array" aca="1" ref="G24" ca="1">getAssets(metaSHOTS[[#This Row],[Shot]], 2)</f>
        <v>soldier_02, soldier_03, villager_01, army_fr, weapon_05, broken_vitrail</v>
      </c>
      <c r="H24" s="89"/>
      <c r="I24" s="8"/>
      <c r="J24" s="11"/>
      <c r="K24" s="11"/>
      <c r="L24" s="258" t="str">
        <f t="shared" si="0"/>
        <v/>
      </c>
      <c r="M24" s="8"/>
      <c r="N24" s="2" t="str">
        <f>metaSHOTS[[#This Row],[Shot]]</f>
        <v>030_030</v>
      </c>
      <c r="O24" s="2" t="e" vm="21">
        <f>metaSHOTS[[#This Row],[Thumbnail]]</f>
        <v>#VALUE!</v>
      </c>
    </row>
    <row r="25" spans="1:18" ht="30" customHeight="1" x14ac:dyDescent="0.25">
      <c r="A25" s="83" t="str">
        <f>shotlist[[#This Row],[Shot Name]]</f>
        <v>030_040</v>
      </c>
      <c r="B25" s="83" t="e" vm="70">
        <v>#VALUE!</v>
      </c>
      <c r="C25" s="233">
        <v>1</v>
      </c>
      <c r="D25" s="233">
        <v>133</v>
      </c>
      <c r="E25" s="37">
        <f>metaSHOTS[[#This Row],[End]]-metaSHOTS[[#This Row],[Start]]+1</f>
        <v>133</v>
      </c>
      <c r="F25" s="94" t="str" cm="1">
        <f t="array" aca="1" ref="F25" ca="1">getAssets(metaSHOTS[[#This Row],[Shot]], 1)</f>
        <v>joan</v>
      </c>
      <c r="G25" s="94" t="str" cm="1">
        <f t="array" aca="1" ref="G25" ca="1">getAssets(metaSHOTS[[#This Row],[Shot]], 2)</f>
        <v>soldier_02, soldier_03, villager_01, army_fr, weapon_05, broken_vitrail</v>
      </c>
      <c r="H25" s="89"/>
      <c r="I25" s="8"/>
      <c r="J25" s="11"/>
      <c r="K25" s="11"/>
      <c r="L25" s="258" t="str">
        <f t="shared" si="0"/>
        <v/>
      </c>
      <c r="M25" s="8"/>
      <c r="N25" s="2" t="str">
        <f>metaSHOTS[[#This Row],[Shot]]</f>
        <v>030_040</v>
      </c>
      <c r="O25" s="2" t="e" vm="22">
        <f>metaSHOTS[[#This Row],[Thumbnail]]</f>
        <v>#VALUE!</v>
      </c>
    </row>
    <row r="26" spans="1:18" s="92" customFormat="1" ht="30" customHeight="1" x14ac:dyDescent="0.25">
      <c r="A26" s="37" t="str">
        <f>shotlist[[#This Row],[Shot Name]]</f>
        <v>030_060</v>
      </c>
      <c r="B26" s="83" t="e" vm="71">
        <v>#VALUE!</v>
      </c>
      <c r="C26" s="233">
        <v>1</v>
      </c>
      <c r="D26" s="233">
        <v>93</v>
      </c>
      <c r="E26" s="37">
        <f>metaSHOTS[[#This Row],[End]]-metaSHOTS[[#This Row],[Start]]+1</f>
        <v>93</v>
      </c>
      <c r="F26" s="94" t="str" cm="1">
        <f t="array" aca="1" ref="F26" ca="1">getAssets(metaSHOTS[[#This Row],[Shot]], 1)</f>
        <v>joan</v>
      </c>
      <c r="G26" s="94" t="str" cm="1">
        <f t="array" aca="1" ref="G26" ca="1">getAssets(metaSHOTS[[#This Row],[Shot]], 2)</f>
        <v>soldier_02, soldier_03, villager_01, army_fr, weapon_05, broken_vitrail</v>
      </c>
      <c r="H26" s="216"/>
      <c r="I26" s="257" t="s">
        <v>521</v>
      </c>
      <c r="J26" s="254"/>
      <c r="K26" s="253">
        <v>-5</v>
      </c>
      <c r="L26" s="258">
        <f t="shared" si="0"/>
        <v>-5</v>
      </c>
      <c r="M26" s="180"/>
      <c r="N26" s="2" t="str">
        <f>metaSHOTS[[#This Row],[Shot]]</f>
        <v>030_060</v>
      </c>
      <c r="O26" s="2" t="e" vm="23">
        <f>metaSHOTS[[#This Row],[Thumbnail]]</f>
        <v>#VALUE!</v>
      </c>
      <c r="R26" s="2" t="s">
        <v>341</v>
      </c>
    </row>
    <row r="27" spans="1:18" ht="30" customHeight="1" x14ac:dyDescent="0.25">
      <c r="A27" s="37" t="str">
        <f>shotlist[[#This Row],[Shot Name]]</f>
        <v>030_070</v>
      </c>
      <c r="B27" s="83" t="e" vm="72">
        <v>#VALUE!</v>
      </c>
      <c r="C27" s="233">
        <v>1</v>
      </c>
      <c r="D27" s="233">
        <v>19</v>
      </c>
      <c r="E27" s="37">
        <f>metaSHOTS[[#This Row],[End]]-metaSHOTS[[#This Row],[Start]]+1</f>
        <v>19</v>
      </c>
      <c r="F27" s="94" t="str" cm="1">
        <f t="array" aca="1" ref="F27" ca="1">getAssets(metaSHOTS[[#This Row],[Shot]], 1)</f>
        <v>knight</v>
      </c>
      <c r="G27" s="94" t="str" cm="1">
        <f t="array" aca="1" ref="G27" ca="1">getAssets(metaSHOTS[[#This Row],[Shot]], 2)</f>
        <v>villager_02, villager_03, villager_04, villager_05, villager_06, crowd_01</v>
      </c>
      <c r="H27" s="89"/>
      <c r="I27" s="8" t="s">
        <v>521</v>
      </c>
      <c r="J27" s="11">
        <v>-11</v>
      </c>
      <c r="K27" s="11"/>
      <c r="L27" s="258">
        <f t="shared" si="0"/>
        <v>-11</v>
      </c>
      <c r="M27" s="8"/>
      <c r="N27" s="2" t="str">
        <f>metaSHOTS[[#This Row],[Shot]]</f>
        <v>030_070</v>
      </c>
      <c r="O27" s="2" t="e" vm="24">
        <f>metaSHOTS[[#This Row],[Thumbnail]]</f>
        <v>#VALUE!</v>
      </c>
      <c r="R27" s="2" t="s">
        <v>341</v>
      </c>
    </row>
    <row r="28" spans="1:18" ht="30" customHeight="1" x14ac:dyDescent="0.25">
      <c r="A28" s="37" t="str">
        <f>shotlist[[#This Row],[Shot Name]]</f>
        <v>030_080</v>
      </c>
      <c r="B28" s="83" t="e" vm="73">
        <v>#VALUE!</v>
      </c>
      <c r="C28" s="233">
        <v>1</v>
      </c>
      <c r="D28" s="233">
        <v>51</v>
      </c>
      <c r="E28" s="37">
        <f>metaSHOTS[[#This Row],[End]]-metaSHOTS[[#This Row],[Start]]+1</f>
        <v>51</v>
      </c>
      <c r="F28" s="94" t="str" cm="1">
        <f t="array" aca="1" ref="F28" ca="1">getAssets(metaSHOTS[[#This Row],[Shot]], 1)</f>
        <v>knight</v>
      </c>
      <c r="G28" s="94" t="str" cm="1">
        <f t="array" aca="1" ref="G28" ca="1">getAssets(metaSHOTS[[#This Row],[Shot]], 2)</f>
        <v>villager_02, villager_03, villager_04, villager_05, villager_06, crowd_01, door_01, door_02, door_03, door_04, door_05, flr_01, flr_02, house_01, house_02, house_03, house_04, house_05, house_06, house_07, house_08, arrows, plaines_01, plaines_02, plaines_03, accessory_01, accessory_02, accessory_03, accessory_04, arrow, banner, bow, chains_01, chains_02, chains_break, helmet_eng_01, helmet_eng_02, helmet_fr_01, helmet_fr_02, helmet_fr_03, mace, shield, swrd, swrd_01, weapon_01, weapon_02, weapon_03</v>
      </c>
      <c r="H28" s="89"/>
      <c r="I28" s="8" t="s">
        <v>521</v>
      </c>
      <c r="J28" s="11"/>
      <c r="K28" s="11">
        <v>-7</v>
      </c>
      <c r="L28" s="258">
        <f t="shared" si="0"/>
        <v>-7</v>
      </c>
      <c r="M28" s="8"/>
      <c r="N28" s="2" t="str">
        <f>metaSHOTS[[#This Row],[Shot]]</f>
        <v>030_080</v>
      </c>
      <c r="O28" s="2" t="e" vm="25">
        <f>metaSHOTS[[#This Row],[Thumbnail]]</f>
        <v>#VALUE!</v>
      </c>
      <c r="R28" s="2" t="s">
        <v>341</v>
      </c>
    </row>
    <row r="29" spans="1:18" ht="30" customHeight="1" x14ac:dyDescent="0.25">
      <c r="A29" s="37" t="str">
        <f>shotlist[[#This Row],[Shot Name]]</f>
        <v>030_100</v>
      </c>
      <c r="B29" s="83" t="e" vm="74">
        <v>#VALUE!</v>
      </c>
      <c r="C29" s="233">
        <v>1</v>
      </c>
      <c r="D29" s="233">
        <v>87</v>
      </c>
      <c r="E29" s="37">
        <f>metaSHOTS[[#This Row],[End]]-metaSHOTS[[#This Row],[Start]]+1</f>
        <v>87</v>
      </c>
      <c r="F29" s="94" t="str" cm="1">
        <f t="array" aca="1" ref="F29" ca="1">getAssets(metaSHOTS[[#This Row],[Shot]], 1)</f>
        <v>knight</v>
      </c>
      <c r="G29" s="94" t="str" cm="1">
        <f t="array" aca="1" ref="G29" ca="1">getAssets(metaSHOTS[[#This Row],[Shot]], 2)</f>
        <v>villager_02, villager_03, villager_04, villager_05, villager_06, crowd_01, door_01, door_02, door_03, door_04, door_05, flr_01, flr_02, house_01, house_02, house_03, house_04, house_05, house_06, house_07, house_08, arrows, plaines_01, plaines_02, plaines_03, accessory_01, accessory_02, accessory_03, accessory_04, arrow, banner, bow, chains_01, chains_02, chains_break, helmet_eng_01, helmet_eng_02, helmet_fr_01, helmet_fr_02, helmet_fr_03, mace, shield, swrd, swrd_01, weapon_01, weapon_02, weapon_03</v>
      </c>
      <c r="H29" s="89"/>
      <c r="I29" s="8" t="s">
        <v>521</v>
      </c>
      <c r="J29" s="11">
        <v>-7</v>
      </c>
      <c r="K29" s="11">
        <v>-3</v>
      </c>
      <c r="L29" s="258">
        <f t="shared" si="0"/>
        <v>-10</v>
      </c>
      <c r="M29" s="8"/>
      <c r="N29" s="2" t="str">
        <f>metaSHOTS[[#This Row],[Shot]]</f>
        <v>030_100</v>
      </c>
      <c r="O29" s="2" t="e" vm="26">
        <f>metaSHOTS[[#This Row],[Thumbnail]]</f>
        <v>#VALUE!</v>
      </c>
      <c r="R29" s="2" t="s">
        <v>341</v>
      </c>
    </row>
    <row r="30" spans="1:18" ht="30" customHeight="1" x14ac:dyDescent="0.25">
      <c r="A30" s="37" t="str">
        <f>shotlist[[#This Row],[Shot Name]]</f>
        <v>030_110</v>
      </c>
      <c r="B30" s="83" t="e" vm="75">
        <v>#VALUE!</v>
      </c>
      <c r="C30" s="233">
        <v>1</v>
      </c>
      <c r="D30" s="233">
        <v>64</v>
      </c>
      <c r="E30" s="37">
        <f>metaSHOTS[[#This Row],[End]]-metaSHOTS[[#This Row],[Start]]+1</f>
        <v>64</v>
      </c>
      <c r="F30" s="94" t="str" cm="1">
        <f t="array" aca="1" ref="F30" ca="1">getAssets(metaSHOTS[[#This Row],[Shot]], 1)</f>
        <v>knight</v>
      </c>
      <c r="G30" s="94" t="str" cm="1">
        <f t="array" aca="1" ref="G30" ca="1">getAssets(metaSHOTS[[#This Row],[Shot]], 2)</f>
        <v>villager_02, villager_03, villager_04, villager_05, villager_06, crowd_01, door_01, door_02, door_03, door_04, door_05, flr_01, flr_02, house_01, house_02, house_03, house_04, house_05, house_06, house_07, house_08, arrows, plaines_01, plaines_02, plaines_03, accessory_01, accessory_02, accessory_03, accessory_04, arrow, banner, bow, chains_01, chains_02, chains_break, helmet_eng_01, helmet_eng_02, helmet_fr_01, helmet_fr_02, helmet_fr_03, mace, shield, swrd, swrd_01, weapon_01, weapon_02, weapon_03</v>
      </c>
      <c r="H30" s="89"/>
      <c r="I30" s="8"/>
      <c r="J30" s="11"/>
      <c r="K30" s="11"/>
      <c r="L30" s="258" t="str">
        <f t="shared" si="0"/>
        <v/>
      </c>
      <c r="M30" s="8"/>
      <c r="N30" s="2" t="str">
        <f>metaSHOTS[[#This Row],[Shot]]</f>
        <v>030_110</v>
      </c>
      <c r="O30" s="2" t="e" vm="27">
        <f>metaSHOTS[[#This Row],[Thumbnail]]</f>
        <v>#VALUE!</v>
      </c>
    </row>
    <row r="31" spans="1:18" ht="30" customHeight="1" x14ac:dyDescent="0.25">
      <c r="A31" s="37" t="str">
        <f>shotlist[[#This Row],[Shot Name]]</f>
        <v>030_120</v>
      </c>
      <c r="B31" s="83" t="e" vm="76">
        <v>#VALUE!</v>
      </c>
      <c r="C31" s="233">
        <v>1</v>
      </c>
      <c r="D31" s="233">
        <v>71</v>
      </c>
      <c r="E31" s="37">
        <f>metaSHOTS[[#This Row],[End]]-metaSHOTS[[#This Row],[Start]]+1</f>
        <v>71</v>
      </c>
      <c r="F31" s="94" t="str" cm="1">
        <f t="array" aca="1" ref="F31" ca="1">getAssets(metaSHOTS[[#This Row],[Shot]], 1)</f>
        <v>knight, church_ext</v>
      </c>
      <c r="G31" s="94" t="str" cm="1">
        <f t="array" aca="1" ref="G31" ca="1">getAssets(metaSHOTS[[#This Row],[Shot]], 2)</f>
        <v>villager_02, villager_03, villager_04, villager_05, villager_06, crowd_01, door_01, door_02, door_03, door_04, door_05, fake_int, flr_01, flr_02, house_01, house_02, house_03, house_04, house_05, house_06, house_07, house_08, arrows, plaines_01, plaines_02, plaines_03, accessory_01, accessory_02, accessory_03, accessory_04, arrow, banner, bow, chains_01, chains_02, chains_break, helmet_eng_01, helmet_eng_02, helmet_fr_01, helmet_fr_02, helmet_fr_03, mace, shield, swrd, swrd_01, weapon_01, weapon_02, weapon_03</v>
      </c>
      <c r="H31" s="89"/>
      <c r="I31" s="8"/>
      <c r="J31" s="11"/>
      <c r="K31" s="11"/>
      <c r="L31" s="258" t="str">
        <f t="shared" si="0"/>
        <v/>
      </c>
      <c r="M31" s="8"/>
      <c r="N31" s="2" t="str">
        <f>metaSHOTS[[#This Row],[Shot]]</f>
        <v>030_120</v>
      </c>
      <c r="O31" s="2" t="e" vm="28">
        <f>metaSHOTS[[#This Row],[Thumbnail]]</f>
        <v>#VALUE!</v>
      </c>
    </row>
    <row r="32" spans="1:18" ht="30" customHeight="1" x14ac:dyDescent="0.25">
      <c r="A32" s="83" t="str">
        <f>shotlist[[#This Row],[Shot Name]]</f>
        <v>030_130</v>
      </c>
      <c r="B32" s="83" t="e" vm="77">
        <v>#VALUE!</v>
      </c>
      <c r="C32" s="233">
        <v>1</v>
      </c>
      <c r="D32" s="233">
        <v>46</v>
      </c>
      <c r="E32" s="37">
        <f>metaSHOTS[[#This Row],[End]]-metaSHOTS[[#This Row],[Start]]+1</f>
        <v>46</v>
      </c>
      <c r="F32" s="94" t="str" cm="1">
        <f t="array" aca="1" ref="F32" ca="1">getAssets(metaSHOTS[[#This Row],[Shot]], 1)</f>
        <v>knight</v>
      </c>
      <c r="G32" s="94" t="str" cm="1">
        <f t="array" aca="1" ref="G32" ca="1">getAssets(metaSHOTS[[#This Row],[Shot]], 2)</f>
        <v>villager_02, villager_03, villager_04, villager_05, villager_06, crowd_01, church_ext, door_01, door_02, door_03, door_04, door_05, flr_01, flr_02, house_01, house_02, house_03, house_04, house_05, house_06, house_07, house_08, arrows, plaines_01, plaines_02, plaines_03, accessory_01, accessory_02, accessory_03, accessory_04, arrow, banner, bow, chains_01, chains_02, chains_break, helmet_eng_01, helmet_eng_02, helmet_fr_01, helmet_fr_02, helmet_fr_03, mace, shield, swrd, swrd_01, weapon_01, weapon_02, weapon_03</v>
      </c>
      <c r="H32" s="89"/>
      <c r="I32" s="8"/>
      <c r="J32" s="11"/>
      <c r="K32" s="11"/>
      <c r="L32" s="258" t="str">
        <f t="shared" si="0"/>
        <v/>
      </c>
      <c r="M32" s="8"/>
      <c r="N32" s="2" t="str">
        <f>metaSHOTS[[#This Row],[Shot]]</f>
        <v>030_130</v>
      </c>
      <c r="O32" s="2" t="e" vm="29">
        <f>metaSHOTS[[#This Row],[Thumbnail]]</f>
        <v>#VALUE!</v>
      </c>
    </row>
    <row r="33" spans="1:18" ht="30" customHeight="1" x14ac:dyDescent="0.25">
      <c r="A33" s="37" t="str">
        <f>shotlist[[#This Row],[Shot Name]]</f>
        <v>030_140</v>
      </c>
      <c r="B33" s="83" t="e" vm="78">
        <v>#VALUE!</v>
      </c>
      <c r="C33" s="233">
        <v>1</v>
      </c>
      <c r="D33" s="233">
        <v>29</v>
      </c>
      <c r="E33" s="37">
        <f>metaSHOTS[[#This Row],[End]]-metaSHOTS[[#This Row],[Start]]+1</f>
        <v>29</v>
      </c>
      <c r="F33" s="94" t="str" cm="1">
        <f t="array" aca="1" ref="F33" ca="1">getAssets(metaSHOTS[[#This Row],[Shot]], 1)</f>
        <v>knight, church_ext</v>
      </c>
      <c r="G33" s="94" t="str" cm="1">
        <f t="array" aca="1" ref="G33" ca="1">getAssets(metaSHOTS[[#This Row],[Shot]], 2)</f>
        <v>villager_02, villager_03, villager_04, villager_05, villager_06, crowd_01, door_01, door_02, door_03, door_04, door_05, flr_01, flr_02, house_01, house_02, house_03, house_04, house_05, house_06, house_07, house_08, arrows, plaines_01, plaines_02, plaines_03, accessory_01, accessory_02, accessory_03, accessory_04, arrow, banner, bow, chains_01, chains_02, chains_break, helmet_eng_01, helmet_eng_02, helmet_fr_01, helmet_fr_02, helmet_fr_03, mace, shield, swrd, swrd_01, weapon_01, weapon_02, weapon_03</v>
      </c>
      <c r="H33" s="89"/>
      <c r="I33" s="8"/>
      <c r="J33" s="11"/>
      <c r="K33" s="11"/>
      <c r="L33" s="258" t="str">
        <f t="shared" si="0"/>
        <v/>
      </c>
      <c r="M33" s="8"/>
      <c r="N33" s="2" t="str">
        <f>metaSHOTS[[#This Row],[Shot]]</f>
        <v>030_140</v>
      </c>
      <c r="O33" s="2" t="e" vm="30">
        <f>metaSHOTS[[#This Row],[Thumbnail]]</f>
        <v>#VALUE!</v>
      </c>
    </row>
    <row r="34" spans="1:18" s="92" customFormat="1" ht="30" customHeight="1" x14ac:dyDescent="0.25">
      <c r="A34" s="37" t="str">
        <f>shotlist[[#This Row],[Shot Name]]</f>
        <v>030_150</v>
      </c>
      <c r="B34" s="83" t="e" vm="79">
        <v>#VALUE!</v>
      </c>
      <c r="C34" s="233">
        <v>1</v>
      </c>
      <c r="D34" s="233">
        <v>19</v>
      </c>
      <c r="E34" s="37">
        <f>metaSHOTS[[#This Row],[End]]-metaSHOTS[[#This Row],[Start]]+1</f>
        <v>19</v>
      </c>
      <c r="F34" s="94" t="str" cm="1">
        <f t="array" aca="1" ref="F34" ca="1">getAssets(metaSHOTS[[#This Row],[Shot]], 1)</f>
        <v>knight, church_int</v>
      </c>
      <c r="G34" s="94" t="str" cm="1">
        <f t="array" aca="1" ref="G34" ca="1">getAssets(metaSHOTS[[#This Row],[Shot]], 2)</f>
        <v>villager_02, villager_03, villager_04, villager_05, villager_06, crowd_02</v>
      </c>
      <c r="H34" s="216"/>
      <c r="I34" s="8"/>
      <c r="J34" s="254"/>
      <c r="K34" s="254"/>
      <c r="L34" s="258" t="str">
        <f t="shared" si="0"/>
        <v/>
      </c>
      <c r="M34" s="180"/>
      <c r="N34" s="2" t="str">
        <f>metaSHOTS[[#This Row],[Shot]]</f>
        <v>030_150</v>
      </c>
      <c r="O34" s="2" t="e" vm="31">
        <f>metaSHOTS[[#This Row],[Thumbnail]]</f>
        <v>#VALUE!</v>
      </c>
      <c r="R34" s="2"/>
    </row>
    <row r="35" spans="1:18" ht="30" customHeight="1" x14ac:dyDescent="0.25">
      <c r="A35" s="37" t="str">
        <f>shotlist[[#This Row],[Shot Name]]</f>
        <v>040_010</v>
      </c>
      <c r="B35" s="83" t="e" vm="80">
        <v>#VALUE!</v>
      </c>
      <c r="C35" s="233">
        <v>20</v>
      </c>
      <c r="D35" s="233">
        <v>108</v>
      </c>
      <c r="E35" s="37">
        <f>metaSHOTS[[#This Row],[End]]-metaSHOTS[[#This Row],[Start]]+1</f>
        <v>89</v>
      </c>
      <c r="F35" s="94" t="str" cm="1">
        <f t="array" aca="1" ref="F35" ca="1">getAssets(metaSHOTS[[#This Row],[Shot]], 1)</f>
        <v>knight, church_int</v>
      </c>
      <c r="G35" s="94" t="str" cm="1">
        <f t="array" aca="1" ref="G35" ca="1">getAssets(metaSHOTS[[#This Row],[Shot]], 2)</f>
        <v>villager_02, villager_03, villager_04, villager_05, villager_06, crowd_02</v>
      </c>
      <c r="I35" s="8" t="s">
        <v>521</v>
      </c>
      <c r="J35" s="11"/>
      <c r="K35" s="11">
        <v>-27</v>
      </c>
      <c r="L35" s="258">
        <f t="shared" si="0"/>
        <v>-27</v>
      </c>
      <c r="M35" s="8"/>
      <c r="N35" s="2" t="str">
        <f>metaSHOTS[[#This Row],[Shot]]</f>
        <v>040_010</v>
      </c>
      <c r="O35" s="2" t="e" vm="32">
        <f>metaSHOTS[[#This Row],[Thumbnail]]</f>
        <v>#VALUE!</v>
      </c>
      <c r="R35" s="2" t="s">
        <v>341</v>
      </c>
    </row>
    <row r="36" spans="1:18" ht="30" customHeight="1" x14ac:dyDescent="0.25">
      <c r="A36" s="37" t="str">
        <f>shotlist[[#This Row],[Shot Name]]</f>
        <v>040_020</v>
      </c>
      <c r="B36" s="83" t="e" vm="81">
        <v>#VALUE!</v>
      </c>
      <c r="C36" s="233">
        <v>1</v>
      </c>
      <c r="D36" s="233">
        <v>150</v>
      </c>
      <c r="E36" s="37">
        <f>metaSHOTS[[#This Row],[End]]-metaSHOTS[[#This Row],[Start]]+1</f>
        <v>150</v>
      </c>
      <c r="F36" s="94" t="str" cm="1">
        <f t="array" aca="1" ref="F36" ca="1">getAssets(metaSHOTS[[#This Row],[Shot]], 1)</f>
        <v>joan_01</v>
      </c>
      <c r="G36" s="94" t="str" cm="1">
        <f t="array" aca="1" ref="G36" ca="1">getAssets(metaSHOTS[[#This Row],[Shot]], 2)</f>
        <v>vitrail_01, church_int</v>
      </c>
      <c r="I36" s="8" t="s">
        <v>524</v>
      </c>
      <c r="J36" s="11"/>
      <c r="K36" s="11"/>
      <c r="L36" s="258">
        <f t="shared" si="0"/>
        <v>0</v>
      </c>
      <c r="M36" s="8" t="s">
        <v>525</v>
      </c>
      <c r="N36" s="2" t="str">
        <f>metaSHOTS[[#This Row],[Shot]]</f>
        <v>040_020</v>
      </c>
      <c r="O36" s="2" t="e" vm="33">
        <f>metaSHOTS[[#This Row],[Thumbnail]]</f>
        <v>#VALUE!</v>
      </c>
      <c r="R36" s="2" t="s">
        <v>341</v>
      </c>
    </row>
    <row r="37" spans="1:18" ht="30" customHeight="1" x14ac:dyDescent="0.25">
      <c r="A37" s="37" t="str">
        <f>shotlist[[#This Row],[Shot Name]]</f>
        <v>040_030</v>
      </c>
      <c r="B37" s="83" t="e" vm="82">
        <v>#VALUE!</v>
      </c>
      <c r="C37" s="233">
        <v>1</v>
      </c>
      <c r="D37" s="233">
        <v>115</v>
      </c>
      <c r="E37" s="37">
        <f>metaSHOTS[[#This Row],[End]]-metaSHOTS[[#This Row],[Start]]+1</f>
        <v>115</v>
      </c>
      <c r="F37" s="94" t="str" cm="1">
        <f t="array" aca="1" ref="F37" ca="1">getAssets(metaSHOTS[[#This Row],[Shot]], 1)</f>
        <v>knight</v>
      </c>
      <c r="G37" s="94" t="str" cm="1">
        <f t="array" aca="1" ref="G37" ca="1">getAssets(metaSHOTS[[#This Row],[Shot]], 2)</f>
        <v>-</v>
      </c>
      <c r="I37" s="8" t="s">
        <v>526</v>
      </c>
      <c r="J37" s="11"/>
      <c r="K37" s="11"/>
      <c r="L37" s="258">
        <f t="shared" si="0"/>
        <v>0</v>
      </c>
      <c r="M37" s="8" t="s">
        <v>527</v>
      </c>
      <c r="N37" s="2" t="str">
        <f>metaSHOTS[[#This Row],[Shot]]</f>
        <v>040_030</v>
      </c>
      <c r="O37" s="2" t="e" vm="34">
        <f>metaSHOTS[[#This Row],[Thumbnail]]</f>
        <v>#VALUE!</v>
      </c>
    </row>
    <row r="38" spans="1:18" ht="30" customHeight="1" x14ac:dyDescent="0.25">
      <c r="A38" s="37" t="str">
        <f>shotlist[[#This Row],[Shot Name]]</f>
        <v>040_040</v>
      </c>
      <c r="B38" s="83" t="e" vm="83">
        <v>#VALUE!</v>
      </c>
      <c r="C38" s="233">
        <v>1</v>
      </c>
      <c r="D38" s="233">
        <v>81</v>
      </c>
      <c r="E38" s="37">
        <f>metaSHOTS[[#This Row],[End]]-metaSHOTS[[#This Row],[Start]]+1</f>
        <v>81</v>
      </c>
      <c r="F38" s="94" t="str" cm="1">
        <f t="array" aca="1" ref="F38" ca="1">getAssets(metaSHOTS[[#This Row],[Shot]], 1)</f>
        <v>knight</v>
      </c>
      <c r="G38" s="94" t="str" cm="1">
        <f t="array" aca="1" ref="G38" ca="1">getAssets(metaSHOTS[[#This Row],[Shot]], 2)</f>
        <v>villager_02, villager_03, villager_04, villager_05, villager_06, crowd_02, church_int</v>
      </c>
      <c r="I38" s="8" t="s">
        <v>521</v>
      </c>
      <c r="J38" s="11"/>
      <c r="K38" s="11">
        <v>-13</v>
      </c>
      <c r="L38" s="258">
        <f t="shared" si="0"/>
        <v>-13</v>
      </c>
      <c r="M38" s="8"/>
      <c r="N38" s="2" t="str">
        <f>metaSHOTS[[#This Row],[Shot]]</f>
        <v>040_040</v>
      </c>
      <c r="O38" s="2" t="e" vm="35">
        <f>metaSHOTS[[#This Row],[Thumbnail]]</f>
        <v>#VALUE!</v>
      </c>
      <c r="R38" s="2" t="s">
        <v>341</v>
      </c>
    </row>
    <row r="39" spans="1:18" ht="30" customHeight="1" x14ac:dyDescent="0.25">
      <c r="A39" s="37" t="str">
        <f>shotlist[[#This Row],[Shot Name]]</f>
        <v>040_050</v>
      </c>
      <c r="B39" s="83" t="e" vm="84">
        <v>#VALUE!</v>
      </c>
      <c r="C39" s="233">
        <v>1</v>
      </c>
      <c r="D39" s="233">
        <v>79</v>
      </c>
      <c r="E39" s="37">
        <f>metaSHOTS[[#This Row],[End]]-metaSHOTS[[#This Row],[Start]]+1</f>
        <v>79</v>
      </c>
      <c r="F39" s="94" t="str" cm="1">
        <f t="array" aca="1" ref="F39" ca="1">getAssets(metaSHOTS[[#This Row],[Shot]], 1)</f>
        <v>knight</v>
      </c>
      <c r="G39" s="94" t="str" cm="1">
        <f t="array" aca="1" ref="G39" ca="1">getAssets(metaSHOTS[[#This Row],[Shot]], 2)</f>
        <v>villager_02, villager_03, villager_04, villager_05, villager_06, crowd_02, church_int</v>
      </c>
      <c r="I39" s="8" t="s">
        <v>524</v>
      </c>
      <c r="J39" s="11"/>
      <c r="K39" s="11"/>
      <c r="L39" s="258">
        <f t="shared" si="0"/>
        <v>0</v>
      </c>
      <c r="M39" s="8" t="s">
        <v>528</v>
      </c>
      <c r="N39" s="2" t="str">
        <f>metaSHOTS[[#This Row],[Shot]]</f>
        <v>040_050</v>
      </c>
      <c r="O39" s="2" t="e" vm="36">
        <f>metaSHOTS[[#This Row],[Thumbnail]]</f>
        <v>#VALUE!</v>
      </c>
      <c r="R39" s="2" t="s">
        <v>341</v>
      </c>
    </row>
    <row r="40" spans="1:18" ht="30" customHeight="1" x14ac:dyDescent="0.25">
      <c r="A40" s="37" t="str">
        <f>shotlist[[#This Row],[Shot Name]]</f>
        <v>040_070</v>
      </c>
      <c r="B40" s="83" t="e" vm="85">
        <v>#VALUE!</v>
      </c>
      <c r="C40" s="233">
        <v>1</v>
      </c>
      <c r="D40" s="233">
        <v>39</v>
      </c>
      <c r="E40" s="37">
        <f>metaSHOTS[[#This Row],[End]]-metaSHOTS[[#This Row],[Start]]+1</f>
        <v>39</v>
      </c>
      <c r="F40" s="94" t="str" cm="1">
        <f t="array" aca="1" ref="F40" ca="1">getAssets(metaSHOTS[[#This Row],[Shot]], 1)</f>
        <v>knight</v>
      </c>
      <c r="G40" s="94" t="str" cm="1">
        <f t="array" aca="1" ref="G40" ca="1">getAssets(metaSHOTS[[#This Row],[Shot]], 2)</f>
        <v>villager_02, villager_03, villager_04, villager_05, villager_06, crowd_02, church_int</v>
      </c>
      <c r="I40" s="8"/>
      <c r="J40" s="11"/>
      <c r="K40" s="11"/>
      <c r="L40" s="258" t="str">
        <f t="shared" si="0"/>
        <v/>
      </c>
      <c r="M40" s="8"/>
      <c r="N40" s="2" t="str">
        <f>metaSHOTS[[#This Row],[Shot]]</f>
        <v>040_070</v>
      </c>
      <c r="O40" s="2" t="e" vm="37">
        <f>metaSHOTS[[#This Row],[Thumbnail]]</f>
        <v>#VALUE!</v>
      </c>
    </row>
    <row r="41" spans="1:18" ht="30" customHeight="1" x14ac:dyDescent="0.25">
      <c r="A41" s="37" t="str">
        <f>shotlist[[#This Row],[Shot Name]]</f>
        <v>040_090</v>
      </c>
      <c r="B41" s="83" t="e" vm="86">
        <v>#VALUE!</v>
      </c>
      <c r="C41" s="233">
        <v>1</v>
      </c>
      <c r="D41" s="233">
        <v>63</v>
      </c>
      <c r="E41" s="37">
        <f>metaSHOTS[[#This Row],[End]]-metaSHOTS[[#This Row],[Start]]+1</f>
        <v>63</v>
      </c>
      <c r="F41" s="94" t="str" cm="1">
        <f t="array" aca="1" ref="F41" ca="1">getAssets(metaSHOTS[[#This Row],[Shot]], 1)</f>
        <v>knight</v>
      </c>
      <c r="G41" s="94" t="str" cm="1">
        <f t="array" aca="1" ref="G41" ca="1">getAssets(metaSHOTS[[#This Row],[Shot]], 2)</f>
        <v>villager_02, villager_03, villager_04, villager_05, villager_06, crowd_02, church_int</v>
      </c>
      <c r="I41" s="8"/>
      <c r="J41" s="11"/>
      <c r="K41" s="11"/>
      <c r="L41" s="258" t="str">
        <f t="shared" si="0"/>
        <v/>
      </c>
      <c r="M41" s="8"/>
      <c r="N41" s="2" t="str">
        <f>metaSHOTS[[#This Row],[Shot]]</f>
        <v>040_090</v>
      </c>
      <c r="O41" s="2" t="e" vm="38">
        <f>metaSHOTS[[#This Row],[Thumbnail]]</f>
        <v>#VALUE!</v>
      </c>
    </row>
    <row r="42" spans="1:18" s="92" customFormat="1" ht="30" customHeight="1" x14ac:dyDescent="0.25">
      <c r="A42" s="37" t="str">
        <f>shotlist[[#This Row],[Shot Name]]</f>
        <v>040_100</v>
      </c>
      <c r="B42" s="83" t="e" vm="87">
        <v>#VALUE!</v>
      </c>
      <c r="C42" s="233">
        <v>1</v>
      </c>
      <c r="D42" s="233">
        <v>55</v>
      </c>
      <c r="E42" s="37">
        <f>metaSHOTS[[#This Row],[End]]-metaSHOTS[[#This Row],[Start]]+1</f>
        <v>55</v>
      </c>
      <c r="F42" s="94" t="str" cm="1">
        <f t="array" aca="1" ref="F42" ca="1">getAssets(metaSHOTS[[#This Row],[Shot]], 1)</f>
        <v>knight</v>
      </c>
      <c r="G42" s="94" t="str" cm="1">
        <f t="array" aca="1" ref="G42" ca="1">getAssets(metaSHOTS[[#This Row],[Shot]], 2)</f>
        <v>villager_02, villager_03, villager_04, villager_05, villager_06, crowd_02, church_int</v>
      </c>
      <c r="I42" s="8" t="s">
        <v>521</v>
      </c>
      <c r="J42" s="253">
        <v>-40</v>
      </c>
      <c r="K42" s="254"/>
      <c r="L42" s="258">
        <f t="shared" si="0"/>
        <v>-40</v>
      </c>
      <c r="M42" s="180"/>
      <c r="N42" s="2" t="str">
        <f>metaSHOTS[[#This Row],[Shot]]</f>
        <v>040_100</v>
      </c>
      <c r="O42" s="2" t="e" vm="39">
        <f>metaSHOTS[[#This Row],[Thumbnail]]</f>
        <v>#VALUE!</v>
      </c>
      <c r="R42" s="2" t="s">
        <v>341</v>
      </c>
    </row>
    <row r="43" spans="1:18" ht="30" customHeight="1" x14ac:dyDescent="0.25">
      <c r="A43" s="37" t="str">
        <f>shotlist[[#This Row],[Shot Name]]</f>
        <v>040_110</v>
      </c>
      <c r="B43" s="83" t="e" vm="88">
        <v>#VALUE!</v>
      </c>
      <c r="C43" s="233">
        <v>1</v>
      </c>
      <c r="D43" s="233">
        <v>76</v>
      </c>
      <c r="E43" s="37">
        <f>metaSHOTS[[#This Row],[End]]-metaSHOTS[[#This Row],[Start]]+1</f>
        <v>76</v>
      </c>
      <c r="F43" s="94" t="str" cm="1">
        <f t="array" aca="1" ref="F43" ca="1">getAssets(metaSHOTS[[#This Row],[Shot]], 1)</f>
        <v>knight</v>
      </c>
      <c r="G43" s="94" t="str" cm="1">
        <f t="array" aca="1" ref="G43" ca="1">getAssets(metaSHOTS[[#This Row],[Shot]], 2)</f>
        <v>villager_02, villager_03, villager_04, villager_05, villager_06, crowd_02, church_int</v>
      </c>
      <c r="I43" s="8"/>
      <c r="J43" s="11"/>
      <c r="K43" s="11"/>
      <c r="L43" s="258" t="str">
        <f t="shared" si="0"/>
        <v/>
      </c>
      <c r="M43" s="8" t="s">
        <v>529</v>
      </c>
      <c r="N43" s="2" t="str">
        <f>metaSHOTS[[#This Row],[Shot]]</f>
        <v>040_110</v>
      </c>
      <c r="O43" s="2" t="e" vm="40">
        <f>metaSHOTS[[#This Row],[Thumbnail]]</f>
        <v>#VALUE!</v>
      </c>
    </row>
    <row r="44" spans="1:18" ht="30" customHeight="1" x14ac:dyDescent="0.25">
      <c r="A44" s="37" t="str">
        <f>shotlist[[#This Row],[Shot Name]]</f>
        <v>040_120</v>
      </c>
      <c r="B44" s="83" t="e" vm="89">
        <v>#VALUE!</v>
      </c>
      <c r="C44" s="233">
        <v>1</v>
      </c>
      <c r="D44" s="233">
        <v>90</v>
      </c>
      <c r="E44" s="37">
        <f>metaSHOTS[[#This Row],[End]]-metaSHOTS[[#This Row],[Start]]+1</f>
        <v>90</v>
      </c>
      <c r="F44" s="94" t="str" cm="1">
        <f t="array" aca="1" ref="F44" ca="1">getAssets(metaSHOTS[[#This Row],[Shot]], 1)</f>
        <v>knight, L_arm</v>
      </c>
      <c r="G44" s="94" t="str" cm="1">
        <f t="array" aca="1" ref="G44" ca="1">getAssets(metaSHOTS[[#This Row],[Shot]], 2)</f>
        <v>villager_02, villager_03, villager_04, villager_05, villager_06, crowd_02, church_int</v>
      </c>
      <c r="I44" s="8" t="s">
        <v>521</v>
      </c>
      <c r="J44" s="11"/>
      <c r="K44" s="11">
        <v>-70</v>
      </c>
      <c r="L44" s="258">
        <f t="shared" si="0"/>
        <v>-70</v>
      </c>
      <c r="M44" s="8" t="s">
        <v>530</v>
      </c>
      <c r="N44" s="2" t="str">
        <f>metaSHOTS[[#This Row],[Shot]]</f>
        <v>040_120</v>
      </c>
      <c r="O44" s="2" t="e" vm="41">
        <f>metaSHOTS[[#This Row],[Thumbnail]]</f>
        <v>#VALUE!</v>
      </c>
      <c r="R44" s="2" t="s">
        <v>341</v>
      </c>
    </row>
    <row r="45" spans="1:18" ht="30" customHeight="1" x14ac:dyDescent="0.25">
      <c r="A45" s="37" t="str">
        <f>shotlist[[#This Row],[Shot Name]]</f>
        <v>050_005</v>
      </c>
      <c r="B45" s="83" t="e" vm="90">
        <v>#VALUE!</v>
      </c>
      <c r="C45" s="233">
        <v>1</v>
      </c>
      <c r="D45" s="233">
        <v>137</v>
      </c>
      <c r="E45" s="37">
        <f>metaSHOTS[[#This Row],[End]]-metaSHOTS[[#This Row],[Start]]+1</f>
        <v>137</v>
      </c>
      <c r="F45" s="94" t="str" cm="1">
        <f t="array" aca="1" ref="F45" ca="1">getAssets(metaSHOTS[[#This Row],[Shot]], 1)</f>
        <v>knight, L_arm</v>
      </c>
      <c r="G45" s="94" t="str" cm="1">
        <f t="array" aca="1" ref="G45" ca="1">getAssets(metaSHOTS[[#This Row],[Shot]], 2)</f>
        <v>villager_02, villager_03, villager_04, villager_05, villager_06, crowd_02, church_int</v>
      </c>
      <c r="I45" s="8" t="s">
        <v>521</v>
      </c>
      <c r="J45" s="11">
        <v>-18</v>
      </c>
      <c r="K45" s="11"/>
      <c r="L45" s="258">
        <f t="shared" si="0"/>
        <v>-18</v>
      </c>
      <c r="M45" s="8"/>
      <c r="N45" s="2" t="str">
        <f>metaSHOTS[[#This Row],[Shot]]</f>
        <v>050_005</v>
      </c>
      <c r="O45" s="2" t="e" vm="42">
        <f>metaSHOTS[[#This Row],[Thumbnail]]</f>
        <v>#VALUE!</v>
      </c>
    </row>
    <row r="46" spans="1:18" ht="30" customHeight="1" x14ac:dyDescent="0.25">
      <c r="A46" s="37" t="str">
        <f>shotlist[[#This Row],[Shot Name]]</f>
        <v>050_020</v>
      </c>
      <c r="B46" s="83" t="e" vm="91">
        <v>#VALUE!</v>
      </c>
      <c r="C46" s="233">
        <v>1</v>
      </c>
      <c r="D46" s="233">
        <v>510</v>
      </c>
      <c r="E46" s="37">
        <f>metaSHOTS[[#This Row],[End]]-metaSHOTS[[#This Row],[Start]]+1</f>
        <v>510</v>
      </c>
      <c r="F46" s="94" t="str" cm="1">
        <f t="array" aca="1" ref="F46" ca="1">getAssets(metaSHOTS[[#This Row],[Shot]], 1)</f>
        <v>knight, L_arm</v>
      </c>
      <c r="G46" s="94" t="str" cm="1">
        <f t="array" aca="1" ref="G46" ca="1">getAssets(metaSHOTS[[#This Row],[Shot]], 2)</f>
        <v>villager_02, villager_03, villager_04, villager_05, villager_06, crowd_02, church_int</v>
      </c>
      <c r="I46" s="8" t="s">
        <v>521</v>
      </c>
      <c r="J46" s="11">
        <v>-16</v>
      </c>
      <c r="K46" s="11"/>
      <c r="L46" s="258">
        <f t="shared" si="0"/>
        <v>-16</v>
      </c>
      <c r="M46" s="8"/>
      <c r="N46" s="2" t="str">
        <f>metaSHOTS[[#This Row],[Shot]]</f>
        <v>050_020</v>
      </c>
      <c r="O46" s="2" t="e" vm="43">
        <f>metaSHOTS[[#This Row],[Thumbnail]]</f>
        <v>#VALUE!</v>
      </c>
      <c r="R46" s="2" t="s">
        <v>341</v>
      </c>
    </row>
    <row r="47" spans="1:18" ht="30" customHeight="1" x14ac:dyDescent="0.25">
      <c r="A47" s="37" t="str">
        <f>shotlist[[#This Row],[Shot Name]]</f>
        <v>060_010</v>
      </c>
      <c r="B47" s="83" t="e" vm="92">
        <v>#VALUE!</v>
      </c>
      <c r="C47" s="233">
        <v>1</v>
      </c>
      <c r="D47" s="233">
        <v>241</v>
      </c>
      <c r="E47" s="37">
        <f>metaSHOTS[[#This Row],[End]]-metaSHOTS[[#This Row],[Start]]+1</f>
        <v>241</v>
      </c>
      <c r="F47" s="94" t="str" cm="1">
        <f t="array" aca="1" ref="F47" ca="1">getAssets(metaSHOTS[[#This Row],[Shot]], 1)</f>
        <v>knight, L_arm</v>
      </c>
      <c r="G47" s="94" t="str" cm="1">
        <f t="array" aca="1" ref="G47" ca="1">getAssets(metaSHOTS[[#This Row],[Shot]], 2)</f>
        <v>villager_02, villager_03, villager_04, villager_05, villager_06, crowd_02, church_int</v>
      </c>
      <c r="I47" s="8" t="s">
        <v>531</v>
      </c>
      <c r="J47" s="11"/>
      <c r="K47" s="11">
        <v>46</v>
      </c>
      <c r="L47" s="258">
        <f t="shared" si="0"/>
        <v>46</v>
      </c>
      <c r="M47" s="8" t="s">
        <v>532</v>
      </c>
      <c r="N47" s="2" t="str">
        <f>metaSHOTS[[#This Row],[Shot]]</f>
        <v>060_010</v>
      </c>
      <c r="O47" s="2" t="e" vm="44">
        <f>metaSHOTS[[#This Row],[Thumbnail]]</f>
        <v>#VALUE!</v>
      </c>
    </row>
    <row r="48" spans="1:18" ht="30" customHeight="1" x14ac:dyDescent="0.25">
      <c r="A48" s="37" t="str">
        <f>shotlist[[#This Row],[Shot Name]]</f>
        <v>060_030</v>
      </c>
      <c r="B48" s="2" t="e" vm="93">
        <v>#VALUE!</v>
      </c>
      <c r="C48" s="233">
        <v>1</v>
      </c>
      <c r="D48" s="233">
        <v>511</v>
      </c>
      <c r="E48" s="37">
        <f>metaSHOTS[[#This Row],[End]]-metaSHOTS[[#This Row],[Start]]+1</f>
        <v>511</v>
      </c>
      <c r="F48" s="94" t="str" cm="1">
        <f t="array" aca="1" ref="F48" ca="1">getAssets(metaSHOTS[[#This Row],[Shot]], 1)</f>
        <v>knight, L_arm</v>
      </c>
      <c r="G48" s="94" t="str" cm="1">
        <f t="array" aca="1" ref="G48" ca="1">getAssets(metaSHOTS[[#This Row],[Shot]], 2)</f>
        <v>villager_02, villager_03, villager_04, villager_05, villager_06, crowd_02, church_int</v>
      </c>
      <c r="I48" s="8"/>
      <c r="J48" s="11"/>
      <c r="K48" s="11"/>
      <c r="L48" s="258" t="str">
        <f t="shared" si="0"/>
        <v/>
      </c>
      <c r="M48" s="8"/>
      <c r="N48" s="2" t="str">
        <f>metaSHOTS[[#This Row],[Shot]]</f>
        <v>060_030</v>
      </c>
      <c r="O48" s="2" t="e" vm="45">
        <f>metaSHOTS[[#This Row],[Thumbnail]]</f>
        <v>#VALUE!</v>
      </c>
    </row>
    <row r="49" spans="1:18" ht="30" customHeight="1" x14ac:dyDescent="0.25">
      <c r="A49" s="37" t="str">
        <f>shotlist[[#This Row],[Shot Name]]</f>
        <v>040_045</v>
      </c>
      <c r="B49" s="83" t="e" vm="94">
        <v>#VALUE!</v>
      </c>
      <c r="C49" s="233">
        <v>1</v>
      </c>
      <c r="D49" s="233">
        <v>55</v>
      </c>
      <c r="E49" s="37">
        <f>metaSHOTS[[#This Row],[End]]-metaSHOTS[[#This Row],[Start]]+1</f>
        <v>55</v>
      </c>
      <c r="F49" s="94"/>
      <c r="G49" s="94"/>
      <c r="I49" s="8"/>
      <c r="J49" s="11"/>
      <c r="K49" s="11"/>
      <c r="L49" s="258" t="str">
        <f t="shared" si="0"/>
        <v/>
      </c>
      <c r="M49" s="8"/>
      <c r="N49" s="2" t="str">
        <f>metaSHOTS[[#This Row],[Shot]]</f>
        <v>040_045</v>
      </c>
      <c r="O49" s="2" t="e" vm="46">
        <f>metaSHOTS[[#This Row],[Thumbnail]]</f>
        <v>#VALUE!</v>
      </c>
    </row>
    <row r="50" spans="1:18" ht="30" customHeight="1" x14ac:dyDescent="0.25">
      <c r="A50" s="37" t="str">
        <f>shotlist[[#This Row],[Shot Name]]</f>
        <v>040_135</v>
      </c>
      <c r="B50" s="83" t="e" vm="95">
        <v>#VALUE!</v>
      </c>
      <c r="C50" s="233">
        <v>1</v>
      </c>
      <c r="D50" s="233">
        <v>126</v>
      </c>
      <c r="E50" s="37">
        <f>metaSHOTS[[#This Row],[End]]-metaSHOTS[[#This Row],[Start]]+1</f>
        <v>126</v>
      </c>
      <c r="F50" s="94"/>
      <c r="G50" s="94"/>
      <c r="I50" s="8" t="s">
        <v>521</v>
      </c>
      <c r="J50" s="11">
        <v>-46</v>
      </c>
      <c r="K50" s="11"/>
      <c r="L50" s="258">
        <f t="shared" si="0"/>
        <v>-46</v>
      </c>
      <c r="M50" s="8"/>
      <c r="N50" s="2" t="str">
        <f>metaSHOTS[[#This Row],[Shot]]</f>
        <v>040_135</v>
      </c>
      <c r="O50" s="2" t="e" vm="47">
        <f>metaSHOTS[[#This Row],[Thumbnail]]</f>
        <v>#VALUE!</v>
      </c>
      <c r="R50" s="2" t="s">
        <v>341</v>
      </c>
    </row>
    <row r="51" spans="1:18" ht="30" customHeight="1" x14ac:dyDescent="0.25">
      <c r="A51" s="37" t="str">
        <f>shotlist[[#This Row],[Shot Name]]</f>
        <v>050_010</v>
      </c>
      <c r="B51" s="83" t="e" vm="96">
        <v>#VALUE!</v>
      </c>
      <c r="C51" s="233">
        <v>1</v>
      </c>
      <c r="D51" s="233">
        <v>71</v>
      </c>
      <c r="E51" s="37">
        <f>metaSHOTS[[#This Row],[End]]-metaSHOTS[[#This Row],[Start]]+1</f>
        <v>71</v>
      </c>
      <c r="F51" s="94"/>
      <c r="G51" s="94"/>
      <c r="I51" s="8" t="s">
        <v>521</v>
      </c>
      <c r="J51" s="11">
        <v>-16</v>
      </c>
      <c r="K51" s="11"/>
      <c r="L51" s="258">
        <f t="shared" si="0"/>
        <v>-16</v>
      </c>
      <c r="M51" s="8"/>
      <c r="N51" s="2" t="str">
        <f>metaSHOTS[[#This Row],[Shot]]</f>
        <v>050_010</v>
      </c>
      <c r="O51" s="2" t="e" vm="48">
        <f>metaSHOTS[[#This Row],[Thumbnail]]</f>
        <v>#VALUE!</v>
      </c>
      <c r="R51" s="2" t="s">
        <v>341</v>
      </c>
    </row>
    <row r="52" spans="1:18" ht="30" customHeight="1" x14ac:dyDescent="0.25">
      <c r="A52" s="38"/>
      <c r="B52" s="83"/>
      <c r="C52" s="83"/>
      <c r="D52" s="83"/>
      <c r="E52" s="37"/>
      <c r="F52" s="94"/>
      <c r="G52" s="94"/>
      <c r="I52" s="8" t="s">
        <v>22</v>
      </c>
      <c r="J52" s="11"/>
      <c r="K52" s="11"/>
      <c r="L52" s="255">
        <f>SUBTOTAL(109,edit_modif_table[Total])</f>
        <v>-247</v>
      </c>
      <c r="M52" s="8"/>
    </row>
    <row r="53" spans="1:18" ht="30" customHeight="1" x14ac:dyDescent="0.25">
      <c r="A53" s="38"/>
      <c r="B53" s="83"/>
      <c r="C53" s="83"/>
      <c r="D53" s="83"/>
      <c r="E53" s="37"/>
      <c r="F53" s="94"/>
      <c r="G53" s="94"/>
      <c r="J53" s="11"/>
      <c r="K53" s="11"/>
      <c r="L53" s="255"/>
    </row>
    <row r="54" spans="1:18" ht="30" customHeight="1" x14ac:dyDescent="0.25">
      <c r="A54" s="38"/>
      <c r="B54" s="83"/>
      <c r="C54" s="83"/>
      <c r="D54" s="83"/>
      <c r="E54" s="37"/>
      <c r="F54" s="94"/>
      <c r="G54" s="94"/>
    </row>
  </sheetData>
  <sheetProtection selectLockedCells="1"/>
  <mergeCells count="1">
    <mergeCell ref="A1:G2"/>
  </mergeCells>
  <phoneticPr fontId="3" type="noConversion"/>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FEE63-C24C-494C-90B3-876FA4039156}">
  <sheetPr codeName="Feuil21">
    <tabColor theme="1" tint="0.34998626667073579"/>
  </sheetPr>
  <dimension ref="A1:BP100"/>
  <sheetViews>
    <sheetView showGridLines="0" showRowColHeaders="0" zoomScaleNormal="100" workbookViewId="0">
      <pane xSplit="1" ySplit="1" topLeftCell="B2" activePane="bottomRight" state="frozen"/>
      <selection pane="topRight" activeCell="B1" sqref="B1"/>
      <selection pane="bottomLeft" activeCell="A2" sqref="A2"/>
      <selection pane="bottomRight" activeCell="B1" sqref="B1"/>
    </sheetView>
  </sheetViews>
  <sheetFormatPr baseColWidth="10" defaultColWidth="5.7109375" defaultRowHeight="24.75" customHeight="1" x14ac:dyDescent="0.25"/>
  <cols>
    <col min="1" max="1" width="19.140625" style="115" customWidth="1"/>
    <col min="2" max="16384" width="5.7109375" style="2"/>
  </cols>
  <sheetData>
    <row r="1" spans="1:67" s="80" customFormat="1" ht="47.25" customHeight="1" x14ac:dyDescent="0.25">
      <c r="A1" s="115"/>
      <c r="B1" s="80" t="str" cm="1">
        <f t="array" ref="B1:AW1">TRANSPOSE(metaSHOTS[Shot])</f>
        <v>000_010</v>
      </c>
      <c r="C1" s="80" t="str">
        <v>010_010</v>
      </c>
      <c r="D1" s="80" t="str">
        <v>010_040</v>
      </c>
      <c r="E1" s="80" t="str">
        <v>010_050</v>
      </c>
      <c r="F1" s="80" t="str">
        <v>010_060</v>
      </c>
      <c r="G1" s="80" t="str">
        <v>010_070</v>
      </c>
      <c r="H1" s="80" t="str">
        <v>010_080</v>
      </c>
      <c r="I1" s="80" t="str">
        <v>010_090</v>
      </c>
      <c r="J1" s="80" t="str">
        <v>010_100</v>
      </c>
      <c r="K1" s="80" t="str">
        <v>010_110</v>
      </c>
      <c r="L1" s="80" t="str">
        <v>010_160</v>
      </c>
      <c r="M1" s="80" t="str">
        <v>010_170</v>
      </c>
      <c r="N1" s="80" t="str">
        <v>010_180</v>
      </c>
      <c r="O1" s="80" t="str">
        <v>010_190</v>
      </c>
      <c r="P1" s="80" t="str">
        <v>010_200</v>
      </c>
      <c r="Q1" s="80" t="str">
        <v>020_020</v>
      </c>
      <c r="R1" s="80" t="str">
        <v>020_030</v>
      </c>
      <c r="S1" s="80" t="str">
        <v>020_040</v>
      </c>
      <c r="T1" s="80" t="str">
        <v>020_050</v>
      </c>
      <c r="U1" s="80" t="str">
        <v>030_020</v>
      </c>
      <c r="V1" s="80" t="str">
        <v>030_030</v>
      </c>
      <c r="W1" s="80" t="str">
        <v>030_040</v>
      </c>
      <c r="X1" s="80" t="str">
        <v>030_060</v>
      </c>
      <c r="Y1" s="80" t="str">
        <v>030_070</v>
      </c>
      <c r="Z1" s="80" t="str">
        <v>030_080</v>
      </c>
      <c r="AA1" s="80" t="str">
        <v>030_100</v>
      </c>
      <c r="AB1" s="80" t="str">
        <v>030_110</v>
      </c>
      <c r="AC1" s="80" t="str">
        <v>030_120</v>
      </c>
      <c r="AD1" s="80" t="str">
        <v>030_130</v>
      </c>
      <c r="AE1" s="80" t="str">
        <v>030_140</v>
      </c>
      <c r="AF1" s="80" t="str">
        <v>030_150</v>
      </c>
      <c r="AG1" s="80" t="str">
        <v>040_010</v>
      </c>
      <c r="AH1" s="80" t="str">
        <v>040_020</v>
      </c>
      <c r="AI1" s="80" t="str">
        <v>040_030</v>
      </c>
      <c r="AJ1" s="80" t="str">
        <v>040_040</v>
      </c>
      <c r="AK1" s="80" t="str">
        <v>040_050</v>
      </c>
      <c r="AL1" s="80" t="str">
        <v>040_070</v>
      </c>
      <c r="AM1" s="80" t="str">
        <v>040_090</v>
      </c>
      <c r="AN1" s="80" t="str">
        <v>040_100</v>
      </c>
      <c r="AO1" s="80" t="str">
        <v>040_110</v>
      </c>
      <c r="AP1" s="80" t="str">
        <v>040_120</v>
      </c>
      <c r="AQ1" s="80" t="str">
        <v>050_005</v>
      </c>
      <c r="AR1" s="80" t="str">
        <v>050_020</v>
      </c>
      <c r="AS1" s="80" t="str">
        <v>060_010</v>
      </c>
      <c r="AT1" s="80" t="str">
        <v>060_030</v>
      </c>
      <c r="AU1" s="80" t="str">
        <v>040_045</v>
      </c>
      <c r="AV1" s="80" t="str">
        <v>040_135</v>
      </c>
      <c r="AW1" s="80" t="str">
        <v>050_010</v>
      </c>
    </row>
    <row r="2" spans="1:67" ht="24.75" customHeight="1" x14ac:dyDescent="0.25">
      <c r="A2" s="115" t="str" cm="1">
        <f t="array" ref="A2:A76">metaASSETS[Asset Name]</f>
        <v>vitrail_00</v>
      </c>
      <c r="B2" s="2">
        <v>1</v>
      </c>
      <c r="C2" s="2">
        <v>1</v>
      </c>
      <c r="BN2" s="2">
        <v>1</v>
      </c>
      <c r="BO2" s="2">
        <v>1</v>
      </c>
    </row>
    <row r="3" spans="1:67" ht="24.75" customHeight="1" x14ac:dyDescent="0.25">
      <c r="A3" s="115" t="str">
        <v>vitrail_01</v>
      </c>
      <c r="AH3" s="2">
        <v>2</v>
      </c>
      <c r="AX3" s="2">
        <v>2</v>
      </c>
    </row>
    <row r="4" spans="1:67" ht="24.75" customHeight="1" x14ac:dyDescent="0.25">
      <c r="A4" s="115" t="str">
        <v>vitrail_02</v>
      </c>
    </row>
    <row r="5" spans="1:67" ht="24.75" customHeight="1" x14ac:dyDescent="0.25">
      <c r="A5" s="115" t="str">
        <v>joan</v>
      </c>
      <c r="D5" s="2">
        <v>1</v>
      </c>
      <c r="E5" s="2">
        <v>1</v>
      </c>
      <c r="F5" s="2">
        <v>1</v>
      </c>
      <c r="G5" s="2">
        <v>1</v>
      </c>
      <c r="H5" s="2">
        <v>1</v>
      </c>
      <c r="I5" s="2">
        <v>1</v>
      </c>
      <c r="J5" s="2">
        <v>1</v>
      </c>
      <c r="K5" s="2">
        <v>1</v>
      </c>
      <c r="L5" s="2">
        <v>1</v>
      </c>
      <c r="M5" s="2">
        <v>1</v>
      </c>
      <c r="N5" s="2">
        <v>1</v>
      </c>
      <c r="O5" s="2">
        <v>1</v>
      </c>
      <c r="P5" s="2">
        <v>1</v>
      </c>
      <c r="Q5" s="2">
        <v>1</v>
      </c>
      <c r="R5" s="2">
        <v>1</v>
      </c>
      <c r="S5" s="2">
        <v>1</v>
      </c>
      <c r="T5" s="2">
        <v>1</v>
      </c>
      <c r="U5" s="2">
        <v>1</v>
      </c>
      <c r="V5" s="2">
        <v>1</v>
      </c>
      <c r="W5" s="2">
        <v>1</v>
      </c>
      <c r="X5" s="2">
        <v>1</v>
      </c>
      <c r="BF5" s="2">
        <v>1</v>
      </c>
      <c r="BG5" s="2">
        <v>1</v>
      </c>
      <c r="BH5" s="2">
        <v>1</v>
      </c>
      <c r="BI5" s="2">
        <v>1</v>
      </c>
      <c r="BJ5" s="2">
        <v>1</v>
      </c>
      <c r="BK5" s="2">
        <v>1</v>
      </c>
      <c r="BL5" s="2">
        <v>1</v>
      </c>
      <c r="BM5" s="2">
        <v>1</v>
      </c>
    </row>
    <row r="6" spans="1:67" ht="24.75" customHeight="1" x14ac:dyDescent="0.25">
      <c r="A6" s="115" t="str">
        <v>joan_01</v>
      </c>
      <c r="AH6" s="2">
        <v>1</v>
      </c>
      <c r="AX6" s="2">
        <v>1</v>
      </c>
      <c r="BE6" s="2">
        <v>1</v>
      </c>
    </row>
    <row r="7" spans="1:67" ht="24.75" customHeight="1" x14ac:dyDescent="0.25">
      <c r="A7" s="115" t="str">
        <v>joan_dlbr</v>
      </c>
    </row>
    <row r="8" spans="1:67" ht="24.75" customHeight="1" x14ac:dyDescent="0.25">
      <c r="A8" s="115" t="str">
        <v>knight</v>
      </c>
      <c r="Y8" s="2">
        <v>1</v>
      </c>
      <c r="Z8" s="2">
        <v>1</v>
      </c>
      <c r="AA8" s="2">
        <v>1</v>
      </c>
      <c r="AB8" s="2">
        <v>1</v>
      </c>
      <c r="AC8" s="2">
        <v>1</v>
      </c>
      <c r="AD8" s="2">
        <v>1</v>
      </c>
      <c r="AE8" s="2">
        <v>1</v>
      </c>
      <c r="AF8" s="2">
        <v>1</v>
      </c>
      <c r="AG8" s="2">
        <v>1</v>
      </c>
      <c r="AI8" s="2">
        <v>1</v>
      </c>
      <c r="AJ8" s="2">
        <v>1</v>
      </c>
      <c r="AK8" s="2">
        <v>1</v>
      </c>
      <c r="AL8" s="2">
        <v>1</v>
      </c>
      <c r="AM8" s="2">
        <v>1</v>
      </c>
      <c r="AN8" s="2">
        <v>1</v>
      </c>
      <c r="AO8" s="2">
        <v>1</v>
      </c>
      <c r="AP8" s="2">
        <v>1</v>
      </c>
      <c r="AQ8" s="2">
        <v>1</v>
      </c>
      <c r="AR8" s="2">
        <v>1</v>
      </c>
      <c r="AS8" s="2">
        <v>1</v>
      </c>
      <c r="AT8" s="2">
        <v>1</v>
      </c>
      <c r="AU8" s="2">
        <v>1</v>
      </c>
      <c r="AV8" s="2">
        <v>1</v>
      </c>
      <c r="AW8" s="2">
        <v>1</v>
      </c>
      <c r="AY8" s="2">
        <v>1</v>
      </c>
      <c r="AZ8" s="2">
        <v>1</v>
      </c>
      <c r="BA8" s="2">
        <v>1</v>
      </c>
      <c r="BB8" s="2">
        <v>1</v>
      </c>
      <c r="BC8" s="2">
        <v>1</v>
      </c>
      <c r="BD8" s="2">
        <v>1</v>
      </c>
    </row>
    <row r="9" spans="1:67" ht="24.75" customHeight="1" x14ac:dyDescent="0.25">
      <c r="A9" s="115" t="str">
        <v>L_arm</v>
      </c>
      <c r="I9" s="2">
        <v>1</v>
      </c>
      <c r="K9" s="2">
        <v>1</v>
      </c>
      <c r="M9" s="2">
        <v>1</v>
      </c>
      <c r="N9" s="2">
        <v>1</v>
      </c>
      <c r="P9" s="2">
        <v>1</v>
      </c>
      <c r="R9" s="2">
        <v>1</v>
      </c>
      <c r="S9" s="2">
        <v>1</v>
      </c>
      <c r="T9" s="2">
        <v>1</v>
      </c>
      <c r="U9" s="2">
        <v>2</v>
      </c>
      <c r="AP9" s="2">
        <v>1</v>
      </c>
      <c r="AQ9" s="2">
        <v>1</v>
      </c>
      <c r="AR9" s="2">
        <v>1</v>
      </c>
      <c r="AS9" s="2">
        <v>1</v>
      </c>
      <c r="AT9" s="2">
        <v>1</v>
      </c>
    </row>
    <row r="10" spans="1:67" ht="24.75" customHeight="1" x14ac:dyDescent="0.25">
      <c r="A10" s="115" t="str">
        <v>L_leg</v>
      </c>
    </row>
    <row r="11" spans="1:67" ht="24.75" customHeight="1" x14ac:dyDescent="0.25">
      <c r="A11" s="115" t="str">
        <v>R_arm</v>
      </c>
    </row>
    <row r="12" spans="1:67" ht="24.75" customHeight="1" x14ac:dyDescent="0.25">
      <c r="A12" s="115" t="str">
        <v>R_leg</v>
      </c>
    </row>
    <row r="13" spans="1:67" ht="24.75" customHeight="1" x14ac:dyDescent="0.25">
      <c r="A13" s="115" t="str">
        <v>soldier_01</v>
      </c>
    </row>
    <row r="14" spans="1:67" ht="24.75" customHeight="1" x14ac:dyDescent="0.25">
      <c r="A14" s="115" t="str">
        <v>soldier_02</v>
      </c>
      <c r="D14" s="2">
        <v>2</v>
      </c>
      <c r="E14" s="2">
        <v>2</v>
      </c>
      <c r="F14" s="2">
        <v>2</v>
      </c>
      <c r="G14" s="2">
        <v>2</v>
      </c>
      <c r="H14" s="2">
        <v>2</v>
      </c>
      <c r="I14" s="2">
        <v>2</v>
      </c>
      <c r="J14" s="2">
        <v>2</v>
      </c>
      <c r="M14" s="2">
        <v>2</v>
      </c>
      <c r="N14" s="2">
        <v>2</v>
      </c>
      <c r="O14" s="2">
        <v>2</v>
      </c>
      <c r="P14" s="2">
        <v>2</v>
      </c>
      <c r="Q14" s="2">
        <v>2</v>
      </c>
      <c r="R14" s="2">
        <v>2</v>
      </c>
      <c r="S14" s="2">
        <v>2</v>
      </c>
      <c r="T14" s="2">
        <v>2</v>
      </c>
      <c r="U14" s="2">
        <v>2</v>
      </c>
      <c r="V14" s="2">
        <v>2</v>
      </c>
      <c r="W14" s="2">
        <v>2</v>
      </c>
      <c r="X14" s="2">
        <v>2</v>
      </c>
    </row>
    <row r="15" spans="1:67" ht="24.75" customHeight="1" x14ac:dyDescent="0.25">
      <c r="A15" s="115" t="str">
        <v>soldier_03</v>
      </c>
      <c r="D15" s="2">
        <v>2</v>
      </c>
      <c r="E15" s="2">
        <v>2</v>
      </c>
      <c r="F15" s="2">
        <v>2</v>
      </c>
      <c r="G15" s="2">
        <v>2</v>
      </c>
      <c r="H15" s="2">
        <v>2</v>
      </c>
      <c r="I15" s="2">
        <v>2</v>
      </c>
      <c r="J15" s="2">
        <v>2</v>
      </c>
      <c r="M15" s="2">
        <v>2</v>
      </c>
      <c r="N15" s="2">
        <v>2</v>
      </c>
      <c r="O15" s="2">
        <v>2</v>
      </c>
      <c r="P15" s="2">
        <v>2</v>
      </c>
      <c r="Q15" s="2">
        <v>2</v>
      </c>
      <c r="R15" s="2">
        <v>2</v>
      </c>
      <c r="S15" s="2">
        <v>2</v>
      </c>
      <c r="T15" s="2">
        <v>2</v>
      </c>
      <c r="U15" s="2">
        <v>2</v>
      </c>
      <c r="V15" s="2">
        <v>2</v>
      </c>
      <c r="W15" s="2">
        <v>2</v>
      </c>
      <c r="X15" s="2">
        <v>2</v>
      </c>
    </row>
    <row r="16" spans="1:67" ht="24.75" customHeight="1" x14ac:dyDescent="0.25">
      <c r="A16" s="115" t="str">
        <v>villager_01</v>
      </c>
      <c r="D16" s="2">
        <v>2</v>
      </c>
      <c r="E16" s="2">
        <v>2</v>
      </c>
      <c r="F16" s="2">
        <v>2</v>
      </c>
      <c r="G16" s="2">
        <v>2</v>
      </c>
      <c r="H16" s="2">
        <v>2</v>
      </c>
      <c r="I16" s="2">
        <v>2</v>
      </c>
      <c r="J16" s="2">
        <v>2</v>
      </c>
      <c r="M16" s="2">
        <v>2</v>
      </c>
      <c r="N16" s="2">
        <v>2</v>
      </c>
      <c r="O16" s="2">
        <v>2</v>
      </c>
      <c r="P16" s="2">
        <v>2</v>
      </c>
      <c r="Q16" s="2">
        <v>2</v>
      </c>
      <c r="R16" s="2">
        <v>2</v>
      </c>
      <c r="S16" s="2">
        <v>2</v>
      </c>
      <c r="T16" s="2">
        <v>2</v>
      </c>
      <c r="U16" s="2">
        <v>2</v>
      </c>
      <c r="V16" s="2">
        <v>2</v>
      </c>
      <c r="W16" s="2">
        <v>2</v>
      </c>
      <c r="X16" s="2">
        <v>2</v>
      </c>
    </row>
    <row r="17" spans="1:68" ht="24.75" customHeight="1" x14ac:dyDescent="0.25">
      <c r="A17" s="115" t="str">
        <v>villager_02</v>
      </c>
      <c r="Y17" s="2">
        <v>2</v>
      </c>
      <c r="Z17" s="2">
        <v>2</v>
      </c>
      <c r="AA17" s="2">
        <v>2</v>
      </c>
      <c r="AB17" s="2">
        <v>2</v>
      </c>
      <c r="AC17" s="2">
        <v>2</v>
      </c>
      <c r="AD17" s="2">
        <v>2</v>
      </c>
      <c r="AE17" s="2">
        <v>2</v>
      </c>
      <c r="AF17" s="2">
        <v>2</v>
      </c>
      <c r="AG17" s="2">
        <v>2</v>
      </c>
      <c r="AJ17" s="2">
        <v>2</v>
      </c>
      <c r="AK17" s="2">
        <v>2</v>
      </c>
      <c r="AL17" s="2">
        <v>2</v>
      </c>
      <c r="AM17" s="2">
        <v>2</v>
      </c>
      <c r="AN17" s="2">
        <v>2</v>
      </c>
      <c r="AO17" s="2">
        <v>2</v>
      </c>
      <c r="AP17" s="2">
        <v>2</v>
      </c>
      <c r="AQ17" s="2">
        <v>2</v>
      </c>
      <c r="AR17" s="2">
        <v>2</v>
      </c>
      <c r="AS17" s="2">
        <v>2</v>
      </c>
      <c r="AT17" s="2">
        <v>2</v>
      </c>
      <c r="BH17" s="2">
        <v>2</v>
      </c>
      <c r="BI17" s="2">
        <v>2</v>
      </c>
      <c r="BJ17" s="2">
        <v>2</v>
      </c>
      <c r="BK17" s="2">
        <v>2</v>
      </c>
      <c r="BL17" s="2">
        <v>2</v>
      </c>
      <c r="BM17" s="2">
        <v>2</v>
      </c>
    </row>
    <row r="18" spans="1:68" ht="24.75" customHeight="1" x14ac:dyDescent="0.25">
      <c r="A18" s="115" t="str">
        <v>villager_03</v>
      </c>
      <c r="Y18" s="2">
        <v>2</v>
      </c>
      <c r="Z18" s="2">
        <v>2</v>
      </c>
      <c r="AA18" s="2">
        <v>2</v>
      </c>
      <c r="AB18" s="2">
        <v>2</v>
      </c>
      <c r="AC18" s="2">
        <v>2</v>
      </c>
      <c r="AD18" s="2">
        <v>2</v>
      </c>
      <c r="AE18" s="2">
        <v>2</v>
      </c>
      <c r="AF18" s="2">
        <v>2</v>
      </c>
      <c r="AG18" s="2">
        <v>2</v>
      </c>
      <c r="AJ18" s="2">
        <v>2</v>
      </c>
      <c r="AK18" s="2">
        <v>2</v>
      </c>
      <c r="AL18" s="2">
        <v>2</v>
      </c>
      <c r="AM18" s="2">
        <v>2</v>
      </c>
      <c r="AN18" s="2">
        <v>2</v>
      </c>
      <c r="AO18" s="2">
        <v>2</v>
      </c>
      <c r="AP18" s="2">
        <v>2</v>
      </c>
      <c r="AQ18" s="2">
        <v>2</v>
      </c>
      <c r="AR18" s="2">
        <v>2</v>
      </c>
      <c r="AS18" s="2">
        <v>2</v>
      </c>
      <c r="AT18" s="2">
        <v>2</v>
      </c>
      <c r="BH18" s="2">
        <v>2</v>
      </c>
      <c r="BI18" s="2">
        <v>2</v>
      </c>
      <c r="BJ18" s="2">
        <v>2</v>
      </c>
      <c r="BK18" s="2">
        <v>2</v>
      </c>
      <c r="BL18" s="2">
        <v>2</v>
      </c>
      <c r="BM18" s="2">
        <v>2</v>
      </c>
    </row>
    <row r="19" spans="1:68" ht="24.75" customHeight="1" x14ac:dyDescent="0.25">
      <c r="A19" s="115" t="str">
        <v>villager_04</v>
      </c>
      <c r="Y19" s="2">
        <v>2</v>
      </c>
      <c r="Z19" s="2">
        <v>2</v>
      </c>
      <c r="AA19" s="2">
        <v>2</v>
      </c>
      <c r="AB19" s="2">
        <v>2</v>
      </c>
      <c r="AC19" s="2">
        <v>2</v>
      </c>
      <c r="AD19" s="2">
        <v>2</v>
      </c>
      <c r="AE19" s="2">
        <v>2</v>
      </c>
      <c r="AF19" s="2">
        <v>2</v>
      </c>
      <c r="AG19" s="2">
        <v>2</v>
      </c>
      <c r="AJ19" s="2">
        <v>2</v>
      </c>
      <c r="AK19" s="2">
        <v>2</v>
      </c>
      <c r="AL19" s="2">
        <v>2</v>
      </c>
      <c r="AM19" s="2">
        <v>2</v>
      </c>
      <c r="AN19" s="2">
        <v>2</v>
      </c>
      <c r="AO19" s="2">
        <v>2</v>
      </c>
      <c r="AP19" s="2">
        <v>2</v>
      </c>
      <c r="AQ19" s="2">
        <v>2</v>
      </c>
      <c r="AR19" s="2">
        <v>2</v>
      </c>
      <c r="AS19" s="2">
        <v>2</v>
      </c>
      <c r="AT19" s="2">
        <v>2</v>
      </c>
      <c r="BH19" s="2">
        <v>2</v>
      </c>
      <c r="BI19" s="2">
        <v>2</v>
      </c>
      <c r="BJ19" s="2">
        <v>2</v>
      </c>
      <c r="BK19" s="2">
        <v>2</v>
      </c>
      <c r="BL19" s="2">
        <v>2</v>
      </c>
      <c r="BM19" s="2">
        <v>2</v>
      </c>
    </row>
    <row r="20" spans="1:68" ht="24.75" customHeight="1" x14ac:dyDescent="0.25">
      <c r="A20" s="115" t="str">
        <v>villager_05</v>
      </c>
      <c r="Y20" s="2">
        <v>2</v>
      </c>
      <c r="Z20" s="2">
        <v>2</v>
      </c>
      <c r="AA20" s="2">
        <v>2</v>
      </c>
      <c r="AB20" s="2">
        <v>2</v>
      </c>
      <c r="AC20" s="2">
        <v>2</v>
      </c>
      <c r="AD20" s="2">
        <v>2</v>
      </c>
      <c r="AE20" s="2">
        <v>2</v>
      </c>
      <c r="AF20" s="2">
        <v>2</v>
      </c>
      <c r="AG20" s="2">
        <v>2</v>
      </c>
      <c r="AJ20" s="2">
        <v>2</v>
      </c>
      <c r="AK20" s="2">
        <v>2</v>
      </c>
      <c r="AL20" s="2">
        <v>2</v>
      </c>
      <c r="AM20" s="2">
        <v>2</v>
      </c>
      <c r="AN20" s="2">
        <v>2</v>
      </c>
      <c r="AO20" s="2">
        <v>2</v>
      </c>
      <c r="AP20" s="2">
        <v>2</v>
      </c>
      <c r="AQ20" s="2">
        <v>2</v>
      </c>
      <c r="AR20" s="2">
        <v>2</v>
      </c>
      <c r="AS20" s="2">
        <v>2</v>
      </c>
      <c r="AT20" s="2">
        <v>2</v>
      </c>
      <c r="BH20" s="2">
        <v>2</v>
      </c>
      <c r="BI20" s="2">
        <v>2</v>
      </c>
      <c r="BJ20" s="2">
        <v>2</v>
      </c>
      <c r="BK20" s="2">
        <v>2</v>
      </c>
      <c r="BL20" s="2">
        <v>2</v>
      </c>
      <c r="BM20" s="2">
        <v>2</v>
      </c>
    </row>
    <row r="21" spans="1:68" ht="24.75" customHeight="1" x14ac:dyDescent="0.25">
      <c r="A21" s="115" t="str">
        <v>villager_06</v>
      </c>
      <c r="Y21" s="2">
        <v>2</v>
      </c>
      <c r="Z21" s="2">
        <v>2</v>
      </c>
      <c r="AA21" s="2">
        <v>2</v>
      </c>
      <c r="AB21" s="2">
        <v>2</v>
      </c>
      <c r="AC21" s="2">
        <v>2</v>
      </c>
      <c r="AD21" s="2">
        <v>2</v>
      </c>
      <c r="AE21" s="2">
        <v>2</v>
      </c>
      <c r="AF21" s="2">
        <v>2</v>
      </c>
      <c r="AG21" s="2">
        <v>2</v>
      </c>
      <c r="AJ21" s="2">
        <v>2</v>
      </c>
      <c r="AK21" s="2">
        <v>2</v>
      </c>
      <c r="AL21" s="2">
        <v>2</v>
      </c>
      <c r="AM21" s="2">
        <v>2</v>
      </c>
      <c r="AN21" s="2">
        <v>2</v>
      </c>
      <c r="AO21" s="2">
        <v>2</v>
      </c>
      <c r="AP21" s="2">
        <v>2</v>
      </c>
      <c r="AQ21" s="2">
        <v>2</v>
      </c>
      <c r="AR21" s="2">
        <v>2</v>
      </c>
      <c r="AS21" s="2">
        <v>2</v>
      </c>
      <c r="AT21" s="2">
        <v>2</v>
      </c>
      <c r="BH21" s="2">
        <v>2</v>
      </c>
      <c r="BI21" s="2">
        <v>2</v>
      </c>
      <c r="BJ21" s="2">
        <v>2</v>
      </c>
      <c r="BK21" s="2">
        <v>2</v>
      </c>
      <c r="BL21" s="2">
        <v>2</v>
      </c>
      <c r="BM21" s="2">
        <v>2</v>
      </c>
    </row>
    <row r="22" spans="1:68" ht="24.75" customHeight="1" x14ac:dyDescent="0.25">
      <c r="A22" s="115" t="str">
        <v>villager_07</v>
      </c>
    </row>
    <row r="23" spans="1:68" ht="24.75" customHeight="1" x14ac:dyDescent="0.25">
      <c r="A23" s="115" t="str">
        <v>army_eng</v>
      </c>
    </row>
    <row r="24" spans="1:68" ht="24.75" customHeight="1" x14ac:dyDescent="0.25">
      <c r="A24" s="115" t="str">
        <v>army_fr</v>
      </c>
      <c r="D24" s="2">
        <v>2</v>
      </c>
      <c r="E24" s="2">
        <v>2</v>
      </c>
      <c r="F24" s="2">
        <v>2</v>
      </c>
      <c r="G24" s="2">
        <v>2</v>
      </c>
      <c r="H24" s="2">
        <v>2</v>
      </c>
      <c r="I24" s="2">
        <v>2</v>
      </c>
      <c r="J24" s="2">
        <v>2</v>
      </c>
      <c r="M24" s="2">
        <v>2</v>
      </c>
      <c r="N24" s="2">
        <v>2</v>
      </c>
      <c r="O24" s="2">
        <v>2</v>
      </c>
      <c r="P24" s="2">
        <v>2</v>
      </c>
      <c r="Q24" s="2">
        <v>2</v>
      </c>
      <c r="R24" s="2">
        <v>2</v>
      </c>
      <c r="S24" s="2">
        <v>2</v>
      </c>
      <c r="T24" s="2">
        <v>2</v>
      </c>
      <c r="U24" s="2">
        <v>2</v>
      </c>
      <c r="V24" s="2">
        <v>2</v>
      </c>
      <c r="W24" s="2">
        <v>2</v>
      </c>
      <c r="X24" s="2">
        <v>2</v>
      </c>
    </row>
    <row r="25" spans="1:68" ht="24.75" customHeight="1" x14ac:dyDescent="0.25">
      <c r="A25" s="115" t="str">
        <v>crowd_01</v>
      </c>
      <c r="Y25" s="2">
        <v>2</v>
      </c>
      <c r="Z25" s="2">
        <v>2</v>
      </c>
      <c r="AA25" s="2">
        <v>2</v>
      </c>
      <c r="AB25" s="2">
        <v>2</v>
      </c>
      <c r="AC25" s="2">
        <v>2</v>
      </c>
      <c r="AD25" s="2">
        <v>2</v>
      </c>
      <c r="AE25" s="2">
        <v>2</v>
      </c>
    </row>
    <row r="26" spans="1:68" ht="24.75" customHeight="1" x14ac:dyDescent="0.25">
      <c r="A26" s="115" t="str">
        <v>crowd_02</v>
      </c>
      <c r="AF26" s="2">
        <v>2</v>
      </c>
      <c r="AG26" s="2">
        <v>2</v>
      </c>
      <c r="AJ26" s="2">
        <v>2</v>
      </c>
      <c r="AK26" s="2">
        <v>2</v>
      </c>
      <c r="AL26" s="2">
        <v>2</v>
      </c>
      <c r="AM26" s="2">
        <v>2</v>
      </c>
      <c r="AN26" s="2">
        <v>2</v>
      </c>
      <c r="AO26" s="2">
        <v>2</v>
      </c>
      <c r="AP26" s="2">
        <v>2</v>
      </c>
      <c r="AQ26" s="2">
        <v>2</v>
      </c>
      <c r="AR26" s="2">
        <v>2</v>
      </c>
      <c r="AS26" s="2">
        <v>2</v>
      </c>
      <c r="AT26" s="2">
        <v>2</v>
      </c>
    </row>
    <row r="27" spans="1:68" ht="24.75" customHeight="1" x14ac:dyDescent="0.25">
      <c r="A27" s="115" t="str">
        <v>crowd_03</v>
      </c>
      <c r="BH27" s="2">
        <v>2</v>
      </c>
      <c r="BI27" s="2">
        <v>2</v>
      </c>
      <c r="BJ27" s="2">
        <v>2</v>
      </c>
      <c r="BK27" s="2">
        <v>2</v>
      </c>
      <c r="BL27" s="2">
        <v>2</v>
      </c>
      <c r="BM27" s="2">
        <v>2</v>
      </c>
    </row>
    <row r="28" spans="1:68" ht="24.75" customHeight="1" x14ac:dyDescent="0.25">
      <c r="A28" s="115" t="str">
        <v>bucher</v>
      </c>
      <c r="BI28" s="2">
        <v>1</v>
      </c>
      <c r="BJ28" s="2">
        <v>1</v>
      </c>
      <c r="BK28" s="2">
        <v>1</v>
      </c>
      <c r="BL28" s="2">
        <v>1</v>
      </c>
      <c r="BM28" s="2">
        <v>1</v>
      </c>
    </row>
    <row r="29" spans="1:68" ht="24.75" customHeight="1" x14ac:dyDescent="0.25">
      <c r="A29" s="115" t="str">
        <v>church_ext</v>
      </c>
      <c r="AC29" s="2">
        <v>1</v>
      </c>
      <c r="AD29" s="2">
        <v>2</v>
      </c>
      <c r="AE29" s="2">
        <v>1</v>
      </c>
    </row>
    <row r="30" spans="1:68" ht="24.75" customHeight="1" x14ac:dyDescent="0.25">
      <c r="A30" s="115" t="str">
        <v>church_int</v>
      </c>
      <c r="B30" s="2">
        <v>1</v>
      </c>
      <c r="AF30" s="2">
        <v>1</v>
      </c>
      <c r="AG30" s="2">
        <v>1</v>
      </c>
      <c r="AH30" s="2">
        <v>2</v>
      </c>
      <c r="AJ30" s="2">
        <v>2</v>
      </c>
      <c r="AK30" s="2">
        <v>2</v>
      </c>
      <c r="AL30" s="2">
        <v>2</v>
      </c>
      <c r="AM30" s="2">
        <v>2</v>
      </c>
      <c r="AN30" s="2">
        <v>2</v>
      </c>
      <c r="AO30" s="2">
        <v>2</v>
      </c>
      <c r="AP30" s="2">
        <v>2</v>
      </c>
      <c r="AQ30" s="2">
        <v>2</v>
      </c>
      <c r="AR30" s="2">
        <v>2</v>
      </c>
      <c r="AS30" s="2">
        <v>2</v>
      </c>
      <c r="AT30" s="2">
        <v>2</v>
      </c>
      <c r="AU30" s="2">
        <v>2</v>
      </c>
      <c r="AV30" s="2">
        <v>2</v>
      </c>
      <c r="AW30" s="2">
        <v>2</v>
      </c>
      <c r="AX30" s="2">
        <v>2</v>
      </c>
      <c r="AY30" s="2">
        <v>2</v>
      </c>
      <c r="AZ30" s="2">
        <v>2</v>
      </c>
      <c r="BA30" s="2">
        <v>2</v>
      </c>
      <c r="BB30" s="2">
        <v>2</v>
      </c>
      <c r="BC30" s="2">
        <v>2</v>
      </c>
      <c r="BD30" s="2">
        <v>2</v>
      </c>
      <c r="BE30" s="2">
        <v>2</v>
      </c>
      <c r="BF30" s="2">
        <v>2</v>
      </c>
      <c r="BG30" s="2">
        <v>2</v>
      </c>
      <c r="BN30" s="2">
        <v>2</v>
      </c>
      <c r="BO30" s="2">
        <v>2</v>
      </c>
      <c r="BP30" s="2">
        <v>2</v>
      </c>
    </row>
    <row r="31" spans="1:68" ht="24.75" customHeight="1" x14ac:dyDescent="0.25">
      <c r="A31" s="115" t="str">
        <v>door_01</v>
      </c>
      <c r="Z31" s="2">
        <v>2</v>
      </c>
      <c r="AA31" s="2">
        <v>2</v>
      </c>
      <c r="AB31" s="2">
        <v>2</v>
      </c>
      <c r="AC31" s="2">
        <v>2</v>
      </c>
      <c r="AD31" s="2">
        <v>2</v>
      </c>
      <c r="AE31" s="2">
        <v>2</v>
      </c>
    </row>
    <row r="32" spans="1:68" ht="24.75" customHeight="1" x14ac:dyDescent="0.25">
      <c r="A32" s="115" t="str">
        <v>door_02</v>
      </c>
      <c r="Z32" s="2">
        <v>2</v>
      </c>
      <c r="AA32" s="2">
        <v>2</v>
      </c>
      <c r="AB32" s="2">
        <v>2</v>
      </c>
      <c r="AC32" s="2">
        <v>2</v>
      </c>
      <c r="AD32" s="2">
        <v>2</v>
      </c>
      <c r="AE32" s="2">
        <v>2</v>
      </c>
    </row>
    <row r="33" spans="1:31" ht="24.75" customHeight="1" x14ac:dyDescent="0.25">
      <c r="A33" s="115" t="str">
        <v>door_03</v>
      </c>
      <c r="Z33" s="2">
        <v>2</v>
      </c>
      <c r="AA33" s="2">
        <v>2</v>
      </c>
      <c r="AB33" s="2">
        <v>2</v>
      </c>
      <c r="AC33" s="2">
        <v>2</v>
      </c>
      <c r="AD33" s="2">
        <v>2</v>
      </c>
      <c r="AE33" s="2">
        <v>2</v>
      </c>
    </row>
    <row r="34" spans="1:31" ht="24.75" customHeight="1" x14ac:dyDescent="0.25">
      <c r="A34" s="115" t="str">
        <v>door_04</v>
      </c>
      <c r="Z34" s="2">
        <v>2</v>
      </c>
      <c r="AA34" s="2">
        <v>2</v>
      </c>
      <c r="AB34" s="2">
        <v>2</v>
      </c>
      <c r="AC34" s="2">
        <v>2</v>
      </c>
      <c r="AD34" s="2">
        <v>2</v>
      </c>
      <c r="AE34" s="2">
        <v>2</v>
      </c>
    </row>
    <row r="35" spans="1:31" ht="24.75" customHeight="1" x14ac:dyDescent="0.25">
      <c r="A35" s="115" t="str">
        <v>door_05</v>
      </c>
      <c r="Z35" s="2">
        <v>2</v>
      </c>
      <c r="AA35" s="2">
        <v>2</v>
      </c>
      <c r="AB35" s="2">
        <v>2</v>
      </c>
      <c r="AC35" s="2">
        <v>2</v>
      </c>
      <c r="AD35" s="2">
        <v>2</v>
      </c>
      <c r="AE35" s="2">
        <v>2</v>
      </c>
    </row>
    <row r="36" spans="1:31" ht="24.75" customHeight="1" x14ac:dyDescent="0.25">
      <c r="A36" s="115" t="str">
        <v>fake_int</v>
      </c>
      <c r="AC36" s="2">
        <v>2</v>
      </c>
    </row>
    <row r="37" spans="1:31" ht="24.75" customHeight="1" x14ac:dyDescent="0.25">
      <c r="A37" s="115" t="str">
        <v>flr_01</v>
      </c>
      <c r="Z37" s="2">
        <v>2</v>
      </c>
      <c r="AA37" s="2">
        <v>2</v>
      </c>
      <c r="AB37" s="2">
        <v>2</v>
      </c>
      <c r="AC37" s="2">
        <v>2</v>
      </c>
      <c r="AD37" s="2">
        <v>2</v>
      </c>
      <c r="AE37" s="2">
        <v>2</v>
      </c>
    </row>
    <row r="38" spans="1:31" ht="24.75" customHeight="1" x14ac:dyDescent="0.25">
      <c r="A38" s="115" t="str">
        <v>flr_02</v>
      </c>
      <c r="Z38" s="2">
        <v>2</v>
      </c>
      <c r="AA38" s="2">
        <v>2</v>
      </c>
      <c r="AB38" s="2">
        <v>2</v>
      </c>
      <c r="AC38" s="2">
        <v>2</v>
      </c>
      <c r="AD38" s="2">
        <v>2</v>
      </c>
      <c r="AE38" s="2">
        <v>2</v>
      </c>
    </row>
    <row r="39" spans="1:31" ht="24.75" customHeight="1" x14ac:dyDescent="0.25">
      <c r="A39" s="115" t="str">
        <v>hill</v>
      </c>
      <c r="D39" s="2">
        <v>1</v>
      </c>
      <c r="F39" s="2">
        <v>1</v>
      </c>
      <c r="H39" s="2">
        <v>1</v>
      </c>
      <c r="I39" s="2">
        <v>1</v>
      </c>
      <c r="M39" s="2">
        <v>1</v>
      </c>
      <c r="N39" s="2">
        <v>1</v>
      </c>
      <c r="R39" s="2">
        <v>1</v>
      </c>
    </row>
    <row r="40" spans="1:31" ht="24.75" customHeight="1" x14ac:dyDescent="0.25">
      <c r="A40" s="115" t="str">
        <v>house_01</v>
      </c>
      <c r="Z40" s="2">
        <v>2</v>
      </c>
      <c r="AA40" s="2">
        <v>2</v>
      </c>
      <c r="AB40" s="2">
        <v>2</v>
      </c>
      <c r="AC40" s="2">
        <v>2</v>
      </c>
      <c r="AD40" s="2">
        <v>2</v>
      </c>
      <c r="AE40" s="2">
        <v>2</v>
      </c>
    </row>
    <row r="41" spans="1:31" ht="24.75" customHeight="1" x14ac:dyDescent="0.25">
      <c r="A41" s="115" t="str">
        <v>house_02</v>
      </c>
      <c r="Z41" s="2">
        <v>2</v>
      </c>
      <c r="AA41" s="2">
        <v>2</v>
      </c>
      <c r="AB41" s="2">
        <v>2</v>
      </c>
      <c r="AC41" s="2">
        <v>2</v>
      </c>
      <c r="AD41" s="2">
        <v>2</v>
      </c>
      <c r="AE41" s="2">
        <v>2</v>
      </c>
    </row>
    <row r="42" spans="1:31" ht="24.75" customHeight="1" x14ac:dyDescent="0.25">
      <c r="A42" s="115" t="str">
        <v>house_03</v>
      </c>
      <c r="Z42" s="2">
        <v>2</v>
      </c>
      <c r="AA42" s="2">
        <v>2</v>
      </c>
      <c r="AB42" s="2">
        <v>2</v>
      </c>
      <c r="AC42" s="2">
        <v>2</v>
      </c>
      <c r="AD42" s="2">
        <v>2</v>
      </c>
      <c r="AE42" s="2">
        <v>2</v>
      </c>
    </row>
    <row r="43" spans="1:31" ht="24.75" customHeight="1" x14ac:dyDescent="0.25">
      <c r="A43" s="115" t="str">
        <v>house_04</v>
      </c>
      <c r="Z43" s="2">
        <v>2</v>
      </c>
      <c r="AA43" s="2">
        <v>2</v>
      </c>
      <c r="AB43" s="2">
        <v>2</v>
      </c>
      <c r="AC43" s="2">
        <v>2</v>
      </c>
      <c r="AD43" s="2">
        <v>2</v>
      </c>
      <c r="AE43" s="2">
        <v>2</v>
      </c>
    </row>
    <row r="44" spans="1:31" ht="24.75" customHeight="1" x14ac:dyDescent="0.25">
      <c r="A44" s="115" t="str">
        <v>house_05</v>
      </c>
      <c r="Z44" s="2">
        <v>2</v>
      </c>
      <c r="AA44" s="2">
        <v>2</v>
      </c>
      <c r="AB44" s="2">
        <v>2</v>
      </c>
      <c r="AC44" s="2">
        <v>2</v>
      </c>
      <c r="AD44" s="2">
        <v>2</v>
      </c>
      <c r="AE44" s="2">
        <v>2</v>
      </c>
    </row>
    <row r="45" spans="1:31" ht="24.75" customHeight="1" x14ac:dyDescent="0.25">
      <c r="A45" s="115" t="str">
        <v>house_06</v>
      </c>
      <c r="Z45" s="2">
        <v>2</v>
      </c>
      <c r="AA45" s="2">
        <v>2</v>
      </c>
      <c r="AB45" s="2">
        <v>2</v>
      </c>
      <c r="AC45" s="2">
        <v>2</v>
      </c>
      <c r="AD45" s="2">
        <v>2</v>
      </c>
      <c r="AE45" s="2">
        <v>2</v>
      </c>
    </row>
    <row r="46" spans="1:31" ht="24.75" customHeight="1" x14ac:dyDescent="0.25">
      <c r="A46" s="115" t="str">
        <v>house_07</v>
      </c>
      <c r="Z46" s="2">
        <v>2</v>
      </c>
      <c r="AA46" s="2">
        <v>2</v>
      </c>
      <c r="AB46" s="2">
        <v>2</v>
      </c>
      <c r="AC46" s="2">
        <v>2</v>
      </c>
      <c r="AD46" s="2">
        <v>2</v>
      </c>
      <c r="AE46" s="2">
        <v>2</v>
      </c>
    </row>
    <row r="47" spans="1:31" ht="24.75" customHeight="1" x14ac:dyDescent="0.25">
      <c r="A47" s="115" t="str">
        <v>house_08</v>
      </c>
      <c r="Z47" s="2">
        <v>2</v>
      </c>
      <c r="AA47" s="2">
        <v>2</v>
      </c>
      <c r="AB47" s="2">
        <v>2</v>
      </c>
      <c r="AC47" s="2">
        <v>2</v>
      </c>
      <c r="AD47" s="2">
        <v>2</v>
      </c>
      <c r="AE47" s="2">
        <v>2</v>
      </c>
    </row>
    <row r="48" spans="1:31" ht="24.75" customHeight="1" x14ac:dyDescent="0.25">
      <c r="A48" s="115" t="str">
        <v>arrows</v>
      </c>
      <c r="Z48" s="2">
        <v>2</v>
      </c>
      <c r="AA48" s="2">
        <v>2</v>
      </c>
      <c r="AB48" s="2">
        <v>2</v>
      </c>
      <c r="AC48" s="2">
        <v>2</v>
      </c>
      <c r="AD48" s="2">
        <v>2</v>
      </c>
      <c r="AE48" s="2">
        <v>2</v>
      </c>
    </row>
    <row r="49" spans="1:31" ht="24.75" customHeight="1" x14ac:dyDescent="0.25">
      <c r="A49" s="115" t="str">
        <v>plaines_01</v>
      </c>
      <c r="Z49" s="2">
        <v>2</v>
      </c>
      <c r="AA49" s="2">
        <v>2</v>
      </c>
      <c r="AB49" s="2">
        <v>2</v>
      </c>
      <c r="AC49" s="2">
        <v>2</v>
      </c>
      <c r="AD49" s="2">
        <v>2</v>
      </c>
      <c r="AE49" s="2">
        <v>2</v>
      </c>
    </row>
    <row r="50" spans="1:31" ht="24.75" customHeight="1" x14ac:dyDescent="0.25">
      <c r="A50" s="115" t="str">
        <v>plaines_02</v>
      </c>
      <c r="Z50" s="2">
        <v>2</v>
      </c>
      <c r="AA50" s="2">
        <v>2</v>
      </c>
      <c r="AB50" s="2">
        <v>2</v>
      </c>
      <c r="AC50" s="2">
        <v>2</v>
      </c>
      <c r="AD50" s="2">
        <v>2</v>
      </c>
      <c r="AE50" s="2">
        <v>2</v>
      </c>
    </row>
    <row r="51" spans="1:31" ht="24.75" customHeight="1" x14ac:dyDescent="0.25">
      <c r="A51" s="115" t="str">
        <v>plaines_03</v>
      </c>
      <c r="Z51" s="2">
        <v>2</v>
      </c>
      <c r="AA51" s="2">
        <v>2</v>
      </c>
      <c r="AB51" s="2">
        <v>2</v>
      </c>
      <c r="AC51" s="2">
        <v>2</v>
      </c>
      <c r="AD51" s="2">
        <v>2</v>
      </c>
      <c r="AE51" s="2">
        <v>2</v>
      </c>
    </row>
    <row r="52" spans="1:31" ht="24.75" customHeight="1" x14ac:dyDescent="0.25">
      <c r="A52" s="115" t="str">
        <v>accessory_01</v>
      </c>
      <c r="Z52" s="2">
        <v>2</v>
      </c>
      <c r="AA52" s="2">
        <v>2</v>
      </c>
      <c r="AB52" s="2">
        <v>2</v>
      </c>
      <c r="AC52" s="2">
        <v>2</v>
      </c>
      <c r="AD52" s="2">
        <v>2</v>
      </c>
      <c r="AE52" s="2">
        <v>2</v>
      </c>
    </row>
    <row r="53" spans="1:31" ht="24.75" customHeight="1" x14ac:dyDescent="0.25">
      <c r="A53" s="115" t="str">
        <v>accessory_02</v>
      </c>
      <c r="Z53" s="2">
        <v>2</v>
      </c>
      <c r="AA53" s="2">
        <v>2</v>
      </c>
      <c r="AB53" s="2">
        <v>2</v>
      </c>
      <c r="AC53" s="2">
        <v>2</v>
      </c>
      <c r="AD53" s="2">
        <v>2</v>
      </c>
      <c r="AE53" s="2">
        <v>2</v>
      </c>
    </row>
    <row r="54" spans="1:31" ht="24.75" customHeight="1" x14ac:dyDescent="0.25">
      <c r="A54" s="115" t="str">
        <v>accessory_03</v>
      </c>
      <c r="Z54" s="2">
        <v>2</v>
      </c>
      <c r="AA54" s="2">
        <v>2</v>
      </c>
      <c r="AB54" s="2">
        <v>2</v>
      </c>
      <c r="AC54" s="2">
        <v>2</v>
      </c>
      <c r="AD54" s="2">
        <v>2</v>
      </c>
      <c r="AE54" s="2">
        <v>2</v>
      </c>
    </row>
    <row r="55" spans="1:31" ht="24.75" customHeight="1" x14ac:dyDescent="0.25">
      <c r="A55" s="115" t="str">
        <v>accessory_04</v>
      </c>
      <c r="Z55" s="2">
        <v>2</v>
      </c>
      <c r="AA55" s="2">
        <v>2</v>
      </c>
      <c r="AB55" s="2">
        <v>2</v>
      </c>
      <c r="AC55" s="2">
        <v>2</v>
      </c>
      <c r="AD55" s="2">
        <v>2</v>
      </c>
      <c r="AE55" s="2">
        <v>2</v>
      </c>
    </row>
    <row r="56" spans="1:31" ht="24.75" customHeight="1" x14ac:dyDescent="0.25">
      <c r="A56" s="115" t="str">
        <v>arrow</v>
      </c>
      <c r="Z56" s="2">
        <v>2</v>
      </c>
      <c r="AA56" s="2">
        <v>2</v>
      </c>
      <c r="AB56" s="2">
        <v>2</v>
      </c>
      <c r="AC56" s="2">
        <v>2</v>
      </c>
      <c r="AD56" s="2">
        <v>2</v>
      </c>
      <c r="AE56" s="2">
        <v>2</v>
      </c>
    </row>
    <row r="57" spans="1:31" ht="24.75" customHeight="1" x14ac:dyDescent="0.25">
      <c r="A57" s="115" t="str">
        <v>banner</v>
      </c>
      <c r="Z57" s="2">
        <v>2</v>
      </c>
      <c r="AA57" s="2">
        <v>2</v>
      </c>
      <c r="AB57" s="2">
        <v>2</v>
      </c>
      <c r="AC57" s="2">
        <v>2</v>
      </c>
      <c r="AD57" s="2">
        <v>2</v>
      </c>
      <c r="AE57" s="2">
        <v>2</v>
      </c>
    </row>
    <row r="58" spans="1:31" ht="24.75" customHeight="1" x14ac:dyDescent="0.25">
      <c r="A58" s="115" t="str">
        <v>bow</v>
      </c>
      <c r="Z58" s="2">
        <v>2</v>
      </c>
      <c r="AA58" s="2">
        <v>2</v>
      </c>
      <c r="AB58" s="2">
        <v>2</v>
      </c>
      <c r="AC58" s="2">
        <v>2</v>
      </c>
      <c r="AD58" s="2">
        <v>2</v>
      </c>
      <c r="AE58" s="2">
        <v>2</v>
      </c>
    </row>
    <row r="59" spans="1:31" ht="24.75" customHeight="1" x14ac:dyDescent="0.25">
      <c r="A59" s="115" t="str">
        <v>chains_01</v>
      </c>
      <c r="Z59" s="2">
        <v>2</v>
      </c>
      <c r="AA59" s="2">
        <v>2</v>
      </c>
      <c r="AB59" s="2">
        <v>2</v>
      </c>
      <c r="AC59" s="2">
        <v>2</v>
      </c>
      <c r="AD59" s="2">
        <v>2</v>
      </c>
      <c r="AE59" s="2">
        <v>2</v>
      </c>
    </row>
    <row r="60" spans="1:31" ht="24.75" customHeight="1" x14ac:dyDescent="0.25">
      <c r="A60" s="115" t="str">
        <v>chains_02</v>
      </c>
      <c r="Z60" s="2">
        <v>2</v>
      </c>
      <c r="AA60" s="2">
        <v>2</v>
      </c>
      <c r="AB60" s="2">
        <v>2</v>
      </c>
      <c r="AC60" s="2">
        <v>2</v>
      </c>
      <c r="AD60" s="2">
        <v>2</v>
      </c>
      <c r="AE60" s="2">
        <v>2</v>
      </c>
    </row>
    <row r="61" spans="1:31" ht="24.75" customHeight="1" x14ac:dyDescent="0.25">
      <c r="A61" s="115" t="str">
        <v>chains_break</v>
      </c>
      <c r="Z61" s="2">
        <v>2</v>
      </c>
      <c r="AA61" s="2">
        <v>2</v>
      </c>
      <c r="AB61" s="2">
        <v>2</v>
      </c>
      <c r="AC61" s="2">
        <v>2</v>
      </c>
      <c r="AD61" s="2">
        <v>2</v>
      </c>
      <c r="AE61" s="2">
        <v>2</v>
      </c>
    </row>
    <row r="62" spans="1:31" ht="24.75" customHeight="1" x14ac:dyDescent="0.25">
      <c r="A62" s="115" t="str">
        <v>helmet_eng_01</v>
      </c>
      <c r="Z62" s="2">
        <v>2</v>
      </c>
      <c r="AA62" s="2">
        <v>2</v>
      </c>
      <c r="AB62" s="2">
        <v>2</v>
      </c>
      <c r="AC62" s="2">
        <v>2</v>
      </c>
      <c r="AD62" s="2">
        <v>2</v>
      </c>
      <c r="AE62" s="2">
        <v>2</v>
      </c>
    </row>
    <row r="63" spans="1:31" ht="24.75" customHeight="1" x14ac:dyDescent="0.25">
      <c r="A63" s="115" t="str">
        <v>helmet_eng_02</v>
      </c>
      <c r="Z63" s="2">
        <v>2</v>
      </c>
      <c r="AA63" s="2">
        <v>2</v>
      </c>
      <c r="AB63" s="2">
        <v>2</v>
      </c>
      <c r="AC63" s="2">
        <v>2</v>
      </c>
      <c r="AD63" s="2">
        <v>2</v>
      </c>
      <c r="AE63" s="2">
        <v>2</v>
      </c>
    </row>
    <row r="64" spans="1:31" ht="24.75" customHeight="1" x14ac:dyDescent="0.25">
      <c r="A64" s="115" t="str">
        <v>helmet_fr_01</v>
      </c>
      <c r="Z64" s="2">
        <v>2</v>
      </c>
      <c r="AA64" s="2">
        <v>2</v>
      </c>
      <c r="AB64" s="2">
        <v>2</v>
      </c>
      <c r="AC64" s="2">
        <v>2</v>
      </c>
      <c r="AD64" s="2">
        <v>2</v>
      </c>
      <c r="AE64" s="2">
        <v>2</v>
      </c>
    </row>
    <row r="65" spans="1:46" ht="24.75" customHeight="1" x14ac:dyDescent="0.25">
      <c r="A65" s="115" t="str">
        <v>helmet_fr_02</v>
      </c>
      <c r="Z65" s="2">
        <v>2</v>
      </c>
      <c r="AA65" s="2">
        <v>2</v>
      </c>
      <c r="AB65" s="2">
        <v>2</v>
      </c>
      <c r="AC65" s="2">
        <v>2</v>
      </c>
      <c r="AD65" s="2">
        <v>2</v>
      </c>
      <c r="AE65" s="2">
        <v>2</v>
      </c>
    </row>
    <row r="66" spans="1:46" ht="24.75" customHeight="1" x14ac:dyDescent="0.25">
      <c r="A66" s="115" t="str">
        <v>helmet_fr_03</v>
      </c>
      <c r="Z66" s="2">
        <v>2</v>
      </c>
      <c r="AA66" s="2">
        <v>2</v>
      </c>
      <c r="AB66" s="2">
        <v>2</v>
      </c>
      <c r="AC66" s="2">
        <v>2</v>
      </c>
      <c r="AD66" s="2">
        <v>2</v>
      </c>
      <c r="AE66" s="2">
        <v>2</v>
      </c>
    </row>
    <row r="67" spans="1:46" ht="24.75" customHeight="1" x14ac:dyDescent="0.25">
      <c r="A67" s="115" t="str">
        <v>mace</v>
      </c>
      <c r="Z67" s="2">
        <v>2</v>
      </c>
      <c r="AA67" s="2">
        <v>2</v>
      </c>
      <c r="AB67" s="2">
        <v>2</v>
      </c>
      <c r="AC67" s="2">
        <v>2</v>
      </c>
      <c r="AD67" s="2">
        <v>2</v>
      </c>
      <c r="AE67" s="2">
        <v>2</v>
      </c>
    </row>
    <row r="68" spans="1:46" ht="24.75" customHeight="1" x14ac:dyDescent="0.25">
      <c r="A68" s="115" t="str">
        <v>shield</v>
      </c>
      <c r="Z68" s="2">
        <v>2</v>
      </c>
      <c r="AA68" s="2">
        <v>2</v>
      </c>
      <c r="AB68" s="2">
        <v>2</v>
      </c>
      <c r="AC68" s="2">
        <v>2</v>
      </c>
      <c r="AD68" s="2">
        <v>2</v>
      </c>
      <c r="AE68" s="2">
        <v>2</v>
      </c>
    </row>
    <row r="69" spans="1:46" ht="24.75" customHeight="1" x14ac:dyDescent="0.25">
      <c r="A69" s="115" t="str">
        <v>swrd</v>
      </c>
      <c r="Z69" s="2">
        <v>2</v>
      </c>
      <c r="AA69" s="2">
        <v>2</v>
      </c>
      <c r="AB69" s="2">
        <v>2</v>
      </c>
      <c r="AC69" s="2">
        <v>2</v>
      </c>
      <c r="AD69" s="2">
        <v>2</v>
      </c>
      <c r="AE69" s="2">
        <v>2</v>
      </c>
    </row>
    <row r="70" spans="1:46" ht="24.75" customHeight="1" x14ac:dyDescent="0.25">
      <c r="A70" s="115" t="str">
        <v>swrd_01</v>
      </c>
      <c r="Z70" s="2">
        <v>2</v>
      </c>
      <c r="AA70" s="2">
        <v>2</v>
      </c>
      <c r="AB70" s="2">
        <v>2</v>
      </c>
      <c r="AC70" s="2">
        <v>2</v>
      </c>
      <c r="AD70" s="2">
        <v>2</v>
      </c>
      <c r="AE70" s="2">
        <v>2</v>
      </c>
    </row>
    <row r="71" spans="1:46" ht="24.75" customHeight="1" x14ac:dyDescent="0.25">
      <c r="A71" s="115" t="str">
        <v>weapon_01</v>
      </c>
      <c r="Z71" s="2">
        <v>2</v>
      </c>
      <c r="AA71" s="2">
        <v>2</v>
      </c>
      <c r="AB71" s="2">
        <v>2</v>
      </c>
      <c r="AC71" s="2">
        <v>2</v>
      </c>
      <c r="AD71" s="2">
        <v>2</v>
      </c>
      <c r="AE71" s="2">
        <v>2</v>
      </c>
    </row>
    <row r="72" spans="1:46" ht="24.75" customHeight="1" x14ac:dyDescent="0.25">
      <c r="A72" s="115" t="str">
        <v>weapon_02</v>
      </c>
      <c r="Z72" s="2">
        <v>2</v>
      </c>
      <c r="AA72" s="2">
        <v>2</v>
      </c>
      <c r="AB72" s="2">
        <v>2</v>
      </c>
      <c r="AC72" s="2">
        <v>2</v>
      </c>
      <c r="AD72" s="2">
        <v>2</v>
      </c>
      <c r="AE72" s="2">
        <v>2</v>
      </c>
    </row>
    <row r="73" spans="1:46" ht="24.75" customHeight="1" x14ac:dyDescent="0.25">
      <c r="A73" s="115" t="str">
        <v>weapon_03</v>
      </c>
      <c r="Z73" s="2">
        <v>2</v>
      </c>
      <c r="AA73" s="2">
        <v>2</v>
      </c>
      <c r="AB73" s="2">
        <v>2</v>
      </c>
      <c r="AC73" s="2">
        <v>2</v>
      </c>
      <c r="AD73" s="2">
        <v>2</v>
      </c>
      <c r="AE73" s="2">
        <v>2</v>
      </c>
    </row>
    <row r="74" spans="1:46" ht="24.75" customHeight="1" x14ac:dyDescent="0.25">
      <c r="A74" s="115" t="str">
        <v>weapon_04</v>
      </c>
    </row>
    <row r="75" spans="1:46" ht="24.75" customHeight="1" x14ac:dyDescent="0.25">
      <c r="A75" s="115" t="str">
        <v>weapon_05</v>
      </c>
      <c r="D75" s="2">
        <v>2</v>
      </c>
      <c r="E75" s="2">
        <v>2</v>
      </c>
      <c r="F75" s="2">
        <v>2</v>
      </c>
      <c r="G75" s="2">
        <v>2</v>
      </c>
      <c r="H75" s="2">
        <v>2</v>
      </c>
      <c r="I75" s="2">
        <v>2</v>
      </c>
      <c r="J75" s="2">
        <v>2</v>
      </c>
      <c r="K75" s="2">
        <v>2</v>
      </c>
      <c r="L75" s="2">
        <v>2</v>
      </c>
      <c r="M75" s="2">
        <v>2</v>
      </c>
      <c r="N75" s="2">
        <v>2</v>
      </c>
      <c r="O75" s="2">
        <v>2</v>
      </c>
      <c r="P75" s="2">
        <v>2</v>
      </c>
      <c r="Q75" s="2">
        <v>2</v>
      </c>
      <c r="R75" s="2">
        <v>2</v>
      </c>
      <c r="S75" s="2">
        <v>2</v>
      </c>
      <c r="T75" s="2">
        <v>2</v>
      </c>
      <c r="U75" s="2">
        <v>2</v>
      </c>
      <c r="V75" s="2">
        <v>2</v>
      </c>
      <c r="W75" s="2">
        <v>2</v>
      </c>
      <c r="X75" s="2">
        <v>2</v>
      </c>
    </row>
    <row r="76" spans="1:46" ht="24.75" customHeight="1" x14ac:dyDescent="0.25">
      <c r="A76" s="115" t="str">
        <v>broken_vitrail</v>
      </c>
      <c r="D76" s="2">
        <v>2</v>
      </c>
      <c r="E76" s="2">
        <v>2</v>
      </c>
      <c r="F76" s="2">
        <v>2</v>
      </c>
      <c r="G76" s="2">
        <v>2</v>
      </c>
      <c r="H76" s="2">
        <v>2</v>
      </c>
      <c r="I76" s="2">
        <v>2</v>
      </c>
      <c r="J76" s="2">
        <v>2</v>
      </c>
      <c r="K76" s="2">
        <v>2</v>
      </c>
      <c r="L76" s="2">
        <v>2</v>
      </c>
      <c r="M76" s="2">
        <v>2</v>
      </c>
      <c r="N76" s="2">
        <v>2</v>
      </c>
      <c r="O76" s="2">
        <v>2</v>
      </c>
      <c r="P76" s="2">
        <v>2</v>
      </c>
      <c r="Q76" s="2">
        <v>2</v>
      </c>
      <c r="R76" s="2">
        <v>2</v>
      </c>
      <c r="S76" s="2">
        <v>2</v>
      </c>
      <c r="T76" s="2">
        <v>2</v>
      </c>
      <c r="U76" s="2">
        <v>2</v>
      </c>
      <c r="V76" s="2">
        <v>2</v>
      </c>
      <c r="W76" s="2">
        <v>2</v>
      </c>
      <c r="X76" s="2">
        <v>2</v>
      </c>
    </row>
    <row r="77" spans="1:46" ht="24.75" customHeight="1" x14ac:dyDescent="0.25">
      <c r="D77" s="2">
        <v>2</v>
      </c>
      <c r="E77" s="2">
        <v>2</v>
      </c>
      <c r="F77" s="2">
        <v>2</v>
      </c>
      <c r="G77" s="2">
        <v>2</v>
      </c>
      <c r="H77" s="2">
        <v>2</v>
      </c>
      <c r="I77" s="2">
        <v>2</v>
      </c>
      <c r="J77" s="2">
        <v>2</v>
      </c>
      <c r="K77" s="2">
        <v>2</v>
      </c>
      <c r="L77" s="2">
        <v>2</v>
      </c>
      <c r="M77" s="2">
        <v>2</v>
      </c>
      <c r="N77" s="2">
        <v>2</v>
      </c>
      <c r="O77" s="2">
        <v>2</v>
      </c>
      <c r="P77" s="2">
        <v>2</v>
      </c>
      <c r="Q77" s="2">
        <v>2</v>
      </c>
      <c r="R77" s="2">
        <v>2</v>
      </c>
      <c r="S77" s="2">
        <v>2</v>
      </c>
      <c r="T77" s="2">
        <v>2</v>
      </c>
      <c r="U77" s="2">
        <v>2</v>
      </c>
      <c r="V77" s="2">
        <v>2</v>
      </c>
      <c r="W77" s="2">
        <v>2</v>
      </c>
      <c r="X77" s="2">
        <v>2</v>
      </c>
    </row>
    <row r="78" spans="1:46" ht="24.75" customHeight="1" x14ac:dyDescent="0.25">
      <c r="Y78" s="2">
        <v>2</v>
      </c>
      <c r="Z78" s="2">
        <v>2</v>
      </c>
      <c r="AA78" s="2">
        <v>2</v>
      </c>
      <c r="AB78" s="2">
        <v>2</v>
      </c>
      <c r="AC78" s="2">
        <v>2</v>
      </c>
      <c r="AD78" s="2">
        <v>2</v>
      </c>
      <c r="AE78" s="2">
        <v>2</v>
      </c>
      <c r="AF78" s="2">
        <v>2</v>
      </c>
      <c r="AG78" s="2">
        <v>2</v>
      </c>
      <c r="AJ78" s="2">
        <v>2</v>
      </c>
      <c r="AK78" s="2">
        <v>2</v>
      </c>
      <c r="AL78" s="2">
        <v>2</v>
      </c>
      <c r="AM78" s="2">
        <v>2</v>
      </c>
      <c r="AN78" s="2">
        <v>2</v>
      </c>
      <c r="AO78" s="2">
        <v>2</v>
      </c>
      <c r="AP78" s="2">
        <v>2</v>
      </c>
      <c r="AQ78" s="2">
        <v>2</v>
      </c>
      <c r="AR78" s="2">
        <v>2</v>
      </c>
      <c r="AS78" s="2">
        <v>2</v>
      </c>
      <c r="AT78" s="2">
        <v>2</v>
      </c>
    </row>
    <row r="79" spans="1:46" ht="24.75" customHeight="1" x14ac:dyDescent="0.25">
      <c r="Y79" s="2">
        <v>2</v>
      </c>
      <c r="Z79" s="2">
        <v>2</v>
      </c>
      <c r="AA79" s="2">
        <v>2</v>
      </c>
      <c r="AB79" s="2">
        <v>2</v>
      </c>
      <c r="AC79" s="2">
        <v>2</v>
      </c>
      <c r="AD79" s="2">
        <v>2</v>
      </c>
      <c r="AE79" s="2">
        <v>2</v>
      </c>
      <c r="AF79" s="2">
        <v>2</v>
      </c>
      <c r="AG79" s="2">
        <v>2</v>
      </c>
      <c r="AJ79" s="2">
        <v>2</v>
      </c>
      <c r="AK79" s="2">
        <v>2</v>
      </c>
      <c r="AL79" s="2">
        <v>2</v>
      </c>
      <c r="AM79" s="2">
        <v>2</v>
      </c>
      <c r="AN79" s="2">
        <v>2</v>
      </c>
      <c r="AO79" s="2">
        <v>2</v>
      </c>
      <c r="AP79" s="2">
        <v>2</v>
      </c>
      <c r="AQ79" s="2">
        <v>2</v>
      </c>
      <c r="AR79" s="2">
        <v>2</v>
      </c>
      <c r="AS79" s="2">
        <v>2</v>
      </c>
      <c r="AT79" s="2">
        <v>2</v>
      </c>
    </row>
    <row r="80" spans="1:46" ht="24.75" customHeight="1" x14ac:dyDescent="0.25">
      <c r="Y80" s="2">
        <v>2</v>
      </c>
      <c r="Z80" s="2">
        <v>2</v>
      </c>
      <c r="AA80" s="2">
        <v>2</v>
      </c>
      <c r="AB80" s="2">
        <v>2</v>
      </c>
      <c r="AC80" s="2">
        <v>2</v>
      </c>
      <c r="AD80" s="2">
        <v>2</v>
      </c>
      <c r="AE80" s="2">
        <v>2</v>
      </c>
      <c r="AF80" s="2">
        <v>2</v>
      </c>
      <c r="AG80" s="2">
        <v>2</v>
      </c>
      <c r="AJ80" s="2">
        <v>2</v>
      </c>
      <c r="AK80" s="2">
        <v>2</v>
      </c>
      <c r="AL80" s="2">
        <v>2</v>
      </c>
      <c r="AM80" s="2">
        <v>2</v>
      </c>
      <c r="AN80" s="2">
        <v>2</v>
      </c>
      <c r="AO80" s="2">
        <v>2</v>
      </c>
      <c r="AP80" s="2">
        <v>2</v>
      </c>
      <c r="AQ80" s="2">
        <v>2</v>
      </c>
      <c r="AR80" s="2">
        <v>2</v>
      </c>
      <c r="AS80" s="2">
        <v>2</v>
      </c>
      <c r="AT80" s="2">
        <v>2</v>
      </c>
    </row>
    <row r="81" spans="4:68" ht="24.75" customHeight="1" x14ac:dyDescent="0.25">
      <c r="M81" s="2">
        <v>1</v>
      </c>
      <c r="W81" s="2">
        <v>1</v>
      </c>
      <c r="X81" s="2">
        <v>1</v>
      </c>
    </row>
    <row r="82" spans="4:68" ht="24.75" customHeight="1" x14ac:dyDescent="0.25">
      <c r="D82" s="2">
        <v>1</v>
      </c>
      <c r="F82" s="2">
        <v>2</v>
      </c>
      <c r="H82" s="2">
        <v>2</v>
      </c>
      <c r="I82" s="2">
        <v>2</v>
      </c>
      <c r="J82" s="2">
        <v>2</v>
      </c>
      <c r="N82" s="2">
        <v>2</v>
      </c>
      <c r="O82" s="2">
        <v>2</v>
      </c>
      <c r="U82" s="2">
        <v>2</v>
      </c>
      <c r="V82" s="2">
        <v>2</v>
      </c>
      <c r="W82" s="2">
        <v>2</v>
      </c>
      <c r="X82" s="2">
        <v>2</v>
      </c>
    </row>
    <row r="83" spans="4:68" ht="24.75" customHeight="1" x14ac:dyDescent="0.25">
      <c r="M83" s="2">
        <v>1</v>
      </c>
    </row>
    <row r="84" spans="4:68" ht="24.75" customHeight="1" x14ac:dyDescent="0.25">
      <c r="R84" s="2">
        <v>1</v>
      </c>
      <c r="AU84" s="2">
        <v>1</v>
      </c>
      <c r="AW84" s="2">
        <v>1</v>
      </c>
      <c r="AY84" s="2">
        <v>2</v>
      </c>
      <c r="AZ84" s="2">
        <v>2</v>
      </c>
      <c r="BA84" s="2">
        <v>2</v>
      </c>
      <c r="BB84" s="2">
        <v>2</v>
      </c>
      <c r="BP84" s="2">
        <v>1</v>
      </c>
    </row>
    <row r="85" spans="4:68" ht="24.75" customHeight="1" x14ac:dyDescent="0.25">
      <c r="Y85" s="2">
        <v>1</v>
      </c>
      <c r="Z85" s="2">
        <v>1</v>
      </c>
      <c r="AA85" s="2">
        <v>1</v>
      </c>
      <c r="AB85" s="2">
        <v>1</v>
      </c>
      <c r="AC85" s="2">
        <v>1</v>
      </c>
      <c r="AD85" s="2">
        <v>1</v>
      </c>
      <c r="AE85" s="2">
        <v>1</v>
      </c>
      <c r="AF85" s="2">
        <v>1</v>
      </c>
      <c r="AG85" s="2">
        <v>1</v>
      </c>
      <c r="AJ85" s="2">
        <v>1</v>
      </c>
      <c r="AK85" s="2">
        <v>1</v>
      </c>
    </row>
    <row r="87" spans="4:68" ht="24.75" customHeight="1" x14ac:dyDescent="0.25">
      <c r="AJ87" s="2">
        <v>1</v>
      </c>
      <c r="AK87" s="2">
        <v>1</v>
      </c>
      <c r="AL87" s="2">
        <v>1</v>
      </c>
      <c r="AM87" s="2">
        <v>1</v>
      </c>
      <c r="AN87" s="2">
        <v>1</v>
      </c>
      <c r="AO87" s="2">
        <v>1</v>
      </c>
      <c r="AP87" s="2">
        <v>1</v>
      </c>
      <c r="AQ87" s="2">
        <v>1</v>
      </c>
      <c r="AR87" s="2">
        <v>1</v>
      </c>
      <c r="AS87" s="2">
        <v>1</v>
      </c>
      <c r="AT87" s="2">
        <v>1</v>
      </c>
      <c r="AU87" s="2">
        <v>1</v>
      </c>
      <c r="AV87" s="2">
        <v>1</v>
      </c>
      <c r="AW87" s="2">
        <v>1</v>
      </c>
      <c r="AY87" s="2">
        <v>1</v>
      </c>
      <c r="AZ87" s="2">
        <v>1</v>
      </c>
      <c r="BA87" s="2">
        <v>1</v>
      </c>
      <c r="BB87" s="2">
        <v>1</v>
      </c>
      <c r="BC87" s="2">
        <v>1</v>
      </c>
      <c r="BD87" s="2">
        <v>1</v>
      </c>
      <c r="BF87" s="2">
        <v>1</v>
      </c>
    </row>
    <row r="90" spans="4:68" ht="24.75" customHeight="1" x14ac:dyDescent="0.25">
      <c r="D90" s="2">
        <v>2</v>
      </c>
      <c r="E90" s="2">
        <v>2</v>
      </c>
      <c r="F90" s="2">
        <v>2</v>
      </c>
      <c r="G90" s="2">
        <v>2</v>
      </c>
      <c r="H90" s="2">
        <v>2</v>
      </c>
      <c r="I90" s="2">
        <v>2</v>
      </c>
      <c r="J90" s="2">
        <v>2</v>
      </c>
      <c r="M90" s="2">
        <v>2</v>
      </c>
      <c r="N90" s="2">
        <v>2</v>
      </c>
      <c r="O90" s="2">
        <v>2</v>
      </c>
      <c r="P90" s="2">
        <v>2</v>
      </c>
      <c r="Q90" s="2">
        <v>2</v>
      </c>
      <c r="R90" s="2">
        <v>2</v>
      </c>
      <c r="S90" s="2">
        <v>2</v>
      </c>
      <c r="T90" s="2">
        <v>2</v>
      </c>
      <c r="U90" s="2">
        <v>2</v>
      </c>
      <c r="V90" s="2">
        <v>2</v>
      </c>
      <c r="W90" s="2">
        <v>2</v>
      </c>
      <c r="X90" s="2">
        <v>2</v>
      </c>
    </row>
    <row r="91" spans="4:68" ht="24.75" customHeight="1" x14ac:dyDescent="0.25">
      <c r="D91" s="2">
        <v>2</v>
      </c>
      <c r="E91" s="2">
        <v>2</v>
      </c>
      <c r="F91" s="2">
        <v>2</v>
      </c>
      <c r="G91" s="2">
        <v>2</v>
      </c>
      <c r="H91" s="2">
        <v>2</v>
      </c>
      <c r="I91" s="2">
        <v>2</v>
      </c>
      <c r="J91" s="2">
        <v>2</v>
      </c>
      <c r="M91" s="2">
        <v>2</v>
      </c>
      <c r="N91" s="2">
        <v>2</v>
      </c>
      <c r="O91" s="2">
        <v>2</v>
      </c>
      <c r="P91" s="2">
        <v>2</v>
      </c>
      <c r="Q91" s="2">
        <v>2</v>
      </c>
      <c r="R91" s="2">
        <v>2</v>
      </c>
      <c r="S91" s="2">
        <v>2</v>
      </c>
      <c r="T91" s="2">
        <v>2</v>
      </c>
      <c r="U91" s="2">
        <v>2</v>
      </c>
      <c r="V91" s="2">
        <v>2</v>
      </c>
      <c r="W91" s="2">
        <v>2</v>
      </c>
      <c r="X91" s="2">
        <v>2</v>
      </c>
    </row>
    <row r="92" spans="4:68" ht="24.75" customHeight="1" x14ac:dyDescent="0.25">
      <c r="D92" s="2">
        <v>2</v>
      </c>
      <c r="E92" s="2">
        <v>2</v>
      </c>
      <c r="F92" s="2">
        <v>2</v>
      </c>
      <c r="G92" s="2">
        <v>2</v>
      </c>
      <c r="H92" s="2">
        <v>2</v>
      </c>
      <c r="I92" s="2">
        <v>2</v>
      </c>
      <c r="J92" s="2">
        <v>2</v>
      </c>
      <c r="M92" s="2">
        <v>2</v>
      </c>
      <c r="N92" s="2">
        <v>2</v>
      </c>
      <c r="O92" s="2">
        <v>2</v>
      </c>
      <c r="P92" s="2">
        <v>2</v>
      </c>
      <c r="Q92" s="2">
        <v>2</v>
      </c>
      <c r="R92" s="2">
        <v>2</v>
      </c>
      <c r="S92" s="2">
        <v>2</v>
      </c>
      <c r="T92" s="2">
        <v>2</v>
      </c>
      <c r="U92" s="2">
        <v>2</v>
      </c>
      <c r="V92" s="2">
        <v>2</v>
      </c>
      <c r="W92" s="2">
        <v>2</v>
      </c>
      <c r="X92" s="2">
        <v>2</v>
      </c>
    </row>
    <row r="93" spans="4:68" ht="24.75" customHeight="1" x14ac:dyDescent="0.25">
      <c r="J93" s="2">
        <v>1</v>
      </c>
      <c r="K93" s="2">
        <v>1</v>
      </c>
      <c r="L93" s="2">
        <v>1</v>
      </c>
      <c r="M93" s="2">
        <v>1</v>
      </c>
      <c r="P93" s="2">
        <v>1</v>
      </c>
      <c r="Q93" s="2">
        <v>1</v>
      </c>
      <c r="R93" s="2">
        <v>1</v>
      </c>
      <c r="S93" s="2">
        <v>1</v>
      </c>
      <c r="T93" s="2">
        <v>1</v>
      </c>
    </row>
    <row r="94" spans="4:68" ht="24.75" customHeight="1" x14ac:dyDescent="0.25">
      <c r="E94" s="2">
        <v>1</v>
      </c>
      <c r="F94" s="2">
        <v>1</v>
      </c>
      <c r="G94" s="2">
        <v>1</v>
      </c>
      <c r="H94" s="2">
        <v>1</v>
      </c>
      <c r="I94" s="2">
        <v>1</v>
      </c>
      <c r="J94" s="2">
        <v>1</v>
      </c>
      <c r="M94" s="2">
        <v>1</v>
      </c>
      <c r="N94" s="2">
        <v>1</v>
      </c>
      <c r="O94" s="2">
        <v>1</v>
      </c>
      <c r="P94" s="2">
        <v>1</v>
      </c>
      <c r="Q94" s="2">
        <v>1</v>
      </c>
    </row>
    <row r="95" spans="4:68" ht="24.75" customHeight="1" x14ac:dyDescent="0.25">
      <c r="E95" s="2">
        <v>1</v>
      </c>
      <c r="F95" s="2">
        <v>1</v>
      </c>
      <c r="G95" s="2">
        <v>1</v>
      </c>
      <c r="H95" s="2">
        <v>1</v>
      </c>
      <c r="I95" s="2">
        <v>1</v>
      </c>
      <c r="J95" s="2">
        <v>1</v>
      </c>
      <c r="K95" s="2">
        <v>1</v>
      </c>
      <c r="L95" s="2">
        <v>1</v>
      </c>
      <c r="M95" s="2">
        <v>1</v>
      </c>
      <c r="N95" s="2">
        <v>1</v>
      </c>
      <c r="O95" s="2">
        <v>1</v>
      </c>
      <c r="P95" s="2">
        <v>1</v>
      </c>
      <c r="Q95" s="2">
        <v>1</v>
      </c>
      <c r="R95" s="2">
        <v>1</v>
      </c>
      <c r="S95" s="2">
        <v>1</v>
      </c>
      <c r="T95" s="2">
        <v>1</v>
      </c>
      <c r="U95" s="2">
        <v>1</v>
      </c>
      <c r="V95" s="2">
        <v>1</v>
      </c>
      <c r="W95" s="2">
        <v>1</v>
      </c>
      <c r="X95" s="2">
        <v>1</v>
      </c>
    </row>
    <row r="96" spans="4:68" ht="24.75" customHeight="1" x14ac:dyDescent="0.25">
      <c r="D96" s="2">
        <v>2</v>
      </c>
      <c r="E96" s="2">
        <v>2</v>
      </c>
      <c r="F96" s="2">
        <v>2</v>
      </c>
      <c r="G96" s="2">
        <v>2</v>
      </c>
      <c r="H96" s="2">
        <v>2</v>
      </c>
      <c r="I96" s="2">
        <v>2</v>
      </c>
      <c r="J96" s="2">
        <v>2</v>
      </c>
      <c r="M96" s="2">
        <v>2</v>
      </c>
      <c r="N96" s="2">
        <v>2</v>
      </c>
      <c r="O96" s="2">
        <v>2</v>
      </c>
      <c r="P96" s="2">
        <v>2</v>
      </c>
      <c r="Q96" s="2">
        <v>2</v>
      </c>
      <c r="R96" s="2">
        <v>2</v>
      </c>
      <c r="S96" s="2">
        <v>2</v>
      </c>
      <c r="T96" s="2">
        <v>2</v>
      </c>
      <c r="U96" s="2">
        <v>2</v>
      </c>
      <c r="V96" s="2">
        <v>2</v>
      </c>
      <c r="W96" s="2">
        <v>2</v>
      </c>
      <c r="X96" s="2">
        <v>2</v>
      </c>
    </row>
    <row r="97" spans="4:24" ht="24.75" customHeight="1" x14ac:dyDescent="0.25">
      <c r="D97" s="2">
        <v>2</v>
      </c>
      <c r="E97" s="2">
        <v>2</v>
      </c>
      <c r="F97" s="2">
        <v>2</v>
      </c>
      <c r="G97" s="2">
        <v>2</v>
      </c>
      <c r="H97" s="2">
        <v>2</v>
      </c>
      <c r="I97" s="2">
        <v>2</v>
      </c>
      <c r="J97" s="2">
        <v>2</v>
      </c>
      <c r="M97" s="2">
        <v>2</v>
      </c>
      <c r="N97" s="2">
        <v>2</v>
      </c>
      <c r="O97" s="2">
        <v>2</v>
      </c>
      <c r="P97" s="2">
        <v>2</v>
      </c>
      <c r="Q97" s="2">
        <v>2</v>
      </c>
      <c r="R97" s="2">
        <v>2</v>
      </c>
      <c r="S97" s="2">
        <v>2</v>
      </c>
      <c r="T97" s="2">
        <v>2</v>
      </c>
      <c r="U97" s="2">
        <v>2</v>
      </c>
      <c r="V97" s="2">
        <v>2</v>
      </c>
      <c r="W97" s="2">
        <v>2</v>
      </c>
      <c r="X97" s="2">
        <v>2</v>
      </c>
    </row>
    <row r="98" spans="4:24" ht="24.75" customHeight="1" x14ac:dyDescent="0.25">
      <c r="D98" s="2">
        <v>2</v>
      </c>
      <c r="E98" s="2">
        <v>2</v>
      </c>
      <c r="F98" s="2">
        <v>2</v>
      </c>
      <c r="G98" s="2">
        <v>2</v>
      </c>
      <c r="H98" s="2">
        <v>2</v>
      </c>
      <c r="I98" s="2">
        <v>2</v>
      </c>
      <c r="J98" s="2">
        <v>2</v>
      </c>
      <c r="M98" s="2">
        <v>2</v>
      </c>
      <c r="N98" s="2">
        <v>2</v>
      </c>
      <c r="O98" s="2">
        <v>2</v>
      </c>
      <c r="P98" s="2">
        <v>2</v>
      </c>
      <c r="Q98" s="2">
        <v>2</v>
      </c>
      <c r="R98" s="2">
        <v>2</v>
      </c>
      <c r="S98" s="2">
        <v>2</v>
      </c>
      <c r="T98" s="2">
        <v>2</v>
      </c>
      <c r="U98" s="2">
        <v>2</v>
      </c>
      <c r="V98" s="2">
        <v>2</v>
      </c>
      <c r="W98" s="2">
        <v>2</v>
      </c>
      <c r="X98" s="2">
        <v>2</v>
      </c>
    </row>
    <row r="99" spans="4:24" ht="24.75" customHeight="1" x14ac:dyDescent="0.25">
      <c r="D99" s="2">
        <v>2</v>
      </c>
      <c r="E99" s="2">
        <v>2</v>
      </c>
      <c r="F99" s="2">
        <v>2</v>
      </c>
      <c r="G99" s="2">
        <v>2</v>
      </c>
      <c r="H99" s="2">
        <v>2</v>
      </c>
      <c r="I99" s="2">
        <v>2</v>
      </c>
      <c r="J99" s="2">
        <v>2</v>
      </c>
      <c r="M99" s="2">
        <v>2</v>
      </c>
      <c r="N99" s="2">
        <v>2</v>
      </c>
      <c r="O99" s="2">
        <v>2</v>
      </c>
      <c r="P99" s="2">
        <v>2</v>
      </c>
      <c r="Q99" s="2">
        <v>2</v>
      </c>
      <c r="R99" s="2">
        <v>2</v>
      </c>
      <c r="S99" s="2">
        <v>2</v>
      </c>
      <c r="T99" s="2">
        <v>2</v>
      </c>
      <c r="U99" s="2">
        <v>2</v>
      </c>
      <c r="V99" s="2">
        <v>2</v>
      </c>
      <c r="W99" s="2">
        <v>2</v>
      </c>
      <c r="X99" s="2">
        <v>2</v>
      </c>
    </row>
    <row r="100" spans="4:24" ht="24.75" customHeight="1" x14ac:dyDescent="0.25">
      <c r="D100" s="2">
        <v>2</v>
      </c>
      <c r="E100" s="2">
        <v>2</v>
      </c>
      <c r="F100" s="2">
        <v>2</v>
      </c>
      <c r="G100" s="2">
        <v>2</v>
      </c>
      <c r="H100" s="2">
        <v>2</v>
      </c>
      <c r="I100" s="2">
        <v>2</v>
      </c>
      <c r="J100" s="2">
        <v>2</v>
      </c>
      <c r="M100" s="2">
        <v>2</v>
      </c>
      <c r="N100" s="2">
        <v>2</v>
      </c>
      <c r="O100" s="2">
        <v>2</v>
      </c>
      <c r="P100" s="2">
        <v>2</v>
      </c>
      <c r="Q100" s="2">
        <v>2</v>
      </c>
      <c r="R100" s="2">
        <v>2</v>
      </c>
      <c r="S100" s="2">
        <v>2</v>
      </c>
      <c r="T100" s="2">
        <v>2</v>
      </c>
      <c r="U100" s="2">
        <v>2</v>
      </c>
      <c r="V100" s="2">
        <v>2</v>
      </c>
      <c r="W100" s="2">
        <v>2</v>
      </c>
      <c r="X100" s="2">
        <v>2</v>
      </c>
    </row>
  </sheetData>
  <sheetProtection algorithmName="SHA-512" hashValue="sfPrTie3fHmXYrNpT07cC0SyrK2Uu9itpl3GTXho9rzDUM7mNwnsTrb5svmX2wA/eqZtTifyI331KAwOg4MBfg==" saltValue="cbQN3Zemt3CmnrdDrwjy6w==" spinCount="100000" sheet="1" selectLockedCells="1" selectUnlockedCells="1"/>
  <conditionalFormatting sqref="A1:XFD30 A31:X32 Z31:XFD35 A33:F33 H33:X33 A34:X35 A36:XFD1048576">
    <cfRule type="cellIs" dxfId="14" priority="1" operator="equal">
      <formula>2</formula>
    </cfRule>
    <cfRule type="cellIs" dxfId="13" priority="2" operator="equal">
      <formula>1</formula>
    </cfRule>
  </conditionalFormatting>
  <pageMargins left="0.7" right="0.7" top="0.75" bottom="0.75" header="0.3" footer="0.3"/>
  <pageSetup paperSize="9" orientation="portrait" horizontalDpi="360" verticalDpi="360"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4481-9337-4389-979C-F0D9013CD511}">
  <sheetPr codeName="Feuil16">
    <tabColor theme="3" tint="-0.249977111117893"/>
  </sheetPr>
  <dimension ref="B2:AC30"/>
  <sheetViews>
    <sheetView showGridLines="0" zoomScaleNormal="100" workbookViewId="0">
      <selection activeCell="G37" sqref="G36:G37"/>
    </sheetView>
  </sheetViews>
  <sheetFormatPr baseColWidth="10" defaultColWidth="8.5703125" defaultRowHeight="22.5" customHeight="1" outlineLevelRow="1" x14ac:dyDescent="0.25"/>
  <cols>
    <col min="1" max="1" width="5.28515625" style="9" customWidth="1"/>
    <col min="2" max="2" width="17.28515625" style="9" customWidth="1"/>
    <col min="3" max="9" width="8.5703125" style="9"/>
    <col min="10" max="10" width="8.5703125" style="9" customWidth="1"/>
    <col min="11" max="20" width="8.5703125" style="9"/>
    <col min="21" max="21" width="8.5703125" style="8"/>
    <col min="22" max="28" width="8.5703125" style="9"/>
    <col min="29" max="29" width="8.5703125" style="9" customWidth="1"/>
    <col min="30" max="16384" width="8.5703125" style="9"/>
  </cols>
  <sheetData>
    <row r="2" spans="2:29" ht="22.5" customHeight="1" x14ac:dyDescent="0.25">
      <c r="B2" s="11"/>
      <c r="C2" s="11"/>
      <c r="D2" s="11"/>
      <c r="E2" s="11"/>
      <c r="F2" s="11"/>
      <c r="G2" s="12"/>
      <c r="H2" s="11"/>
      <c r="I2" s="11"/>
      <c r="J2" s="11"/>
      <c r="K2" s="11"/>
      <c r="L2" s="11"/>
      <c r="M2" s="11"/>
      <c r="V2" s="10"/>
      <c r="W2" s="10"/>
    </row>
    <row r="3" spans="2:29" ht="22.5" customHeight="1" x14ac:dyDescent="0.25">
      <c r="U3" s="7"/>
    </row>
    <row r="4" spans="2:29" ht="22.5" customHeight="1" x14ac:dyDescent="0.25">
      <c r="U4" s="7"/>
    </row>
    <row r="5" spans="2:29" ht="22.5" customHeight="1" x14ac:dyDescent="0.25">
      <c r="B5" s="299" t="s">
        <v>533</v>
      </c>
      <c r="C5" s="299" t="s">
        <v>344</v>
      </c>
      <c r="D5" s="299" t="s">
        <v>345</v>
      </c>
      <c r="E5" s="299" t="s">
        <v>534</v>
      </c>
      <c r="F5" s="199" cm="1">
        <f t="array" ref="F5:AC5">_xlfn.SEQUENCE(1,24, semesterStartDate+globalCalendar_scrollbar_value*7, 7)</f>
        <v>45278</v>
      </c>
      <c r="G5" s="199">
        <v>45285</v>
      </c>
      <c r="H5" s="199">
        <v>45292</v>
      </c>
      <c r="I5" s="199">
        <v>45299</v>
      </c>
      <c r="J5" s="199">
        <v>45306</v>
      </c>
      <c r="K5" s="199">
        <v>45313</v>
      </c>
      <c r="L5" s="199">
        <v>45320</v>
      </c>
      <c r="M5" s="199">
        <v>45327</v>
      </c>
      <c r="N5" s="199">
        <v>45334</v>
      </c>
      <c r="O5" s="199">
        <v>45341</v>
      </c>
      <c r="P5" s="199">
        <v>45348</v>
      </c>
      <c r="Q5" s="199">
        <v>45355</v>
      </c>
      <c r="R5" s="199">
        <v>45362</v>
      </c>
      <c r="S5" s="199">
        <v>45369</v>
      </c>
      <c r="T5" s="199">
        <v>45376</v>
      </c>
      <c r="U5" s="199">
        <v>45383</v>
      </c>
      <c r="V5" s="199">
        <v>45390</v>
      </c>
      <c r="W5" s="199">
        <v>45397</v>
      </c>
      <c r="X5" s="199">
        <v>45404</v>
      </c>
      <c r="Y5" s="199">
        <v>45411</v>
      </c>
      <c r="Z5" s="199">
        <v>45418</v>
      </c>
      <c r="AA5" s="199">
        <v>45425</v>
      </c>
      <c r="AB5" s="199">
        <v>45432</v>
      </c>
      <c r="AC5" s="199">
        <v>45439</v>
      </c>
    </row>
    <row r="6" spans="2:29" ht="22.5" customHeight="1" x14ac:dyDescent="0.25">
      <c r="B6" s="299"/>
      <c r="C6" s="299"/>
      <c r="D6" s="299"/>
      <c r="E6" s="299"/>
      <c r="F6" s="14" cm="1">
        <f t="array" ref="F6:AC6">_xlfn.SEQUENCE(1, 24, globalCalendar_scrollbar_value+1)</f>
        <v>16</v>
      </c>
      <c r="G6" s="14">
        <v>17</v>
      </c>
      <c r="H6" s="14">
        <v>18</v>
      </c>
      <c r="I6" s="14">
        <v>19</v>
      </c>
      <c r="J6" s="14">
        <v>20</v>
      </c>
      <c r="K6" s="14">
        <v>21</v>
      </c>
      <c r="L6" s="14">
        <v>22</v>
      </c>
      <c r="M6" s="14">
        <v>23</v>
      </c>
      <c r="N6" s="14">
        <v>24</v>
      </c>
      <c r="O6" s="14">
        <v>25</v>
      </c>
      <c r="P6" s="14">
        <v>26</v>
      </c>
      <c r="Q6" s="14">
        <v>27</v>
      </c>
      <c r="R6" s="14">
        <v>28</v>
      </c>
      <c r="S6" s="14">
        <v>29</v>
      </c>
      <c r="T6" s="14">
        <v>30</v>
      </c>
      <c r="U6" s="14">
        <v>31</v>
      </c>
      <c r="V6" s="14">
        <v>32</v>
      </c>
      <c r="W6" s="14">
        <v>33</v>
      </c>
      <c r="X6" s="14">
        <v>34</v>
      </c>
      <c r="Y6" s="14">
        <v>35</v>
      </c>
      <c r="Z6" s="14">
        <v>36</v>
      </c>
      <c r="AA6" s="14">
        <v>37</v>
      </c>
      <c r="AB6" s="14">
        <v>38</v>
      </c>
      <c r="AC6" s="14">
        <v>39</v>
      </c>
    </row>
    <row r="7" spans="2:29" ht="22.5" customHeight="1" x14ac:dyDescent="0.25">
      <c r="B7" s="22" t="s">
        <v>535</v>
      </c>
      <c r="C7" s="194">
        <f>DATE(2023, 9, 4)</f>
        <v>45173</v>
      </c>
      <c r="D7" s="194">
        <f>DATE(2023,10,9)</f>
        <v>45208</v>
      </c>
      <c r="E7" s="195">
        <v>1</v>
      </c>
      <c r="F7" s="187"/>
      <c r="G7" s="187"/>
      <c r="H7" s="187"/>
      <c r="I7" s="187"/>
      <c r="J7" s="187"/>
      <c r="K7" s="187"/>
      <c r="L7" s="187"/>
      <c r="M7" s="187"/>
      <c r="N7" s="187"/>
      <c r="O7" s="187"/>
      <c r="P7" s="187"/>
      <c r="Q7" s="187"/>
      <c r="R7" s="196"/>
      <c r="S7" s="196"/>
      <c r="T7" s="196"/>
      <c r="U7" s="189"/>
      <c r="V7" s="196"/>
      <c r="W7" s="196"/>
      <c r="X7" s="196"/>
      <c r="Y7" s="196"/>
      <c r="Z7" s="196"/>
      <c r="AA7" s="196"/>
      <c r="AB7" s="196"/>
      <c r="AC7" s="196"/>
    </row>
    <row r="8" spans="2:29" ht="22.5" customHeight="1" x14ac:dyDescent="0.25">
      <c r="B8" s="23" t="s">
        <v>536</v>
      </c>
      <c r="C8" s="194">
        <f>DATE(2023, 9, 4)</f>
        <v>45173</v>
      </c>
      <c r="D8" s="194">
        <f>DATE(2023, 10,12)</f>
        <v>45211</v>
      </c>
      <c r="E8" s="195">
        <v>1</v>
      </c>
      <c r="F8" s="187"/>
      <c r="G8" s="187"/>
      <c r="H8" s="187"/>
      <c r="I8" s="187"/>
      <c r="J8" s="187"/>
      <c r="K8" s="187"/>
      <c r="L8" s="187"/>
      <c r="M8" s="187"/>
      <c r="N8" s="187"/>
      <c r="O8" s="187"/>
      <c r="P8" s="187"/>
      <c r="Q8" s="187"/>
      <c r="R8" s="196"/>
      <c r="S8" s="196"/>
      <c r="T8" s="196"/>
      <c r="U8" s="189"/>
      <c r="V8" s="196"/>
      <c r="W8" s="196"/>
      <c r="X8" s="196"/>
      <c r="Y8" s="196"/>
      <c r="Z8" s="196"/>
      <c r="AA8" s="196"/>
      <c r="AB8" s="196"/>
      <c r="AC8" s="196"/>
    </row>
    <row r="9" spans="2:29" ht="22.5" customHeight="1" x14ac:dyDescent="0.25">
      <c r="B9" s="23" t="s">
        <v>537</v>
      </c>
      <c r="C9" s="194">
        <f>DATE(2023, 9, 4)</f>
        <v>45173</v>
      </c>
      <c r="D9" s="194">
        <f>DATE(2023,10,26)</f>
        <v>45225</v>
      </c>
      <c r="E9" s="195">
        <v>0.9</v>
      </c>
      <c r="F9" s="187"/>
      <c r="G9" s="187"/>
      <c r="H9" s="187"/>
      <c r="I9" s="187"/>
      <c r="J9" s="187"/>
      <c r="K9" s="187"/>
      <c r="L9" s="187"/>
      <c r="M9" s="187"/>
      <c r="N9" s="187"/>
      <c r="O9" s="187"/>
      <c r="P9" s="187"/>
      <c r="Q9" s="187"/>
      <c r="R9" s="196"/>
      <c r="S9" s="196"/>
      <c r="T9" s="196"/>
      <c r="U9" s="189"/>
      <c r="V9" s="196"/>
      <c r="W9" s="196"/>
      <c r="X9" s="196"/>
      <c r="Y9" s="196"/>
      <c r="Z9" s="196"/>
      <c r="AA9" s="196"/>
      <c r="AB9" s="196"/>
      <c r="AC9" s="196"/>
    </row>
    <row r="10" spans="2:29" ht="22.5" customHeight="1" x14ac:dyDescent="0.25">
      <c r="B10" s="23" t="s">
        <v>538</v>
      </c>
      <c r="C10" s="194">
        <f>MIN(C11:C13)</f>
        <v>45211</v>
      </c>
      <c r="D10" s="194">
        <f>MAX(D11:D13)</f>
        <v>45323</v>
      </c>
      <c r="E10" s="197" cm="1">
        <f t="array" ref="E10">layoutProgress</f>
        <v>0.96394052044609668</v>
      </c>
      <c r="F10" s="187"/>
      <c r="G10" s="187"/>
      <c r="H10" s="187"/>
      <c r="I10" s="187"/>
      <c r="J10" s="187"/>
      <c r="K10" s="187"/>
      <c r="L10" s="187"/>
      <c r="M10" s="187"/>
      <c r="N10" s="187"/>
      <c r="O10" s="187"/>
      <c r="P10" s="187"/>
      <c r="Q10" s="187"/>
      <c r="R10" s="196"/>
      <c r="S10" s="196"/>
      <c r="T10" s="196"/>
      <c r="U10" s="189"/>
      <c r="V10" s="196"/>
      <c r="W10" s="196"/>
      <c r="X10" s="196"/>
      <c r="Y10" s="196"/>
      <c r="Z10" s="196"/>
      <c r="AA10" s="196"/>
      <c r="AB10" s="196"/>
      <c r="AC10" s="196"/>
    </row>
    <row r="11" spans="2:29" ht="22.5" hidden="1" customHeight="1" outlineLevel="1" x14ac:dyDescent="0.25">
      <c r="B11" s="24" t="s">
        <v>539</v>
      </c>
      <c r="C11" s="194">
        <f>DATE(2023, 10, 12)</f>
        <v>45211</v>
      </c>
      <c r="D11" s="194">
        <f>DATE(2023, 10, 26)</f>
        <v>45225</v>
      </c>
      <c r="E11" s="197">
        <f>layout[[#Totals],[previz]]</f>
        <v>1</v>
      </c>
      <c r="F11" s="187"/>
      <c r="G11" s="187"/>
      <c r="H11" s="187"/>
      <c r="I11" s="187"/>
      <c r="J11" s="187"/>
      <c r="K11" s="187"/>
      <c r="L11" s="187"/>
      <c r="M11" s="187"/>
      <c r="N11" s="187"/>
      <c r="O11" s="187"/>
      <c r="P11" s="187"/>
      <c r="Q11" s="187"/>
      <c r="R11" s="196"/>
      <c r="S11" s="196"/>
      <c r="T11" s="196"/>
      <c r="U11" s="189"/>
      <c r="V11" s="196"/>
      <c r="W11" s="196"/>
      <c r="X11" s="196"/>
      <c r="Y11" s="196"/>
      <c r="Z11" s="196"/>
      <c r="AA11" s="196"/>
      <c r="AB11" s="196"/>
      <c r="AC11" s="196"/>
    </row>
    <row r="12" spans="2:29" ht="22.5" hidden="1" customHeight="1" outlineLevel="1" x14ac:dyDescent="0.25">
      <c r="B12" s="24" t="s">
        <v>540</v>
      </c>
      <c r="C12" s="194">
        <f>DATE(2023,10,26)</f>
        <v>45225</v>
      </c>
      <c r="D12" s="194">
        <f>DATE(2023, 11, 15)</f>
        <v>45245</v>
      </c>
      <c r="E12" s="197">
        <f>layout[[#Totals],[rough]]</f>
        <v>1</v>
      </c>
      <c r="F12" s="187"/>
      <c r="G12" s="187"/>
      <c r="H12" s="187"/>
      <c r="I12" s="187"/>
      <c r="J12" s="187"/>
      <c r="K12" s="187"/>
      <c r="L12" s="187"/>
      <c r="M12" s="187"/>
      <c r="N12" s="187"/>
      <c r="O12" s="187"/>
      <c r="P12" s="187"/>
      <c r="Q12" s="187"/>
      <c r="R12" s="196"/>
      <c r="S12" s="196"/>
      <c r="T12" s="196"/>
      <c r="U12" s="189"/>
      <c r="V12" s="196"/>
      <c r="W12" s="196"/>
      <c r="X12" s="196"/>
      <c r="Y12" s="196"/>
      <c r="Z12" s="196"/>
      <c r="AA12" s="196"/>
      <c r="AB12" s="196"/>
      <c r="AC12" s="196"/>
    </row>
    <row r="13" spans="2:29" ht="22.5" hidden="1" customHeight="1" outlineLevel="1" x14ac:dyDescent="0.25">
      <c r="B13" s="24" t="s">
        <v>541</v>
      </c>
      <c r="C13" s="194">
        <f>DATE(2023,12,14)</f>
        <v>45274</v>
      </c>
      <c r="D13" s="194">
        <f>DATE(2024, 2, 1)</f>
        <v>45323</v>
      </c>
      <c r="E13" s="197">
        <f>layout[[#Totals],[final]]</f>
        <v>0.84791666666666676</v>
      </c>
      <c r="F13" s="187"/>
      <c r="G13" s="187"/>
      <c r="H13" s="187"/>
      <c r="I13" s="187"/>
      <c r="J13" s="187"/>
      <c r="K13" s="187"/>
      <c r="L13" s="187"/>
      <c r="M13" s="187"/>
      <c r="N13" s="187"/>
      <c r="O13" s="187"/>
      <c r="P13" s="187"/>
      <c r="Q13" s="187"/>
      <c r="R13" s="196"/>
      <c r="S13" s="196"/>
      <c r="T13" s="196"/>
      <c r="U13" s="189"/>
      <c r="V13" s="196"/>
      <c r="W13" s="196"/>
      <c r="X13" s="196"/>
      <c r="Y13" s="196"/>
      <c r="Z13" s="196"/>
      <c r="AA13" s="196"/>
      <c r="AB13" s="196"/>
      <c r="AC13" s="196"/>
    </row>
    <row r="14" spans="2:29" ht="22.5" customHeight="1" collapsed="1" x14ac:dyDescent="0.25">
      <c r="B14" s="23" t="s">
        <v>542</v>
      </c>
      <c r="C14" s="194">
        <f>MIN(C15:C18)</f>
        <v>45225</v>
      </c>
      <c r="D14" s="194">
        <f>MAX(D15:D18)</f>
        <v>45344</v>
      </c>
      <c r="E14" s="197" cm="1">
        <f t="array" ref="E14">animProgress</f>
        <v>0.99757042253521122</v>
      </c>
      <c r="F14" s="187"/>
      <c r="G14" s="187"/>
      <c r="H14" s="187"/>
      <c r="I14" s="187"/>
      <c r="J14" s="187"/>
      <c r="K14" s="187"/>
      <c r="L14" s="187"/>
      <c r="M14" s="187"/>
      <c r="N14" s="187"/>
      <c r="O14" s="187"/>
      <c r="P14" s="187"/>
      <c r="Q14" s="187"/>
      <c r="R14" s="196"/>
      <c r="S14" s="196"/>
      <c r="T14" s="196"/>
      <c r="U14" s="189"/>
      <c r="V14" s="196"/>
      <c r="W14" s="196"/>
      <c r="X14" s="196"/>
      <c r="Y14" s="196"/>
      <c r="Z14" s="196"/>
      <c r="AA14" s="196"/>
      <c r="AB14" s="196"/>
      <c r="AC14" s="196"/>
    </row>
    <row r="15" spans="2:29" ht="22.5" hidden="1" customHeight="1" outlineLevel="1" x14ac:dyDescent="0.25">
      <c r="B15" s="24" t="s">
        <v>543</v>
      </c>
      <c r="C15" s="194">
        <f>DATE(2023, 10, 26)</f>
        <v>45225</v>
      </c>
      <c r="D15" s="194">
        <f>DATE(2023, 11, 14)</f>
        <v>45244</v>
      </c>
      <c r="E15" s="197">
        <f>anim[[#Totals],[blocking 1]]</f>
        <v>1</v>
      </c>
      <c r="F15" s="187"/>
      <c r="G15" s="187"/>
      <c r="H15" s="187"/>
      <c r="I15" s="187"/>
      <c r="J15" s="187"/>
      <c r="K15" s="187"/>
      <c r="L15" s="187"/>
      <c r="M15" s="187"/>
      <c r="N15" s="187"/>
      <c r="O15" s="187"/>
      <c r="P15" s="187"/>
      <c r="Q15" s="187"/>
      <c r="R15" s="196"/>
      <c r="S15" s="196"/>
      <c r="T15" s="196"/>
      <c r="U15" s="189"/>
      <c r="V15" s="196"/>
      <c r="W15" s="196"/>
      <c r="X15" s="196"/>
      <c r="Y15" s="196"/>
      <c r="Z15" s="196"/>
      <c r="AA15" s="196"/>
      <c r="AB15" s="196"/>
      <c r="AC15" s="196"/>
    </row>
    <row r="16" spans="2:29" ht="22.5" hidden="1" customHeight="1" outlineLevel="1" x14ac:dyDescent="0.25">
      <c r="B16" s="24" t="s">
        <v>544</v>
      </c>
      <c r="C16" s="194">
        <f>DATE(2023,11,16)</f>
        <v>45246</v>
      </c>
      <c r="D16" s="194">
        <f>DATE(2023, 12,7)</f>
        <v>45267</v>
      </c>
      <c r="E16" s="197">
        <f>AVERAGE(anim[[#Totals],[blocking 2]],anim[[#Totals],[blocking 3]])</f>
        <v>1</v>
      </c>
      <c r="F16" s="187"/>
      <c r="G16" s="187"/>
      <c r="H16" s="187"/>
      <c r="I16" s="187"/>
      <c r="J16" s="187"/>
      <c r="K16" s="187"/>
      <c r="L16" s="187"/>
      <c r="M16" s="187"/>
      <c r="N16" s="187"/>
      <c r="O16" s="187"/>
      <c r="P16" s="187"/>
      <c r="Q16" s="187"/>
      <c r="R16" s="196"/>
      <c r="S16" s="196"/>
      <c r="T16" s="196"/>
      <c r="U16" s="189"/>
      <c r="V16" s="196"/>
      <c r="W16" s="196"/>
      <c r="X16" s="196"/>
      <c r="Y16" s="196"/>
      <c r="Z16" s="196"/>
      <c r="AA16" s="196"/>
      <c r="AB16" s="196"/>
      <c r="AC16" s="196"/>
    </row>
    <row r="17" spans="2:29" ht="22.5" hidden="1" customHeight="1" outlineLevel="1" x14ac:dyDescent="0.25">
      <c r="B17" s="24" t="s">
        <v>545</v>
      </c>
      <c r="C17" s="194">
        <f>DATE(2023, 12, 14)</f>
        <v>45274</v>
      </c>
      <c r="D17" s="194">
        <f>DATE(2024, 1, 25)</f>
        <v>45316</v>
      </c>
      <c r="E17" s="197">
        <f>anim[[#Totals],[spline]]</f>
        <v>1</v>
      </c>
      <c r="F17" s="187"/>
      <c r="G17" s="187"/>
      <c r="H17" s="187"/>
      <c r="I17" s="187"/>
      <c r="J17" s="187"/>
      <c r="K17" s="187"/>
      <c r="L17" s="187"/>
      <c r="M17" s="187"/>
      <c r="N17" s="187"/>
      <c r="O17" s="187"/>
      <c r="P17" s="187"/>
      <c r="Q17" s="187"/>
      <c r="R17" s="196"/>
      <c r="S17" s="196"/>
      <c r="T17" s="196"/>
      <c r="U17" s="189"/>
      <c r="V17" s="196"/>
      <c r="W17" s="196"/>
      <c r="X17" s="196"/>
      <c r="Y17" s="196"/>
      <c r="Z17" s="196"/>
      <c r="AA17" s="196"/>
      <c r="AB17" s="196"/>
      <c r="AC17" s="196"/>
    </row>
    <row r="18" spans="2:29" ht="22.5" hidden="1" customHeight="1" outlineLevel="1" x14ac:dyDescent="0.25">
      <c r="B18" s="24" t="s">
        <v>541</v>
      </c>
      <c r="C18" s="194">
        <f>DATE(2024, 1, 25)</f>
        <v>45316</v>
      </c>
      <c r="D18" s="194">
        <f>DATE(2024, 2, 22)</f>
        <v>45344</v>
      </c>
      <c r="E18" s="197">
        <f>anim[[#Totals],[polish]]</f>
        <v>0.98645833333333333</v>
      </c>
      <c r="F18" s="187"/>
      <c r="G18" s="187"/>
      <c r="H18" s="187"/>
      <c r="I18" s="187"/>
      <c r="J18" s="187"/>
      <c r="K18" s="187"/>
      <c r="L18" s="187"/>
      <c r="M18" s="187"/>
      <c r="N18" s="187"/>
      <c r="O18" s="187"/>
      <c r="P18" s="187"/>
      <c r="Q18" s="187"/>
      <c r="R18" s="196"/>
      <c r="S18" s="196"/>
      <c r="T18" s="196"/>
      <c r="U18" s="189"/>
      <c r="V18" s="196"/>
      <c r="W18" s="196"/>
      <c r="X18" s="196"/>
      <c r="Y18" s="196"/>
      <c r="Z18" s="196"/>
      <c r="AA18" s="196"/>
      <c r="AB18" s="196"/>
      <c r="AC18" s="196"/>
    </row>
    <row r="19" spans="2:29" ht="22.5" customHeight="1" collapsed="1" x14ac:dyDescent="0.25">
      <c r="B19" s="23" t="s">
        <v>546</v>
      </c>
      <c r="C19" s="194">
        <f>MIN(C20:C20)</f>
        <v>45274</v>
      </c>
      <c r="D19" s="194">
        <f>MAX(D20:D20)</f>
        <v>45310</v>
      </c>
      <c r="E19" s="197" cm="1">
        <f t="array" ref="E19">lightingProgress</f>
        <v>0.44225806451612903</v>
      </c>
      <c r="F19" s="187"/>
      <c r="G19" s="187"/>
      <c r="H19" s="187"/>
      <c r="I19" s="187"/>
      <c r="J19" s="187"/>
      <c r="K19" s="187"/>
      <c r="L19" s="187"/>
      <c r="M19" s="187"/>
      <c r="N19" s="187"/>
      <c r="O19" s="187"/>
      <c r="P19" s="187"/>
      <c r="Q19" s="187"/>
      <c r="R19" s="196"/>
      <c r="S19" s="196"/>
      <c r="T19" s="196"/>
      <c r="U19" s="189"/>
      <c r="V19" s="196"/>
      <c r="W19" s="196"/>
      <c r="X19" s="196"/>
      <c r="Y19" s="196"/>
      <c r="Z19" s="196"/>
      <c r="AA19" s="196"/>
      <c r="AB19" s="196"/>
      <c r="AC19" s="196"/>
    </row>
    <row r="20" spans="2:29" ht="22.5" hidden="1" customHeight="1" outlineLevel="1" x14ac:dyDescent="0.25">
      <c r="B20" s="24" t="s">
        <v>547</v>
      </c>
      <c r="C20" s="194">
        <f>DATE(2023, 12,14)</f>
        <v>45274</v>
      </c>
      <c r="D20" s="194">
        <f>DATE(2024,1,19)</f>
        <v>45310</v>
      </c>
      <c r="E20" s="198">
        <f>lighting[[#Totals],[essentials]]</f>
        <v>0.47916666666666669</v>
      </c>
      <c r="F20" s="196"/>
      <c r="G20" s="196"/>
      <c r="H20" s="196"/>
      <c r="I20" s="196"/>
      <c r="J20" s="196"/>
      <c r="K20" s="196"/>
      <c r="L20" s="196"/>
      <c r="M20" s="196"/>
      <c r="N20" s="196"/>
      <c r="O20" s="196"/>
      <c r="P20" s="196"/>
      <c r="Q20" s="196"/>
      <c r="R20" s="196"/>
      <c r="S20" s="196"/>
      <c r="T20" s="196"/>
      <c r="U20" s="189"/>
      <c r="V20" s="196"/>
      <c r="W20" s="196"/>
      <c r="X20" s="196"/>
      <c r="Y20" s="196"/>
      <c r="Z20" s="196"/>
      <c r="AA20" s="196"/>
      <c r="AB20" s="196"/>
      <c r="AC20" s="196"/>
    </row>
    <row r="21" spans="2:29" ht="22.5" customHeight="1" collapsed="1" x14ac:dyDescent="0.25">
      <c r="B21" s="23" t="s">
        <v>360</v>
      </c>
      <c r="C21" s="194">
        <f>MIN(C22:C23)</f>
        <v>45295</v>
      </c>
      <c r="D21" s="194">
        <f>MAX(D22:D23)</f>
        <v>45358</v>
      </c>
      <c r="E21" s="198" cm="1">
        <f t="array" ref="E21">vfxProgress</f>
        <v>0.23448275862068965</v>
      </c>
      <c r="F21" s="196"/>
      <c r="G21" s="196"/>
      <c r="H21" s="196"/>
      <c r="I21" s="196"/>
      <c r="J21" s="196"/>
      <c r="K21" s="196"/>
      <c r="L21" s="196"/>
      <c r="M21" s="196"/>
      <c r="N21" s="196"/>
      <c r="O21" s="196"/>
      <c r="P21" s="196"/>
      <c r="Q21" s="196"/>
      <c r="R21" s="196"/>
      <c r="S21" s="196"/>
      <c r="T21" s="196"/>
      <c r="U21" s="189"/>
      <c r="V21" s="196"/>
      <c r="W21" s="196"/>
      <c r="X21" s="196"/>
      <c r="Y21" s="196"/>
      <c r="Z21" s="196"/>
      <c r="AA21" s="196"/>
      <c r="AB21" s="196"/>
      <c r="AC21" s="196"/>
    </row>
    <row r="22" spans="2:29" ht="22.5" hidden="1" customHeight="1" outlineLevel="1" x14ac:dyDescent="0.25">
      <c r="B22" s="24" t="s">
        <v>548</v>
      </c>
      <c r="C22" s="194">
        <f>DATE(2024, 1, 4)</f>
        <v>45295</v>
      </c>
      <c r="D22" s="194">
        <f>DATE(2024,2,8)</f>
        <v>45330</v>
      </c>
      <c r="E22" s="198">
        <f>vfx[[#Totals],[blocking]]</f>
        <v>0.21379310344827587</v>
      </c>
      <c r="F22" s="196"/>
      <c r="G22" s="196"/>
      <c r="H22" s="196"/>
      <c r="I22" s="196"/>
      <c r="J22" s="196"/>
      <c r="K22" s="196"/>
      <c r="L22" s="196"/>
      <c r="M22" s="196"/>
      <c r="N22" s="196"/>
      <c r="O22" s="196"/>
      <c r="P22" s="196"/>
      <c r="Q22" s="196"/>
      <c r="R22" s="196"/>
      <c r="S22" s="196"/>
      <c r="T22" s="196"/>
      <c r="U22" s="189"/>
      <c r="V22" s="196"/>
      <c r="W22" s="196"/>
      <c r="X22" s="196"/>
      <c r="Y22" s="196"/>
      <c r="Z22" s="196"/>
      <c r="AA22" s="196"/>
      <c r="AB22" s="196"/>
      <c r="AC22" s="196"/>
    </row>
    <row r="23" spans="2:29" ht="22.5" hidden="1" customHeight="1" outlineLevel="1" x14ac:dyDescent="0.25">
      <c r="B23" s="24" t="s">
        <v>541</v>
      </c>
      <c r="C23" s="194">
        <f>DATE(2024,2,8)</f>
        <v>45330</v>
      </c>
      <c r="D23" s="194">
        <f>DATE(2024,3,7)</f>
        <v>45358</v>
      </c>
      <c r="E23" s="198">
        <f>vfx[[#Totals],[polish]]</f>
        <v>0.1793103448275862</v>
      </c>
      <c r="F23" s="196"/>
      <c r="G23" s="196"/>
      <c r="H23" s="196"/>
      <c r="I23" s="196"/>
      <c r="J23" s="196"/>
      <c r="K23" s="196"/>
      <c r="L23" s="196"/>
      <c r="M23" s="196"/>
      <c r="N23" s="196"/>
      <c r="O23" s="196"/>
      <c r="P23" s="196"/>
      <c r="Q23" s="196"/>
      <c r="R23" s="196"/>
      <c r="S23" s="196"/>
      <c r="T23" s="196"/>
      <c r="U23" s="189"/>
      <c r="V23" s="196"/>
      <c r="W23" s="196"/>
      <c r="X23" s="196"/>
      <c r="Y23" s="196"/>
      <c r="Z23" s="196"/>
      <c r="AA23" s="196"/>
      <c r="AB23" s="196"/>
      <c r="AC23" s="196"/>
    </row>
    <row r="24" spans="2:29" ht="22.5" customHeight="1" collapsed="1" x14ac:dyDescent="0.25">
      <c r="B24" s="23" t="s">
        <v>549</v>
      </c>
      <c r="C24" s="194">
        <f>DATE(2024,2,8)</f>
        <v>45330</v>
      </c>
      <c r="D24" s="194">
        <f>DATE(2024,3,14)</f>
        <v>45365</v>
      </c>
      <c r="E24" s="198" cm="1">
        <f t="array" ref="E24">renderProgress</f>
        <v>0.43125000000000013</v>
      </c>
      <c r="F24" s="196"/>
      <c r="G24" s="196"/>
      <c r="H24" s="196"/>
      <c r="I24" s="196"/>
      <c r="J24" s="196"/>
      <c r="K24" s="196"/>
      <c r="L24" s="196"/>
      <c r="M24" s="196"/>
      <c r="N24" s="196"/>
      <c r="O24" s="196"/>
      <c r="P24" s="196"/>
      <c r="Q24" s="196"/>
      <c r="R24" s="196"/>
      <c r="S24" s="196"/>
      <c r="T24" s="196"/>
      <c r="U24" s="189"/>
      <c r="V24" s="196"/>
      <c r="W24" s="196"/>
      <c r="X24" s="196"/>
      <c r="Y24" s="196"/>
      <c r="Z24" s="196"/>
      <c r="AA24" s="196"/>
      <c r="AB24" s="196"/>
      <c r="AC24" s="196"/>
    </row>
    <row r="25" spans="2:29" ht="22.5" customHeight="1" x14ac:dyDescent="0.25">
      <c r="B25" s="23" t="s">
        <v>550</v>
      </c>
      <c r="C25" s="194">
        <f>DATE(2024,2,22)</f>
        <v>45344</v>
      </c>
      <c r="D25" s="194">
        <f>DATE(2024,4,4)</f>
        <v>45386</v>
      </c>
      <c r="E25" s="198" cm="1">
        <f t="array" ref="E25">compProgress</f>
        <v>0.24463768115942022</v>
      </c>
      <c r="F25" s="196"/>
      <c r="G25" s="196"/>
      <c r="H25" s="196"/>
      <c r="I25" s="196"/>
      <c r="J25" s="196"/>
      <c r="K25" s="196"/>
      <c r="L25" s="196"/>
      <c r="M25" s="196"/>
      <c r="N25" s="196"/>
      <c r="O25" s="196"/>
      <c r="P25" s="196"/>
      <c r="Q25" s="196"/>
      <c r="R25" s="196"/>
      <c r="S25" s="196"/>
      <c r="T25" s="196"/>
      <c r="U25" s="189"/>
      <c r="V25" s="196"/>
      <c r="W25" s="196"/>
      <c r="X25" s="196"/>
      <c r="Y25" s="196"/>
      <c r="Z25" s="196"/>
      <c r="AA25" s="196"/>
      <c r="AB25" s="196"/>
      <c r="AC25" s="196"/>
    </row>
    <row r="26" spans="2:29" ht="22.5" customHeight="1" x14ac:dyDescent="0.25">
      <c r="B26" s="23" t="s">
        <v>551</v>
      </c>
      <c r="C26" s="194">
        <f>DATE(2024,3,28)</f>
        <v>45379</v>
      </c>
      <c r="D26" s="194">
        <f>DATE(2024,4,18)</f>
        <v>45400</v>
      </c>
      <c r="E26" s="198">
        <f>comp[[#Totals],[colo]]</f>
        <v>1.6666666666666666E-2</v>
      </c>
      <c r="F26" s="196"/>
      <c r="G26" s="196"/>
      <c r="H26" s="196"/>
      <c r="I26" s="196"/>
      <c r="J26" s="196"/>
      <c r="K26" s="196"/>
      <c r="L26" s="196"/>
      <c r="M26" s="196"/>
      <c r="N26" s="196"/>
      <c r="O26" s="196"/>
      <c r="P26" s="196"/>
      <c r="Q26" s="196"/>
      <c r="R26" s="196"/>
      <c r="S26" s="196"/>
      <c r="T26" s="196"/>
      <c r="U26" s="189"/>
      <c r="V26" s="196"/>
      <c r="W26" s="196"/>
      <c r="X26" s="196"/>
      <c r="Y26" s="196"/>
      <c r="Z26" s="196"/>
      <c r="AA26" s="196"/>
      <c r="AB26" s="196"/>
      <c r="AC26" s="196"/>
    </row>
    <row r="27" spans="2:29" ht="22.5" customHeight="1" x14ac:dyDescent="0.25">
      <c r="B27" s="23" t="s">
        <v>552</v>
      </c>
      <c r="C27" s="194">
        <f>DATE(2023,11,9)</f>
        <v>45239</v>
      </c>
      <c r="D27" s="194">
        <f>DATE(2024,3,28)</f>
        <v>45379</v>
      </c>
      <c r="E27" s="198"/>
      <c r="F27" s="196"/>
      <c r="G27" s="196"/>
      <c r="H27" s="196"/>
      <c r="I27" s="196"/>
      <c r="J27" s="196"/>
      <c r="K27" s="196"/>
      <c r="L27" s="196"/>
      <c r="M27" s="196"/>
      <c r="N27" s="196"/>
      <c r="O27" s="196"/>
      <c r="P27" s="196"/>
      <c r="Q27" s="196"/>
      <c r="R27" s="196"/>
      <c r="S27" s="196"/>
      <c r="T27" s="196"/>
      <c r="U27" s="189"/>
      <c r="V27" s="196"/>
      <c r="W27" s="196"/>
      <c r="X27" s="196"/>
      <c r="Y27" s="196"/>
      <c r="Z27" s="196"/>
      <c r="AA27" s="196"/>
      <c r="AB27" s="196"/>
      <c r="AC27" s="196"/>
    </row>
    <row r="28" spans="2:29" ht="22.5" customHeight="1" x14ac:dyDescent="0.25">
      <c r="B28" s="23" t="s">
        <v>553</v>
      </c>
      <c r="C28" s="194">
        <f>DATE(2023, 12,7)</f>
        <v>45267</v>
      </c>
      <c r="D28" s="194">
        <f>DATE(2024,4,11)</f>
        <v>45393</v>
      </c>
      <c r="E28" s="198"/>
      <c r="F28" s="196"/>
      <c r="G28" s="196"/>
      <c r="H28" s="196"/>
      <c r="I28" s="196"/>
      <c r="J28" s="196"/>
      <c r="K28" s="196"/>
      <c r="L28" s="196"/>
      <c r="M28" s="196"/>
      <c r="N28" s="196"/>
      <c r="O28" s="196"/>
      <c r="P28" s="196"/>
      <c r="Q28" s="196"/>
      <c r="R28" s="196"/>
      <c r="S28" s="196"/>
      <c r="T28" s="196"/>
      <c r="U28" s="189"/>
      <c r="V28" s="196"/>
      <c r="W28" s="196"/>
      <c r="X28" s="196"/>
      <c r="Y28" s="196"/>
      <c r="Z28" s="196"/>
      <c r="AA28" s="196"/>
      <c r="AB28" s="196"/>
      <c r="AC28" s="196"/>
    </row>
    <row r="30" spans="2:29" ht="22.5" customHeight="1" x14ac:dyDescent="0.25">
      <c r="D30" s="13"/>
      <c r="U30" s="9"/>
    </row>
  </sheetData>
  <sheetProtection algorithmName="SHA-512" hashValue="3CYceLYaT3MfGKmxiEfE2kqGvCF7nXoa0uTmMULeO61AurP1sZWFvI+y4yiyZeAYw2C5Bxiny/Q/igBqShjzTA==" saltValue="s+d949UOiyo+jAWp5Kwh2g==" spinCount="100000" sheet="1" scenarios="1" selectLockedCells="1" autoFilter="0" selectUnlockedCells="1"/>
  <mergeCells count="4">
    <mergeCell ref="E5:E6"/>
    <mergeCell ref="D5:D6"/>
    <mergeCell ref="C5:C6"/>
    <mergeCell ref="B5:B6"/>
  </mergeCells>
  <conditionalFormatting sqref="F5:AC6">
    <cfRule type="expression" dxfId="12" priority="1">
      <formula>F$5=getWeekStartDate(TODAY())</formula>
    </cfRule>
  </conditionalFormatting>
  <conditionalFormatting sqref="F7:AC9 F26:AC28">
    <cfRule type="expression" dxfId="11" priority="46">
      <formula>AND(getWeekStartDate($C7)&lt;=F$5, F$5&lt;=getWeekStartDate($D7))</formula>
    </cfRule>
  </conditionalFormatting>
  <conditionalFormatting sqref="F7:AC28">
    <cfRule type="expression" dxfId="10" priority="47">
      <formula>F$5=getWeekStartDate(TODAY())</formula>
    </cfRule>
  </conditionalFormatting>
  <conditionalFormatting sqref="F10:AC11">
    <cfRule type="expression" dxfId="9" priority="40">
      <formula>AND(getWeekStartDate($C10)&lt;=F$5, F$5&lt;=getWeekStartDate($D10))</formula>
    </cfRule>
  </conditionalFormatting>
  <conditionalFormatting sqref="F11:AC13">
    <cfRule type="expression" dxfId="8" priority="5">
      <formula>AND(getWeekStartDate($C11)&lt;=F$5, F$5&lt;=getWeekStartDate($D11))</formula>
    </cfRule>
  </conditionalFormatting>
  <conditionalFormatting sqref="F14:AC14">
    <cfRule type="expression" dxfId="7" priority="41">
      <formula>AND(getWeekStartDate($C14)&lt;=F$5, F$5&lt;=getWeekStartDate($D14))</formula>
    </cfRule>
  </conditionalFormatting>
  <conditionalFormatting sqref="F15:AC18">
    <cfRule type="expression" dxfId="6" priority="4">
      <formula>AND(getWeekStartDate($C15)&lt;=F$5, F$5&lt;=getWeekStartDate($D15))</formula>
    </cfRule>
  </conditionalFormatting>
  <conditionalFormatting sqref="F19:AC19">
    <cfRule type="expression" dxfId="5" priority="43">
      <formula>AND(getWeekStartDate($C19)&lt;=F$5, F$5&lt;=getWeekStartDate($D19))</formula>
    </cfRule>
  </conditionalFormatting>
  <conditionalFormatting sqref="F20:AC20">
    <cfRule type="expression" dxfId="4" priority="3">
      <formula>AND(getWeekStartDate($C20)&lt;=F$5, F$5&lt;=getWeekStartDate($D20))</formula>
    </cfRule>
  </conditionalFormatting>
  <conditionalFormatting sqref="F21:AC21">
    <cfRule type="expression" dxfId="3" priority="42">
      <formula>AND(getWeekStartDate($C21)&lt;=F$5, F$5&lt;=getWeekStartDate($D21))</formula>
    </cfRule>
  </conditionalFormatting>
  <conditionalFormatting sqref="F22:AC23">
    <cfRule type="expression" dxfId="2" priority="2">
      <formula>AND(getWeekStartDate($C22)&lt;=F$5, F$5&lt;=getWeekStartDate($D22))</formula>
    </cfRule>
  </conditionalFormatting>
  <conditionalFormatting sqref="F24:AC24">
    <cfRule type="expression" dxfId="1" priority="44">
      <formula>AND(getWeekStartDate($C24)&lt;=F$5, F$5&lt;=getWeekStartDate($D24))</formula>
    </cfRule>
  </conditionalFormatting>
  <conditionalFormatting sqref="F25:AC25">
    <cfRule type="expression" dxfId="0" priority="45">
      <formula>AND(getWeekStartDate($C25)&lt;=F$5, F$5&lt;=getWeekStartDate($D25))</formula>
    </cfRule>
  </conditionalFormatting>
  <pageMargins left="0.7" right="0.7" top="0.75" bottom="0.75" header="0.3" footer="0.3"/>
  <pageSetup paperSize="9" orientation="portrait" horizontalDpi="360" verticalDpi="360" r:id="rId1"/>
  <drawing r:id="rId2"/>
  <legacyDrawing r:id="rId3"/>
  <mc:AlternateContent xmlns:mc="http://schemas.openxmlformats.org/markup-compatibility/2006">
    <mc:Choice Requires="x14">
      <controls>
        <mc:AlternateContent xmlns:mc="http://schemas.openxmlformats.org/markup-compatibility/2006">
          <mc:Choice Requires="x14">
            <control shapeId="17409" r:id="rId4" name="Scroll Bar 1">
              <controlPr defaultSize="0" autoPict="0">
                <anchor moveWithCells="1">
                  <from>
                    <xdr:col>1</xdr:col>
                    <xdr:colOff>0</xdr:colOff>
                    <xdr:row>1</xdr:row>
                    <xdr:rowOff>0</xdr:rowOff>
                  </from>
                  <to>
                    <xdr:col>8</xdr:col>
                    <xdr:colOff>142875</xdr:colOff>
                    <xdr:row>3</xdr:row>
                    <xdr:rowOff>95250</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BF733-8E6A-482C-84E3-8AF725BF0030}">
  <sheetPr codeName="Feuil18"/>
  <dimension ref="C1:DY800"/>
  <sheetViews>
    <sheetView zoomScaleNormal="100" workbookViewId="0">
      <selection activeCell="O33" sqref="O33"/>
    </sheetView>
  </sheetViews>
  <sheetFormatPr baseColWidth="10" defaultColWidth="11.42578125" defaultRowHeight="20.100000000000001" customHeight="1" x14ac:dyDescent="0.25"/>
  <cols>
    <col min="1" max="1" width="11.42578125" style="2"/>
    <col min="2" max="7" width="11.42578125" style="2" customWidth="1"/>
    <col min="8" max="8" width="12.85546875" style="2" customWidth="1"/>
    <col min="9" max="9" width="11.42578125" style="2" customWidth="1"/>
    <col min="10" max="10" width="13.85546875" style="2" customWidth="1"/>
    <col min="11" max="13" width="11.42578125" style="2" customWidth="1"/>
    <col min="14" max="14" width="14.7109375" style="2" customWidth="1"/>
    <col min="15" max="15" width="13.42578125" style="2" customWidth="1"/>
    <col min="16" max="18" width="11.42578125" style="2" customWidth="1"/>
    <col min="19" max="19" width="11.5703125" style="2" bestFit="1" customWidth="1"/>
    <col min="20" max="20" width="11.42578125" style="2" customWidth="1"/>
    <col min="21" max="23" width="11.42578125" style="2"/>
    <col min="24" max="24" width="18.42578125" style="2" customWidth="1"/>
    <col min="25" max="25" width="12.85546875" style="2" customWidth="1"/>
    <col min="26" max="16384" width="11.42578125" style="2"/>
  </cols>
  <sheetData>
    <row r="1" spans="3:43" ht="15" x14ac:dyDescent="0.25"/>
    <row r="2" spans="3:43" ht="15.75" x14ac:dyDescent="0.25">
      <c r="G2" s="37" t="s">
        <v>6</v>
      </c>
      <c r="H2" s="37" t="s">
        <v>554</v>
      </c>
      <c r="I2" s="37" t="s">
        <v>555</v>
      </c>
      <c r="J2" s="37" t="s">
        <v>556</v>
      </c>
      <c r="K2" s="37" t="s">
        <v>557</v>
      </c>
      <c r="L2" s="37" t="s">
        <v>558</v>
      </c>
      <c r="M2" s="37" t="s">
        <v>559</v>
      </c>
      <c r="N2" s="37" t="s">
        <v>560</v>
      </c>
      <c r="P2" s="37" t="s">
        <v>561</v>
      </c>
      <c r="Q2" s="37" t="s">
        <v>562</v>
      </c>
    </row>
    <row r="3" spans="3:43" ht="15.75" x14ac:dyDescent="0.25">
      <c r="C3" s="2" t="s">
        <v>563</v>
      </c>
      <c r="D3" s="2" t="s">
        <v>343</v>
      </c>
      <c r="E3" s="2" t="s">
        <v>564</v>
      </c>
      <c r="G3" s="37" t="s">
        <v>16</v>
      </c>
      <c r="H3" s="37"/>
      <c r="I3" s="37"/>
      <c r="J3" s="37"/>
      <c r="K3" s="37" t="s">
        <v>565</v>
      </c>
      <c r="L3" s="37"/>
      <c r="M3" s="37"/>
      <c r="N3" s="37" t="s">
        <v>565</v>
      </c>
      <c r="P3" s="39" t="s">
        <v>560</v>
      </c>
      <c r="Q3" s="37">
        <v>1</v>
      </c>
    </row>
    <row r="4" spans="3:43" ht="16.5" thickBot="1" x14ac:dyDescent="0.3">
      <c r="C4" s="2" t="s">
        <v>566</v>
      </c>
      <c r="D4" s="176" t="s">
        <v>567</v>
      </c>
      <c r="E4" s="176" t="str">
        <f t="shared" ref="E4:E23" si="0">CONCATENATE(RIGHT($C4,3),"_",RIGHT($D4,3))</f>
        <v>000_010</v>
      </c>
      <c r="G4" s="37" t="s">
        <v>14</v>
      </c>
      <c r="H4" s="37"/>
      <c r="I4" s="37"/>
      <c r="J4" s="37"/>
      <c r="K4" s="37" t="s">
        <v>565</v>
      </c>
      <c r="L4" s="37" t="s">
        <v>565</v>
      </c>
      <c r="M4" s="37"/>
      <c r="N4" s="37" t="s">
        <v>565</v>
      </c>
      <c r="P4" s="39" t="s">
        <v>554</v>
      </c>
      <c r="Q4" s="37">
        <v>2</v>
      </c>
      <c r="T4" s="40" t="s">
        <v>568</v>
      </c>
      <c r="V4" s="246" t="s">
        <v>569</v>
      </c>
    </row>
    <row r="5" spans="3:43" ht="16.5" thickBot="1" x14ac:dyDescent="0.3">
      <c r="C5" s="176" t="s">
        <v>570</v>
      </c>
      <c r="D5" s="2" t="s">
        <v>567</v>
      </c>
      <c r="E5" s="176" t="str">
        <f t="shared" si="0"/>
        <v>010_010</v>
      </c>
      <c r="G5" s="37" t="s">
        <v>20</v>
      </c>
      <c r="H5" s="37"/>
      <c r="I5" s="37"/>
      <c r="J5" s="37"/>
      <c r="K5" s="37" t="s">
        <v>565</v>
      </c>
      <c r="L5" s="37" t="s">
        <v>565</v>
      </c>
      <c r="M5" s="37"/>
      <c r="N5" s="37" t="s">
        <v>565</v>
      </c>
      <c r="P5" s="39" t="s">
        <v>555</v>
      </c>
      <c r="Q5" s="37">
        <v>3</v>
      </c>
      <c r="S5" s="41">
        <v>0.7</v>
      </c>
      <c r="T5" s="42" t="s">
        <v>571</v>
      </c>
      <c r="V5" s="122" t="s">
        <v>572</v>
      </c>
    </row>
    <row r="6" spans="3:43" ht="15.75" x14ac:dyDescent="0.25">
      <c r="C6" s="176" t="s">
        <v>570</v>
      </c>
      <c r="D6" s="2" t="s">
        <v>573</v>
      </c>
      <c r="E6" s="176" t="str">
        <f t="shared" si="0"/>
        <v>010_040</v>
      </c>
      <c r="G6" s="37" t="s">
        <v>12</v>
      </c>
      <c r="H6" s="37"/>
      <c r="I6" s="37"/>
      <c r="J6" s="37"/>
      <c r="K6" s="37" t="s">
        <v>565</v>
      </c>
      <c r="L6" s="37" t="s">
        <v>565</v>
      </c>
      <c r="M6" s="37"/>
      <c r="N6" s="37" t="s">
        <v>565</v>
      </c>
      <c r="P6" s="39" t="s">
        <v>556</v>
      </c>
      <c r="Q6" s="37">
        <v>4</v>
      </c>
      <c r="T6" s="43" t="s">
        <v>371</v>
      </c>
      <c r="V6" s="250" t="s">
        <v>574</v>
      </c>
    </row>
    <row r="7" spans="3:43" ht="15.75" x14ac:dyDescent="0.25">
      <c r="C7" s="176" t="s">
        <v>570</v>
      </c>
      <c r="D7" s="2" t="s">
        <v>575</v>
      </c>
      <c r="E7" s="176" t="str">
        <f>CONCATENATE(RIGHT($C7,3),"_",RIGHT($D7,3))</f>
        <v>010_050</v>
      </c>
      <c r="G7" s="37" t="s">
        <v>18</v>
      </c>
      <c r="H7" s="37"/>
      <c r="I7" s="37"/>
      <c r="J7" s="37"/>
      <c r="K7" s="37" t="s">
        <v>565</v>
      </c>
      <c r="L7" s="37" t="s">
        <v>565</v>
      </c>
      <c r="M7" s="37"/>
      <c r="N7" s="37"/>
      <c r="P7" s="39" t="s">
        <v>557</v>
      </c>
      <c r="Q7" s="37">
        <v>5</v>
      </c>
      <c r="T7" s="44" t="s">
        <v>576</v>
      </c>
      <c r="V7" s="140" t="s">
        <v>576</v>
      </c>
      <c r="X7" s="2" t="s">
        <v>577</v>
      </c>
    </row>
    <row r="8" spans="3:43" ht="15.75" x14ac:dyDescent="0.25">
      <c r="C8" s="176" t="s">
        <v>570</v>
      </c>
      <c r="D8" s="2" t="s">
        <v>578</v>
      </c>
      <c r="E8" s="176" t="str">
        <f t="shared" si="0"/>
        <v>010_060</v>
      </c>
      <c r="P8" s="39" t="s">
        <v>558</v>
      </c>
      <c r="Q8" s="37">
        <v>6</v>
      </c>
      <c r="T8" s="45" t="s">
        <v>324</v>
      </c>
      <c r="V8" s="248" t="s">
        <v>579</v>
      </c>
      <c r="X8" s="2" t="s">
        <v>375</v>
      </c>
      <c r="Y8" s="2" t="s">
        <v>580</v>
      </c>
    </row>
    <row r="9" spans="3:43" ht="15.75" x14ac:dyDescent="0.25">
      <c r="C9" s="176" t="s">
        <v>570</v>
      </c>
      <c r="D9" s="2" t="s">
        <v>581</v>
      </c>
      <c r="E9" s="176" t="str">
        <f t="shared" si="0"/>
        <v>010_070</v>
      </c>
      <c r="G9" s="46" t="s">
        <v>582</v>
      </c>
      <c r="H9" s="46" t="s">
        <v>583</v>
      </c>
      <c r="I9" s="46" t="s">
        <v>584</v>
      </c>
      <c r="J9" s="46" t="s">
        <v>585</v>
      </c>
      <c r="L9" s="47" t="s">
        <v>586</v>
      </c>
      <c r="P9" s="39" t="s">
        <v>559</v>
      </c>
      <c r="Q9" s="37">
        <v>7</v>
      </c>
      <c r="T9" s="48" t="s">
        <v>587</v>
      </c>
      <c r="V9" s="249" t="s">
        <v>588</v>
      </c>
      <c r="X9" s="2" t="s">
        <v>589</v>
      </c>
      <c r="Y9" s="2" t="s">
        <v>590</v>
      </c>
      <c r="Z9" s="2" t="s">
        <v>591</v>
      </c>
    </row>
    <row r="10" spans="3:43" ht="15" x14ac:dyDescent="0.25">
      <c r="C10" s="176" t="s">
        <v>570</v>
      </c>
      <c r="D10" s="2" t="s">
        <v>592</v>
      </c>
      <c r="E10" s="176" t="str">
        <f t="shared" si="0"/>
        <v>010_080</v>
      </c>
      <c r="G10" s="2" t="s">
        <v>326</v>
      </c>
      <c r="H10" s="3" t="s">
        <v>330</v>
      </c>
      <c r="I10" s="2" t="s">
        <v>261</v>
      </c>
      <c r="J10" s="2">
        <v>1</v>
      </c>
      <c r="L10" s="49" t="s">
        <v>393</v>
      </c>
      <c r="T10" s="50" t="s">
        <v>309</v>
      </c>
      <c r="V10" s="247" t="s">
        <v>593</v>
      </c>
      <c r="X10" s="2" t="s">
        <v>594</v>
      </c>
      <c r="Y10" s="2" t="s">
        <v>595</v>
      </c>
    </row>
    <row r="11" spans="3:43" ht="15" x14ac:dyDescent="0.25">
      <c r="C11" s="176" t="s">
        <v>570</v>
      </c>
      <c r="D11" s="2" t="s">
        <v>596</v>
      </c>
      <c r="E11" s="176" t="str">
        <f t="shared" si="0"/>
        <v>010_090</v>
      </c>
      <c r="G11" s="2" t="s">
        <v>330</v>
      </c>
      <c r="H11" s="3" t="s">
        <v>261</v>
      </c>
      <c r="I11" s="2" t="s">
        <v>597</v>
      </c>
      <c r="J11" s="2">
        <v>2</v>
      </c>
      <c r="L11" s="49" t="s">
        <v>398</v>
      </c>
      <c r="T11" s="51" t="s">
        <v>598</v>
      </c>
      <c r="X11" s="2" t="s">
        <v>260</v>
      </c>
      <c r="Y11" s="2" t="s">
        <v>599</v>
      </c>
    </row>
    <row r="12" spans="3:43" ht="15" x14ac:dyDescent="0.25">
      <c r="C12" s="176" t="s">
        <v>570</v>
      </c>
      <c r="D12" s="2" t="s">
        <v>600</v>
      </c>
      <c r="E12" s="176" t="str">
        <f t="shared" si="0"/>
        <v>010_100</v>
      </c>
      <c r="G12" s="2" t="s">
        <v>261</v>
      </c>
      <c r="H12" s="3" t="s">
        <v>254</v>
      </c>
      <c r="I12" s="2" t="s">
        <v>326</v>
      </c>
      <c r="J12" s="2">
        <v>3</v>
      </c>
      <c r="L12" s="49" t="s">
        <v>434</v>
      </c>
      <c r="P12" s="52" t="s">
        <v>601</v>
      </c>
      <c r="Q12" s="53" t="s">
        <v>602</v>
      </c>
      <c r="R12" s="53">
        <v>0</v>
      </c>
      <c r="X12" s="2" t="s">
        <v>360</v>
      </c>
      <c r="Y12" s="2" t="s">
        <v>603</v>
      </c>
    </row>
    <row r="13" spans="3:43" ht="15" x14ac:dyDescent="0.25">
      <c r="C13" s="176" t="s">
        <v>570</v>
      </c>
      <c r="D13" s="2" t="s">
        <v>604</v>
      </c>
      <c r="E13" s="176" t="str">
        <f t="shared" si="0"/>
        <v>010_110</v>
      </c>
      <c r="G13" s="2" t="s">
        <v>261</v>
      </c>
      <c r="H13" s="3" t="s">
        <v>331</v>
      </c>
      <c r="I13" s="2" t="s">
        <v>326</v>
      </c>
      <c r="J13" s="2">
        <v>4</v>
      </c>
      <c r="L13" s="49" t="s">
        <v>472</v>
      </c>
      <c r="P13" s="52" t="s">
        <v>605</v>
      </c>
      <c r="Q13" s="53" t="s">
        <v>602</v>
      </c>
      <c r="R13" s="53">
        <v>15</v>
      </c>
      <c r="X13" s="2" t="s">
        <v>606</v>
      </c>
      <c r="Y13" s="2" t="s">
        <v>607</v>
      </c>
      <c r="Z13" s="2" t="s">
        <v>608</v>
      </c>
      <c r="AA13" s="2" t="s">
        <v>591</v>
      </c>
      <c r="AB13" s="2" t="s">
        <v>609</v>
      </c>
    </row>
    <row r="14" spans="3:43" ht="15" x14ac:dyDescent="0.25">
      <c r="C14" s="176" t="s">
        <v>570</v>
      </c>
      <c r="D14" s="2" t="s">
        <v>610</v>
      </c>
      <c r="E14" s="176" t="str">
        <f t="shared" si="0"/>
        <v>010_160</v>
      </c>
      <c r="L14" s="49" t="s">
        <v>464</v>
      </c>
      <c r="X14" s="2" t="s">
        <v>611</v>
      </c>
      <c r="Y14" s="2" t="s">
        <v>612</v>
      </c>
    </row>
    <row r="15" spans="3:43" ht="15" x14ac:dyDescent="0.25">
      <c r="C15" s="176" t="s">
        <v>570</v>
      </c>
      <c r="D15" s="2" t="s">
        <v>613</v>
      </c>
      <c r="E15" s="176" t="str">
        <f t="shared" si="0"/>
        <v>010_170</v>
      </c>
      <c r="G15" s="54" t="s">
        <v>582</v>
      </c>
      <c r="H15" s="54" t="s">
        <v>583</v>
      </c>
      <c r="I15" s="54" t="s">
        <v>584</v>
      </c>
      <c r="J15" s="54" t="s">
        <v>585</v>
      </c>
      <c r="L15" s="49" t="s">
        <v>467</v>
      </c>
      <c r="Q15" s="55" t="s">
        <v>301</v>
      </c>
      <c r="R15" s="55" t="b">
        <v>1</v>
      </c>
      <c r="U15" s="15"/>
      <c r="V15" s="15"/>
      <c r="X15" s="2" t="s">
        <v>614</v>
      </c>
      <c r="Y15" s="2" t="s">
        <v>615</v>
      </c>
      <c r="Z15" s="15"/>
      <c r="AC15" s="15"/>
      <c r="AD15" s="15"/>
      <c r="AE15" s="15"/>
      <c r="AF15" s="15"/>
      <c r="AG15" s="15"/>
      <c r="AH15" s="15"/>
      <c r="AI15" s="15"/>
      <c r="AJ15" s="15"/>
      <c r="AK15" s="15"/>
      <c r="AL15" s="15"/>
      <c r="AM15" s="15"/>
      <c r="AN15" s="15"/>
      <c r="AO15" s="15"/>
      <c r="AP15" s="15"/>
      <c r="AQ15" s="15"/>
    </row>
    <row r="16" spans="3:43" ht="15" x14ac:dyDescent="0.25">
      <c r="C16" s="176" t="s">
        <v>570</v>
      </c>
      <c r="D16" s="2" t="s">
        <v>616</v>
      </c>
      <c r="E16" s="176" t="str">
        <f t="shared" si="0"/>
        <v>010_180</v>
      </c>
      <c r="G16" s="2" t="s">
        <v>326</v>
      </c>
      <c r="H16" s="3" t="s">
        <v>259</v>
      </c>
      <c r="I16" s="2" t="s">
        <v>255</v>
      </c>
      <c r="J16" s="2">
        <v>1</v>
      </c>
      <c r="L16" s="49" t="s">
        <v>375</v>
      </c>
      <c r="Q16" s="55"/>
      <c r="R16" s="55" t="b">
        <v>0</v>
      </c>
      <c r="U16" s="15"/>
      <c r="V16" s="15"/>
      <c r="Z16" s="15"/>
      <c r="AC16" s="15"/>
      <c r="AD16" s="15"/>
      <c r="AE16" s="15"/>
      <c r="AF16" s="15"/>
      <c r="AG16" s="15"/>
      <c r="AH16" s="15"/>
      <c r="AI16" s="15"/>
      <c r="AJ16" s="15"/>
      <c r="AK16" s="15"/>
      <c r="AL16" s="15"/>
      <c r="AM16" s="15"/>
      <c r="AN16" s="15"/>
      <c r="AO16" s="15"/>
      <c r="AP16" s="15"/>
      <c r="AQ16" s="15"/>
    </row>
    <row r="17" spans="3:43" ht="15" x14ac:dyDescent="0.25">
      <c r="C17" s="176" t="s">
        <v>570</v>
      </c>
      <c r="D17" s="2" t="s">
        <v>617</v>
      </c>
      <c r="E17" s="176" t="str">
        <f t="shared" si="0"/>
        <v>010_190</v>
      </c>
      <c r="G17" s="2" t="s">
        <v>259</v>
      </c>
      <c r="H17" s="3" t="s">
        <v>255</v>
      </c>
      <c r="I17" s="2" t="s">
        <v>389</v>
      </c>
      <c r="J17" s="2">
        <v>2</v>
      </c>
      <c r="U17" s="15"/>
      <c r="V17" s="15"/>
      <c r="Z17" s="15"/>
      <c r="AC17" s="15"/>
      <c r="AD17" s="15"/>
      <c r="AE17" s="15"/>
      <c r="AF17" s="15"/>
      <c r="AG17" s="15"/>
      <c r="AH17" s="15"/>
      <c r="AI17" s="15"/>
      <c r="AJ17" s="15"/>
      <c r="AK17" s="15"/>
      <c r="AL17" s="15"/>
      <c r="AM17" s="15"/>
      <c r="AN17" s="15"/>
      <c r="AO17" s="15"/>
      <c r="AP17" s="15"/>
      <c r="AQ17" s="15"/>
    </row>
    <row r="18" spans="3:43" ht="15" x14ac:dyDescent="0.25">
      <c r="C18" s="176" t="s">
        <v>570</v>
      </c>
      <c r="D18" s="2" t="s">
        <v>618</v>
      </c>
      <c r="E18" s="176" t="str">
        <f t="shared" si="0"/>
        <v>010_200</v>
      </c>
      <c r="G18" s="2" t="s">
        <v>255</v>
      </c>
      <c r="H18" s="3" t="s">
        <v>389</v>
      </c>
      <c r="I18" s="2" t="s">
        <v>390</v>
      </c>
      <c r="J18" s="2">
        <v>3</v>
      </c>
      <c r="L18" s="56" t="s">
        <v>619</v>
      </c>
      <c r="M18" s="57" t="s">
        <v>312</v>
      </c>
      <c r="Q18" s="58" t="s">
        <v>620</v>
      </c>
      <c r="R18" s="58" t="str" cm="1">
        <f t="array" aca="1" ref="R18" ca="1">getWeekTotalWorkedHours(artist_punch)</f>
        <v>21:17</v>
      </c>
      <c r="T18" s="15"/>
      <c r="U18" s="15"/>
      <c r="V18" s="15"/>
      <c r="Z18" s="15"/>
      <c r="AC18" s="15"/>
      <c r="AD18" s="15"/>
      <c r="AE18" s="15"/>
      <c r="AF18" s="15"/>
      <c r="AG18" s="15"/>
      <c r="AH18" s="15"/>
      <c r="AI18" s="15"/>
      <c r="AJ18" s="15"/>
      <c r="AK18" s="15"/>
      <c r="AL18" s="15"/>
      <c r="AM18" s="15"/>
      <c r="AN18" s="15"/>
      <c r="AO18" s="15"/>
      <c r="AP18" s="15"/>
      <c r="AQ18" s="15"/>
    </row>
    <row r="19" spans="3:43" ht="15" x14ac:dyDescent="0.25">
      <c r="C19" s="176" t="s">
        <v>621</v>
      </c>
      <c r="D19" s="2" t="s">
        <v>622</v>
      </c>
      <c r="E19" s="176" t="str">
        <f t="shared" si="0"/>
        <v>020_020</v>
      </c>
      <c r="G19" s="2" t="s">
        <v>389</v>
      </c>
      <c r="H19" s="3" t="s">
        <v>390</v>
      </c>
      <c r="I19" s="2" t="s">
        <v>257</v>
      </c>
      <c r="J19" s="2">
        <v>4</v>
      </c>
      <c r="L19" s="56"/>
      <c r="M19" s="57" t="s">
        <v>313</v>
      </c>
      <c r="U19" s="15"/>
      <c r="V19" s="15"/>
      <c r="Z19" s="15"/>
      <c r="AC19" s="15"/>
      <c r="AD19" s="15"/>
      <c r="AE19" s="15"/>
      <c r="AF19" s="15"/>
      <c r="AG19" s="15"/>
      <c r="AH19" s="15"/>
      <c r="AI19" s="15"/>
      <c r="AJ19" s="15"/>
      <c r="AK19" s="15"/>
      <c r="AL19" s="15"/>
      <c r="AM19" s="15"/>
      <c r="AN19" s="15"/>
      <c r="AO19" s="15"/>
      <c r="AP19" s="15"/>
      <c r="AQ19" s="15"/>
    </row>
    <row r="20" spans="3:43" ht="15" x14ac:dyDescent="0.25">
      <c r="C20" s="176" t="s">
        <v>621</v>
      </c>
      <c r="D20" s="2" t="s">
        <v>623</v>
      </c>
      <c r="E20" s="176" t="str">
        <f t="shared" si="0"/>
        <v>020_030</v>
      </c>
      <c r="G20" s="2" t="s">
        <v>390</v>
      </c>
      <c r="H20" s="3" t="s">
        <v>257</v>
      </c>
      <c r="I20" s="2" t="s">
        <v>258</v>
      </c>
      <c r="J20" s="2">
        <v>5</v>
      </c>
      <c r="L20" s="56" t="s">
        <v>624</v>
      </c>
      <c r="M20" s="57" t="s">
        <v>310</v>
      </c>
      <c r="O20" s="59" t="s">
        <v>625</v>
      </c>
      <c r="P20" s="59">
        <f>COUNTIF(assets[Status], $O20)</f>
        <v>74</v>
      </c>
      <c r="Q20" s="9"/>
      <c r="R20" s="60" t="s">
        <v>538</v>
      </c>
      <c r="S20" s="60">
        <f>COUNTIF(shots[Status], $R20)</f>
        <v>0</v>
      </c>
      <c r="U20" s="15"/>
      <c r="V20" s="15"/>
      <c r="Z20" s="15"/>
      <c r="AB20" s="15"/>
      <c r="AC20" s="15"/>
      <c r="AD20" s="15"/>
      <c r="AE20" s="15"/>
      <c r="AF20" s="15"/>
      <c r="AG20" s="15"/>
      <c r="AH20" s="15"/>
      <c r="AI20" s="15"/>
      <c r="AJ20" s="15"/>
      <c r="AK20" s="15"/>
      <c r="AL20" s="15"/>
      <c r="AM20" s="15"/>
      <c r="AN20" s="15"/>
      <c r="AO20" s="15"/>
      <c r="AP20" s="15"/>
      <c r="AQ20" s="15"/>
    </row>
    <row r="21" spans="3:43" ht="15" x14ac:dyDescent="0.25">
      <c r="C21" s="176" t="s">
        <v>621</v>
      </c>
      <c r="D21" s="2" t="s">
        <v>573</v>
      </c>
      <c r="E21" s="176" t="str">
        <f t="shared" si="0"/>
        <v>020_040</v>
      </c>
      <c r="G21" s="2" t="s">
        <v>257</v>
      </c>
      <c r="H21" s="3" t="s">
        <v>258</v>
      </c>
      <c r="I21" s="2" t="s">
        <v>326</v>
      </c>
      <c r="J21" s="2">
        <v>6</v>
      </c>
      <c r="L21" s="56"/>
      <c r="M21" s="57" t="s">
        <v>314</v>
      </c>
      <c r="O21" s="59" t="s">
        <v>626</v>
      </c>
      <c r="P21" s="59">
        <f>COUNTIF(assets[Status], $O21)</f>
        <v>1</v>
      </c>
      <c r="Q21" s="9"/>
      <c r="R21" s="60" t="s">
        <v>594</v>
      </c>
      <c r="S21" s="60">
        <f>COUNTIF(shots[Status], $R21)</f>
        <v>17</v>
      </c>
      <c r="U21" s="15"/>
      <c r="V21" s="15"/>
      <c r="Z21" s="15"/>
      <c r="AB21" s="15"/>
      <c r="AC21" s="15"/>
      <c r="AD21" s="15"/>
      <c r="AE21" s="15"/>
      <c r="AF21" s="15"/>
      <c r="AG21" s="15"/>
      <c r="AH21" s="15"/>
      <c r="AI21" s="15"/>
      <c r="AJ21" s="15"/>
      <c r="AK21" s="15"/>
      <c r="AL21" s="15"/>
      <c r="AM21" s="15"/>
      <c r="AN21" s="15"/>
      <c r="AO21" s="15"/>
      <c r="AP21" s="15"/>
      <c r="AQ21" s="15"/>
    </row>
    <row r="22" spans="3:43" ht="15" x14ac:dyDescent="0.25">
      <c r="C22" s="176" t="s">
        <v>621</v>
      </c>
      <c r="D22" s="2" t="s">
        <v>575</v>
      </c>
      <c r="E22" s="176" t="str">
        <f t="shared" si="0"/>
        <v>020_050</v>
      </c>
      <c r="L22" s="56" t="s">
        <v>627</v>
      </c>
      <c r="M22" s="57" t="s">
        <v>311</v>
      </c>
      <c r="O22" s="59" t="s">
        <v>260</v>
      </c>
      <c r="P22" s="59">
        <f>COUNTIF(assets[Status], $O22)</f>
        <v>0</v>
      </c>
      <c r="Q22" s="9"/>
      <c r="R22" s="60" t="s">
        <v>546</v>
      </c>
      <c r="S22" s="60">
        <f>COUNTIF(shots[Status], $R22)</f>
        <v>1</v>
      </c>
      <c r="U22" s="15"/>
      <c r="V22" s="15"/>
      <c r="Z22" s="15"/>
      <c r="AB22" s="15"/>
      <c r="AC22" s="15"/>
      <c r="AD22" s="15"/>
      <c r="AE22" s="15"/>
      <c r="AF22" s="15"/>
      <c r="AG22" s="15"/>
      <c r="AH22" s="15"/>
      <c r="AI22" s="15"/>
      <c r="AJ22" s="15"/>
      <c r="AK22" s="15"/>
      <c r="AL22" s="15"/>
      <c r="AM22" s="15"/>
      <c r="AN22" s="15"/>
      <c r="AO22" s="15"/>
      <c r="AP22" s="15"/>
      <c r="AQ22" s="15"/>
    </row>
    <row r="23" spans="3:43" ht="15" x14ac:dyDescent="0.25">
      <c r="C23" s="2" t="s">
        <v>628</v>
      </c>
      <c r="D23" s="2" t="s">
        <v>622</v>
      </c>
      <c r="E23" s="176" t="str">
        <f t="shared" si="0"/>
        <v>030_020</v>
      </c>
      <c r="O23" s="59" t="s">
        <v>629</v>
      </c>
      <c r="P23" s="59">
        <f>COUNTIF(assets[Status], $O23)</f>
        <v>0</v>
      </c>
      <c r="Q23" s="9"/>
      <c r="R23" s="60" t="s">
        <v>360</v>
      </c>
      <c r="S23" s="60">
        <f>COUNTIF(shots[Status], $R23)</f>
        <v>2</v>
      </c>
      <c r="U23" s="15"/>
      <c r="V23" s="15"/>
      <c r="Z23" s="15"/>
      <c r="AB23" s="15"/>
      <c r="AC23" s="15"/>
      <c r="AD23" s="15"/>
      <c r="AE23" s="15"/>
      <c r="AF23" s="15"/>
      <c r="AG23" s="15"/>
      <c r="AH23" s="15"/>
      <c r="AI23" s="15"/>
      <c r="AJ23" s="15"/>
      <c r="AK23" s="15"/>
      <c r="AL23" s="15"/>
      <c r="AM23" s="15"/>
      <c r="AN23" s="15"/>
      <c r="AO23" s="15"/>
      <c r="AP23" s="15"/>
      <c r="AQ23" s="15"/>
    </row>
    <row r="24" spans="3:43" ht="15" x14ac:dyDescent="0.25">
      <c r="C24" s="2" t="s">
        <v>628</v>
      </c>
      <c r="D24" s="2" t="s">
        <v>623</v>
      </c>
      <c r="E24" s="176" t="str">
        <f t="shared" ref="E24:E48" si="1">CONCATENATE(RIGHT($C24,3),"_",RIGHT($D24,3))</f>
        <v>030_030</v>
      </c>
      <c r="L24" s="61" t="s">
        <v>630</v>
      </c>
      <c r="M24" s="62">
        <f>DATE(2023,10,8)</f>
        <v>45207</v>
      </c>
      <c r="Q24" s="9"/>
      <c r="R24" s="60" t="s">
        <v>631</v>
      </c>
      <c r="S24" s="60">
        <f>COUNTIF(shots[Status], $R24)</f>
        <v>9</v>
      </c>
      <c r="U24" s="15"/>
      <c r="V24" s="15"/>
      <c r="Z24" s="15"/>
      <c r="AB24" s="15"/>
      <c r="AC24" s="15"/>
      <c r="AD24" s="15"/>
      <c r="AE24" s="15"/>
      <c r="AF24" s="15"/>
      <c r="AG24" s="15"/>
      <c r="AH24" s="15"/>
      <c r="AI24" s="15"/>
      <c r="AJ24" s="15"/>
      <c r="AK24" s="15"/>
      <c r="AL24" s="15"/>
      <c r="AM24" s="15"/>
      <c r="AN24" s="15"/>
      <c r="AO24" s="15"/>
      <c r="AP24" s="15"/>
      <c r="AQ24" s="15"/>
    </row>
    <row r="25" spans="3:43" ht="15" x14ac:dyDescent="0.25">
      <c r="C25" s="2" t="s">
        <v>628</v>
      </c>
      <c r="D25" s="2" t="s">
        <v>573</v>
      </c>
      <c r="E25" s="176" t="str">
        <f t="shared" si="1"/>
        <v>030_040</v>
      </c>
      <c r="L25" s="61" t="s">
        <v>632</v>
      </c>
      <c r="M25" s="62">
        <f>DATE(2023, 9, 4)</f>
        <v>45173</v>
      </c>
      <c r="Q25" s="9"/>
      <c r="R25" s="60" t="s">
        <v>633</v>
      </c>
      <c r="S25" s="60">
        <f>COUNTIF(shots[Status], $R25)</f>
        <v>19</v>
      </c>
      <c r="U25" s="15"/>
      <c r="V25" s="15"/>
      <c r="Z25" s="15"/>
      <c r="AB25" s="15"/>
      <c r="AC25" s="15"/>
      <c r="AD25" s="15"/>
      <c r="AE25" s="15"/>
      <c r="AF25" s="15"/>
      <c r="AG25" s="15"/>
      <c r="AH25" s="15"/>
      <c r="AI25" s="15"/>
      <c r="AJ25" s="15"/>
      <c r="AK25" s="15"/>
      <c r="AL25" s="15"/>
      <c r="AM25" s="15"/>
      <c r="AN25" s="15"/>
      <c r="AO25" s="15"/>
      <c r="AP25" s="15"/>
      <c r="AQ25" s="15"/>
    </row>
    <row r="26" spans="3:43" ht="15" x14ac:dyDescent="0.25">
      <c r="C26" s="2" t="s">
        <v>628</v>
      </c>
      <c r="D26" s="2" t="s">
        <v>578</v>
      </c>
      <c r="E26" s="176" t="str">
        <f t="shared" si="1"/>
        <v>030_060</v>
      </c>
      <c r="L26" s="61" t="s">
        <v>634</v>
      </c>
      <c r="M26" s="62">
        <f>DATE(2024, 4, 26)</f>
        <v>45408</v>
      </c>
      <c r="O26" s="10"/>
      <c r="P26" s="10"/>
      <c r="U26" s="15"/>
      <c r="V26" s="15"/>
      <c r="Z26" s="15"/>
      <c r="AB26" s="15"/>
      <c r="AC26" s="15"/>
      <c r="AD26" s="15"/>
      <c r="AE26" s="15"/>
      <c r="AF26" s="15"/>
      <c r="AG26" s="15"/>
      <c r="AH26" s="15"/>
      <c r="AI26" s="15"/>
      <c r="AJ26" s="15"/>
      <c r="AK26" s="15"/>
      <c r="AL26" s="15"/>
      <c r="AM26" s="15"/>
      <c r="AN26" s="15"/>
      <c r="AO26" s="15"/>
      <c r="AP26" s="15"/>
      <c r="AQ26" s="15"/>
    </row>
    <row r="27" spans="3:43" ht="15" x14ac:dyDescent="0.25">
      <c r="C27" s="2" t="s">
        <v>628</v>
      </c>
      <c r="D27" s="2" t="s">
        <v>581</v>
      </c>
      <c r="E27" s="176" t="str">
        <f t="shared" si="1"/>
        <v>030_070</v>
      </c>
      <c r="L27" s="61" t="s">
        <v>635</v>
      </c>
      <c r="M27" s="62">
        <f>DATE(2023, 12, 13)</f>
        <v>45273</v>
      </c>
      <c r="O27" s="10"/>
      <c r="P27" s="153"/>
      <c r="Q27" s="153" t="s">
        <v>636</v>
      </c>
      <c r="R27" s="153" t="s">
        <v>637</v>
      </c>
      <c r="S27" s="153" t="s">
        <v>638</v>
      </c>
      <c r="T27" s="49" t="s">
        <v>639</v>
      </c>
      <c r="U27" s="177" t="s">
        <v>640</v>
      </c>
      <c r="V27" s="15"/>
      <c r="X27" s="3" t="s">
        <v>6</v>
      </c>
      <c r="Y27" s="3" t="s">
        <v>641</v>
      </c>
      <c r="AA27" s="15"/>
      <c r="AB27" s="15"/>
      <c r="AC27" s="15"/>
      <c r="AD27" s="15"/>
      <c r="AE27" s="15"/>
      <c r="AF27" s="15"/>
      <c r="AG27" s="15"/>
      <c r="AH27" s="15"/>
      <c r="AI27" s="15"/>
      <c r="AJ27" s="15"/>
      <c r="AK27" s="15"/>
      <c r="AL27" s="15"/>
      <c r="AM27" s="15"/>
      <c r="AN27" s="15"/>
      <c r="AO27" s="15"/>
      <c r="AP27" s="15"/>
    </row>
    <row r="28" spans="3:43" ht="15" x14ac:dyDescent="0.25">
      <c r="C28" s="2" t="s">
        <v>628</v>
      </c>
      <c r="D28" s="2" t="s">
        <v>592</v>
      </c>
      <c r="E28" s="176" t="str">
        <f t="shared" si="1"/>
        <v>030_080</v>
      </c>
      <c r="P28" s="153" t="str" cm="1">
        <f t="array" ref="P28:P32">infos[Artist]</f>
        <v>P-A</v>
      </c>
      <c r="Q28" s="154" t="str" cm="1">
        <f t="array" ref="Q28">artistAverageWorkingHours($P28)</f>
        <v>18:49</v>
      </c>
      <c r="R28" s="154" t="str" cm="1">
        <f t="array" aca="1" ref="R28" ca="1">artistRecommendedWorkingHours($P28)</f>
        <v>1:03</v>
      </c>
      <c r="S28" s="154" t="str">
        <f ca="1">_xlfn.LET(
    _xlpm.difference, $Q28-$R28,
    _xlpm.result, TEXT(ABS(_xlpm.difference), "h:mm"),
    IF(_xlpm.difference&lt;0, "-"&amp;_xlpm.result, _xlpm.result)
)</f>
        <v>17:46</v>
      </c>
      <c r="T28" s="49" cm="1">
        <f t="array" ref="T28">getBaseLine($P28)</f>
        <v>313</v>
      </c>
      <c r="U28" s="177" cm="1">
        <f t="array" ref="U28">getHoursToDo($P28)</f>
        <v>5.3000000000000016</v>
      </c>
      <c r="V28" s="15"/>
      <c r="X28" s="2" t="s">
        <v>16</v>
      </c>
      <c r="Y28" s="2" t="str" cm="1">
        <f t="array" ref="Y28">TEXT(SUM(_xlfn._xlws.FILTER(punch[Total Time], punch[Artist]=Tableau26[[#This Row],[Artist]])), "[h]:mm;@")</f>
        <v>854:01</v>
      </c>
      <c r="AA28" s="15"/>
      <c r="AB28" s="15"/>
      <c r="AC28" s="15"/>
      <c r="AD28" s="15"/>
      <c r="AE28" s="15"/>
      <c r="AF28" s="15"/>
      <c r="AG28" s="15"/>
      <c r="AH28" s="15"/>
      <c r="AI28" s="15"/>
      <c r="AJ28" s="15"/>
      <c r="AK28" s="15"/>
      <c r="AL28" s="15"/>
      <c r="AM28" s="15"/>
      <c r="AN28" s="15"/>
      <c r="AO28" s="15"/>
      <c r="AP28" s="15"/>
    </row>
    <row r="29" spans="3:43" ht="15" x14ac:dyDescent="0.25">
      <c r="C29" s="2" t="s">
        <v>628</v>
      </c>
      <c r="D29" s="2" t="s">
        <v>600</v>
      </c>
      <c r="E29" s="176" t="str">
        <f t="shared" si="1"/>
        <v>030_100</v>
      </c>
      <c r="L29" s="63" t="s">
        <v>642</v>
      </c>
      <c r="M29" s="64" t="str" cm="1">
        <f t="array" aca="1" ref="M29" ca="1">daysToNextProductionDelivery()</f>
        <v>2 jours</v>
      </c>
      <c r="P29" s="153" t="str">
        <v>Fred</v>
      </c>
      <c r="Q29" s="154" t="str" cm="1">
        <f t="array" ref="Q29">artistAverageWorkingHours($P29)</f>
        <v>18:12</v>
      </c>
      <c r="R29" s="154" t="str" cm="1">
        <f t="array" aca="1" ref="R29" ca="1">artistRecommendedWorkingHours($P29)</f>
        <v>0:36</v>
      </c>
      <c r="S29" s="154" t="str">
        <f ca="1">_xlfn.LET(
    _xlpm.difference, $Q29-$R29,
    _xlpm.result, TEXT(ABS(_xlpm.difference), "h:mm"),
    IF(_xlpm.difference&lt;0, "-"&amp;_xlpm.result, _xlpm.result)
)</f>
        <v>17:36</v>
      </c>
      <c r="T29" s="49" cm="1">
        <f t="array" ref="T29">getBaseLine($P29)</f>
        <v>326</v>
      </c>
      <c r="U29" s="177" cm="1">
        <f t="array" ref="U29">getHoursToDo($P29)</f>
        <v>3.0000000000000027</v>
      </c>
      <c r="V29" s="15"/>
      <c r="X29" s="2" t="s">
        <v>14</v>
      </c>
      <c r="Y29" s="2" t="str" cm="1">
        <f t="array" ref="Y29">TEXT(SUM(_xlfn._xlws.FILTER(punch[Total Time], punch[Artist]=Tableau26[[#This Row],[Artist]])), "[h]:mm;@")</f>
        <v>309:33</v>
      </c>
      <c r="AA29" s="15"/>
      <c r="AB29" s="15"/>
      <c r="AC29" s="15"/>
      <c r="AD29" s="15"/>
      <c r="AE29" s="15"/>
      <c r="AF29" s="15"/>
      <c r="AG29" s="15"/>
      <c r="AH29" s="15"/>
      <c r="AI29" s="15"/>
      <c r="AJ29" s="15"/>
      <c r="AK29" s="15"/>
      <c r="AL29" s="15"/>
      <c r="AM29" s="15"/>
      <c r="AN29" s="15"/>
      <c r="AO29" s="15"/>
      <c r="AP29" s="15"/>
    </row>
    <row r="30" spans="3:43" ht="15" x14ac:dyDescent="0.25">
      <c r="C30" s="2" t="s">
        <v>628</v>
      </c>
      <c r="D30" s="2" t="s">
        <v>604</v>
      </c>
      <c r="E30" s="176" t="str">
        <f t="shared" si="1"/>
        <v>030_110</v>
      </c>
      <c r="L30" s="63" t="s">
        <v>643</v>
      </c>
      <c r="M30" s="64" t="str" cm="1">
        <f t="array" aca="1" ref="M30" ca="1">daysToNextSuiviDelivery()</f>
        <v>16 jours</v>
      </c>
      <c r="P30" s="153" t="str">
        <v>AnnLau</v>
      </c>
      <c r="Q30" s="154" t="str" cm="1">
        <f t="array" ref="Q30">artistAverageWorkingHours($P30)</f>
        <v>20:56</v>
      </c>
      <c r="R30" s="154" t="str" cm="1">
        <f t="array" aca="1" ref="R30" ca="1">artistRecommendedWorkingHours($P30)</f>
        <v>11:33</v>
      </c>
      <c r="S30" s="154" t="str">
        <f ca="1">_xlfn.LET(
    _xlpm.difference, $Q30-$R30,
    _xlpm.result, TEXT(ABS(_xlpm.difference), "h:mm"),
    IF(_xlpm.difference&lt;0, "-"&amp;_xlpm.result, _xlpm.result)
)</f>
        <v>9:23</v>
      </c>
      <c r="T30" s="49" cm="1">
        <f t="array" ref="T30">getBaseLine($P30)</f>
        <v>642.5</v>
      </c>
      <c r="U30" s="177" cm="1">
        <f t="array" ref="U30">getHoursToDo($P30)</f>
        <v>177.77</v>
      </c>
      <c r="V30" s="15"/>
      <c r="X30" s="2" t="s">
        <v>18</v>
      </c>
      <c r="Y30" s="2" t="str" cm="1">
        <f t="array" ref="Y30">TEXT(SUM(_xlfn._xlws.FILTER(punch[Total Time], punch[Artist]=Tableau26[[#This Row],[Artist]])), "[h]:mm;@")</f>
        <v>792:40</v>
      </c>
      <c r="AA30" s="15"/>
      <c r="AB30" s="15"/>
      <c r="AC30" s="15"/>
      <c r="AD30" s="15"/>
      <c r="AE30" s="15"/>
      <c r="AF30" s="15"/>
      <c r="AG30" s="15"/>
      <c r="AH30" s="15"/>
      <c r="AI30" s="15"/>
      <c r="AJ30" s="15"/>
      <c r="AK30" s="15"/>
      <c r="AL30" s="15"/>
      <c r="AM30" s="15"/>
      <c r="AN30" s="15"/>
      <c r="AO30" s="15"/>
      <c r="AP30" s="15"/>
    </row>
    <row r="31" spans="3:43" ht="15" x14ac:dyDescent="0.25">
      <c r="C31" s="2" t="s">
        <v>628</v>
      </c>
      <c r="D31" s="2" t="s">
        <v>644</v>
      </c>
      <c r="E31" s="176" t="str">
        <f t="shared" si="1"/>
        <v>030_120</v>
      </c>
      <c r="L31" s="63" t="s">
        <v>645</v>
      </c>
      <c r="M31" s="64" t="str" cm="1">
        <f t="array" aca="1" ref="M31" ca="1">daysToFinalDelivery()</f>
        <v>38 jours</v>
      </c>
      <c r="P31" s="153" t="str">
        <v>Jacob</v>
      </c>
      <c r="Q31" s="154" t="str" cm="1">
        <f t="array" ref="Q31">artistAverageWorkingHours($P31)</f>
        <v>17:43</v>
      </c>
      <c r="R31" s="154" t="str" cm="1">
        <f t="array" aca="1" ref="R31" ca="1">artistRecommendedWorkingHours($P31)</f>
        <v>20:41</v>
      </c>
      <c r="S31" s="154" t="str">
        <f ca="1">_xlfn.LET(
    _xlpm.difference, $Q31-$R31,
    _xlpm.result, TEXT(ABS(_xlpm.difference), "h:mm"),
    IF(_xlpm.difference&lt;0, "-"&amp;_xlpm.result, _xlpm.result)
)</f>
        <v>-2:58</v>
      </c>
      <c r="T31" s="49" cm="1">
        <f t="array" ref="T31">getBaseLine($P31)</f>
        <v>522.5</v>
      </c>
      <c r="U31" s="177" cm="1">
        <f t="array" ref="U31">getHoursToDo($P31)</f>
        <v>103.46</v>
      </c>
      <c r="V31" s="15"/>
      <c r="X31" s="2" t="s">
        <v>20</v>
      </c>
      <c r="Y31" s="2" t="str" cm="1">
        <f t="array" ref="Y31">TEXT(SUM(_xlfn._xlws.FILTER(punch[Total Time], punch[Artist]=Tableau26[[#This Row],[Artist]])), "[h]:mm;@")</f>
        <v>322:35</v>
      </c>
      <c r="AA31" s="15"/>
      <c r="AB31" s="15"/>
      <c r="AC31" s="15"/>
      <c r="AD31" s="15"/>
      <c r="AE31" s="15"/>
      <c r="AF31" s="15"/>
      <c r="AG31" s="15"/>
      <c r="AH31" s="15"/>
      <c r="AI31" s="15"/>
      <c r="AJ31" s="15"/>
      <c r="AK31" s="15"/>
      <c r="AL31" s="15"/>
      <c r="AM31" s="15"/>
      <c r="AN31" s="15"/>
      <c r="AO31" s="15"/>
      <c r="AP31" s="15"/>
    </row>
    <row r="32" spans="3:43" ht="15" x14ac:dyDescent="0.25">
      <c r="C32" s="2" t="s">
        <v>628</v>
      </c>
      <c r="D32" s="2" t="s">
        <v>646</v>
      </c>
      <c r="E32" s="176" t="str">
        <f t="shared" si="1"/>
        <v>030_130</v>
      </c>
      <c r="L32" s="63" t="s">
        <v>647</v>
      </c>
      <c r="M32" s="64" t="str" cm="1">
        <f t="array" aca="1" ref="M32" ca="1">TEXT(estimatedDeliveryDate(), "[$-0c0C]dd mmmm yyyy")</f>
        <v>23 avril 2024</v>
      </c>
      <c r="P32" s="153" t="str">
        <v>Mym</v>
      </c>
      <c r="Q32" s="154" t="str" cm="1">
        <f t="array" ref="Q32">artistAverageWorkingHours($P32)</f>
        <v>18:58</v>
      </c>
      <c r="R32" s="154" t="str" cm="1">
        <f t="array" aca="1" ref="R32" ca="1">artistRecommendedWorkingHours($P32)</f>
        <v>11:34</v>
      </c>
      <c r="S32" s="154" t="str">
        <f ca="1">_xlfn.LET(
    _xlpm.difference, $Q32-$R32,
    _xlpm.result, TEXT(ABS(_xlpm.difference), "h:mm"),
    IF(_xlpm.difference&lt;0, "-"&amp;_xlpm.result, _xlpm.result)
)</f>
        <v>7:24</v>
      </c>
      <c r="T32" s="49" cm="1">
        <f t="array" ref="T32">getBaseLine($P32)</f>
        <v>356</v>
      </c>
      <c r="U32" s="177" cm="1">
        <f t="array" ref="U32">getHoursToDo($P32)</f>
        <v>177.89999999999998</v>
      </c>
      <c r="V32" s="15"/>
      <c r="X32" s="2" t="s">
        <v>12</v>
      </c>
      <c r="Y32" s="2" t="str" cm="1">
        <f t="array" ref="Y32">TEXT(SUM(_xlfn._xlws.FILTER(punch[Total Time], punch[Artist]=Tableau26[[#This Row],[Artist]])), "[h]:mm;@")</f>
        <v>357:46</v>
      </c>
      <c r="AA32" s="15"/>
      <c r="AB32" s="15"/>
      <c r="AC32" s="15"/>
      <c r="AD32" s="15"/>
      <c r="AE32" s="15"/>
      <c r="AF32" s="15"/>
      <c r="AG32" s="15"/>
      <c r="AH32" s="15"/>
      <c r="AI32" s="15"/>
      <c r="AJ32" s="15"/>
      <c r="AK32" s="15"/>
      <c r="AL32" s="15"/>
      <c r="AM32" s="15"/>
      <c r="AN32" s="15"/>
      <c r="AO32" s="15"/>
      <c r="AP32" s="15"/>
    </row>
    <row r="33" spans="3:43" ht="15" x14ac:dyDescent="0.25">
      <c r="C33" s="2" t="s">
        <v>628</v>
      </c>
      <c r="D33" s="2" t="s">
        <v>648</v>
      </c>
      <c r="E33" s="176" t="str">
        <f t="shared" si="1"/>
        <v>030_140</v>
      </c>
      <c r="L33" s="65" t="s">
        <v>649</v>
      </c>
      <c r="M33" s="65" t="str" cm="1">
        <f t="array" aca="1" ref="M33" ca="1">_xlfn.DAYS(dateLivraisonFinale, estimatedDeliveryDate())&amp;" jours"</f>
        <v>3 jours</v>
      </c>
      <c r="P33" s="153" t="s">
        <v>650</v>
      </c>
      <c r="Q33" s="155" cm="1">
        <f t="array" ref="Q33">AVERAGE(_xlfn.MAP(infos[Artist], _xlfn.LAMBDA(_xlpm.artist,
    _xlfn.LET(
        _xlpm.result, AVERAGE(_xlfn.UNIQUE(_xlfn._xlws.FILTER(punch[Week Total], punch[Artist]=_xlpm.artist))),
        _xlpm.result
    )
)))*24</f>
        <v>28.536336429329154</v>
      </c>
      <c r="R33" s="155" cm="1">
        <f t="array" aca="1" ref="R33" ca="1">AVERAGE(_xlfn.MAP(infos[Artist], _xlfn.LAMBDA(_xlpm.artist,
    _xlfn.LET(
        _xlpm.dayValue, _xlfn.DAYS(dateLivraisonFinale, TODAY()),
        _xlpm.weekValue, ROUND(_xlpm.dayValue/7, 0),
        _xlpm.result, getHoursToDo(_xlpm.artist)/_xlpm.weekValue,
        _xlpm.result
    )
)))</f>
        <v>18.697200000000002</v>
      </c>
      <c r="S33" s="155">
        <f ca="1">$Q$33-$R$33</f>
        <v>9.8391364293291517</v>
      </c>
      <c r="T33" s="156"/>
      <c r="U33" s="177"/>
      <c r="V33" s="15"/>
      <c r="Z33" s="15"/>
      <c r="AB33" s="15"/>
      <c r="AC33" s="15"/>
      <c r="AD33" s="15"/>
      <c r="AE33" s="15"/>
      <c r="AF33" s="15"/>
      <c r="AG33" s="15"/>
      <c r="AH33" s="15"/>
      <c r="AI33" s="15"/>
      <c r="AJ33" s="15"/>
      <c r="AK33" s="15"/>
      <c r="AL33" s="15"/>
      <c r="AM33" s="15"/>
      <c r="AN33" s="15"/>
      <c r="AO33" s="15"/>
      <c r="AP33" s="15"/>
      <c r="AQ33" s="15"/>
    </row>
    <row r="34" spans="3:43" ht="15" x14ac:dyDescent="0.25">
      <c r="C34" s="2" t="s">
        <v>628</v>
      </c>
      <c r="D34" s="2" t="s">
        <v>651</v>
      </c>
      <c r="E34" s="176" t="str">
        <f t="shared" si="1"/>
        <v>030_150</v>
      </c>
      <c r="P34" s="153"/>
      <c r="Q34" s="154" t="str">
        <f>TEXT(Q$33/24, "h:mm")</f>
        <v>4:32</v>
      </c>
      <c r="R34" s="154" t="str">
        <f ca="1">TEXT(R$33/24, "h:mm")</f>
        <v>18:41</v>
      </c>
      <c r="S34" s="154" t="str">
        <f ca="1">IF(S$33&lt;0, "-"&amp;TEXT(ABS(S$33)/24, "h:mm"), TEXT(ABS(S$33)/24, "h:mm"))</f>
        <v>9:50</v>
      </c>
      <c r="T34" s="156"/>
      <c r="U34" s="177"/>
      <c r="V34" s="15"/>
      <c r="Z34" s="15"/>
      <c r="AB34" s="15"/>
      <c r="AC34" s="15"/>
      <c r="AD34" s="15"/>
      <c r="AE34" s="15"/>
      <c r="AF34" s="15"/>
      <c r="AG34" s="15"/>
      <c r="AH34" s="15"/>
      <c r="AI34" s="15"/>
      <c r="AJ34" s="15"/>
      <c r="AK34" s="15"/>
      <c r="AL34" s="15"/>
      <c r="AM34" s="15"/>
      <c r="AN34" s="15"/>
      <c r="AO34" s="15"/>
      <c r="AP34" s="15"/>
      <c r="AQ34" s="15"/>
    </row>
    <row r="35" spans="3:43" ht="15" x14ac:dyDescent="0.25">
      <c r="C35" s="2" t="s">
        <v>652</v>
      </c>
      <c r="D35" s="2" t="s">
        <v>567</v>
      </c>
      <c r="E35" s="176" t="str">
        <f t="shared" si="1"/>
        <v>040_010</v>
      </c>
      <c r="G35" s="56" t="s">
        <v>538</v>
      </c>
      <c r="H35" s="101" t="s">
        <v>594</v>
      </c>
      <c r="I35" s="56" t="s">
        <v>546</v>
      </c>
      <c r="J35" s="56" t="s">
        <v>360</v>
      </c>
      <c r="K35" s="56" t="s">
        <v>631</v>
      </c>
      <c r="L35" s="56" t="s">
        <v>633</v>
      </c>
      <c r="Q35" s="68"/>
      <c r="T35" s="15"/>
      <c r="U35" s="15"/>
      <c r="V35" s="15"/>
      <c r="Z35" s="15"/>
      <c r="AB35" s="15"/>
      <c r="AC35" s="15"/>
      <c r="AD35" s="15"/>
      <c r="AE35" s="15"/>
      <c r="AF35" s="15"/>
      <c r="AG35" s="15"/>
      <c r="AH35" s="15"/>
      <c r="AI35" s="15"/>
      <c r="AJ35" s="15"/>
      <c r="AK35" s="15"/>
      <c r="AL35" s="15"/>
      <c r="AM35" s="15"/>
      <c r="AN35" s="15"/>
      <c r="AO35" s="15"/>
      <c r="AP35" s="15"/>
      <c r="AQ35" s="15"/>
    </row>
    <row r="36" spans="3:43" ht="15" x14ac:dyDescent="0.25">
      <c r="C36" s="2" t="s">
        <v>652</v>
      </c>
      <c r="D36" s="2" t="s">
        <v>622</v>
      </c>
      <c r="E36" s="176" t="str">
        <f t="shared" si="1"/>
        <v>040_020</v>
      </c>
      <c r="G36" s="102">
        <f>layout[[#Totals],[Progress]]</f>
        <v>0.96394052044609668</v>
      </c>
      <c r="H36" s="102">
        <f>anim[[#Totals],[Progress]]</f>
        <v>0.99757042253521122</v>
      </c>
      <c r="I36" s="102">
        <f>lighting[[#Totals],[Progress]]</f>
        <v>0.44225806451612903</v>
      </c>
      <c r="J36" s="102">
        <f>vfx[[#Totals],[Progress]]</f>
        <v>0.23448275862068965</v>
      </c>
      <c r="K36" s="102">
        <f>render[[#Totals],[Progress]]</f>
        <v>0.43125000000000013</v>
      </c>
      <c r="L36" s="102">
        <f>comp[[#Totals],[Progress]]</f>
        <v>0.24463768115942022</v>
      </c>
      <c r="Q36" s="68"/>
      <c r="T36" s="15"/>
      <c r="U36" s="15"/>
      <c r="V36" s="15"/>
      <c r="Z36" s="15"/>
      <c r="AB36" s="15"/>
      <c r="AC36" s="15"/>
      <c r="AD36" s="15"/>
      <c r="AE36" s="15"/>
      <c r="AF36" s="15"/>
      <c r="AG36" s="15"/>
      <c r="AH36" s="15"/>
      <c r="AI36" s="15"/>
      <c r="AJ36" s="15"/>
      <c r="AK36" s="15"/>
      <c r="AL36" s="15"/>
      <c r="AM36" s="15"/>
      <c r="AN36" s="15"/>
      <c r="AO36" s="15"/>
      <c r="AP36" s="15"/>
      <c r="AQ36" s="15"/>
    </row>
    <row r="37" spans="3:43" ht="15" x14ac:dyDescent="0.25">
      <c r="C37" s="2" t="s">
        <v>652</v>
      </c>
      <c r="D37" s="2" t="s">
        <v>623</v>
      </c>
      <c r="E37" s="176" t="str">
        <f t="shared" si="1"/>
        <v>040_030</v>
      </c>
      <c r="G37" s="102">
        <f t="shared" ref="G37:L37" si="2">100%-G$36</f>
        <v>3.6059479553903317E-2</v>
      </c>
      <c r="H37" s="102">
        <f t="shared" si="2"/>
        <v>2.4295774647887791E-3</v>
      </c>
      <c r="I37" s="102">
        <f t="shared" si="2"/>
        <v>0.55774193548387097</v>
      </c>
      <c r="J37" s="102">
        <f t="shared" si="2"/>
        <v>0.76551724137931032</v>
      </c>
      <c r="K37" s="102">
        <f t="shared" si="2"/>
        <v>0.56874999999999987</v>
      </c>
      <c r="L37" s="102">
        <f t="shared" si="2"/>
        <v>0.75536231884057981</v>
      </c>
      <c r="U37" s="15"/>
      <c r="V37" s="15"/>
      <c r="Z37" s="15"/>
      <c r="AB37" s="15"/>
      <c r="AC37" s="15"/>
      <c r="AD37" s="15"/>
      <c r="AE37" s="15"/>
      <c r="AF37" s="15"/>
      <c r="AG37" s="15"/>
      <c r="AH37" s="15"/>
      <c r="AI37" s="15"/>
      <c r="AJ37" s="15"/>
      <c r="AK37" s="15"/>
      <c r="AL37" s="15"/>
      <c r="AM37" s="15"/>
      <c r="AN37" s="15"/>
      <c r="AO37" s="15"/>
      <c r="AP37" s="15"/>
      <c r="AQ37" s="15"/>
    </row>
    <row r="38" spans="3:43" ht="15" x14ac:dyDescent="0.25">
      <c r="C38" s="2" t="s">
        <v>652</v>
      </c>
      <c r="D38" s="2" t="s">
        <v>573</v>
      </c>
      <c r="E38" s="176" t="str">
        <f t="shared" si="1"/>
        <v>040_040</v>
      </c>
      <c r="S38" s="69" t="s">
        <v>577</v>
      </c>
      <c r="T38" s="69" t="s">
        <v>653</v>
      </c>
      <c r="U38" s="69" t="s">
        <v>654</v>
      </c>
      <c r="V38" s="69" t="s">
        <v>655</v>
      </c>
      <c r="Z38" s="15"/>
      <c r="AB38" s="15"/>
      <c r="AC38" s="15"/>
      <c r="AD38" s="15"/>
      <c r="AE38" s="15"/>
      <c r="AF38" s="15"/>
      <c r="AG38" s="15"/>
      <c r="AH38" s="15"/>
      <c r="AI38" s="15"/>
      <c r="AJ38" s="15"/>
      <c r="AK38" s="15"/>
      <c r="AL38" s="15"/>
      <c r="AM38" s="15"/>
      <c r="AN38" s="15"/>
      <c r="AO38" s="15"/>
      <c r="AP38" s="15"/>
      <c r="AQ38" s="15"/>
    </row>
    <row r="39" spans="3:43" ht="15" x14ac:dyDescent="0.25">
      <c r="C39" s="2" t="s">
        <v>652</v>
      </c>
      <c r="D39" s="2" t="s">
        <v>575</v>
      </c>
      <c r="E39" s="176" t="str">
        <f t="shared" si="1"/>
        <v>040_050</v>
      </c>
      <c r="G39" s="66"/>
      <c r="H39" s="67" t="s">
        <v>629</v>
      </c>
      <c r="I39" s="67" t="s">
        <v>260</v>
      </c>
      <c r="J39" s="67" t="s">
        <v>626</v>
      </c>
      <c r="K39" s="67" t="s">
        <v>625</v>
      </c>
      <c r="L39" s="67" t="s">
        <v>538</v>
      </c>
      <c r="M39" s="67" t="s">
        <v>594</v>
      </c>
      <c r="N39" s="67" t="s">
        <v>546</v>
      </c>
      <c r="O39" s="67" t="s">
        <v>360</v>
      </c>
      <c r="P39" s="67" t="s">
        <v>631</v>
      </c>
      <c r="Q39" s="67" t="s">
        <v>633</v>
      </c>
      <c r="S39" s="69" t="s">
        <v>375</v>
      </c>
      <c r="T39" s="212">
        <f>AVERAGE(ASSETS!K25:K29)</f>
        <v>1</v>
      </c>
      <c r="U39" s="69"/>
      <c r="V39" s="69"/>
      <c r="Z39" s="15"/>
      <c r="AB39" s="15"/>
      <c r="AC39" s="15"/>
      <c r="AD39" s="15"/>
      <c r="AE39" s="15"/>
      <c r="AF39" s="15"/>
      <c r="AG39" s="15"/>
      <c r="AH39" s="15"/>
      <c r="AI39" s="15"/>
      <c r="AJ39" s="15"/>
      <c r="AK39" s="15"/>
      <c r="AL39" s="15"/>
      <c r="AM39" s="15"/>
      <c r="AN39" s="15"/>
      <c r="AO39" s="15"/>
      <c r="AP39" s="15"/>
      <c r="AQ39" s="15"/>
    </row>
    <row r="40" spans="3:43" ht="15" x14ac:dyDescent="0.25">
      <c r="C40" s="2" t="s">
        <v>652</v>
      </c>
      <c r="D40" s="2" t="s">
        <v>581</v>
      </c>
      <c r="E40" s="176" t="str">
        <f t="shared" si="1"/>
        <v>040_070</v>
      </c>
      <c r="G40" s="66" t="s">
        <v>568</v>
      </c>
      <c r="H40" s="66">
        <f>COUNTIF(design[Status], $G40)</f>
        <v>0</v>
      </c>
      <c r="I40" s="66">
        <f>COUNTIF(modeling[Status], $G40)</f>
        <v>0</v>
      </c>
      <c r="J40" s="66">
        <f>COUNTIF(rigging[Status], $G40)</f>
        <v>0</v>
      </c>
      <c r="K40" s="66">
        <f>COUNTIF(surfacing[Status], $G40)</f>
        <v>0</v>
      </c>
      <c r="L40" s="66">
        <f ca="1">COUNTIF(layout[Status], $G40)</f>
        <v>3</v>
      </c>
      <c r="M40" s="66">
        <f>COUNTIF(anim[Status], $G40)</f>
        <v>0</v>
      </c>
      <c r="N40" s="66">
        <f ca="1">COUNTIF(lighting[Status], $G40)</f>
        <v>0</v>
      </c>
      <c r="O40" s="66">
        <f ca="1">COUNTIF(vfx[Status], $G40)</f>
        <v>0</v>
      </c>
      <c r="P40" s="66">
        <f ca="1">COUNTIF(render[Status], $G40)</f>
        <v>19</v>
      </c>
      <c r="Q40" s="66">
        <f ca="1">COUNTIF(comp[Status], $G40)</f>
        <v>27</v>
      </c>
      <c r="S40" s="69" t="s">
        <v>594</v>
      </c>
      <c r="T40" s="212">
        <f>(V40-U40)/V40</f>
        <v>1</v>
      </c>
      <c r="U40" s="213">
        <f>SUM(ANIM!L2:N2)</f>
        <v>0</v>
      </c>
      <c r="V40" s="69">
        <f>anim[[#Totals],[Estimated]]*SUM(ANIM!L1:N1)</f>
        <v>156.20000000000002</v>
      </c>
      <c r="Z40" s="15"/>
      <c r="AB40" s="15"/>
      <c r="AC40" s="15"/>
      <c r="AD40" s="15"/>
      <c r="AE40" s="15"/>
      <c r="AF40" s="15"/>
      <c r="AG40" s="15"/>
      <c r="AH40" s="15"/>
      <c r="AI40" s="15"/>
      <c r="AJ40" s="15"/>
      <c r="AK40" s="15"/>
      <c r="AL40" s="15"/>
      <c r="AM40" s="15"/>
      <c r="AN40" s="15"/>
      <c r="AO40" s="15"/>
      <c r="AP40" s="15"/>
      <c r="AQ40" s="15"/>
    </row>
    <row r="41" spans="3:43" ht="15" x14ac:dyDescent="0.25">
      <c r="C41" s="2" t="s">
        <v>652</v>
      </c>
      <c r="D41" s="2" t="s">
        <v>596</v>
      </c>
      <c r="E41" s="176" t="str">
        <f t="shared" si="1"/>
        <v>040_090</v>
      </c>
      <c r="G41" s="66" t="s">
        <v>571</v>
      </c>
      <c r="H41" s="66">
        <f>COUNTIF(design[Status], $G41)</f>
        <v>0</v>
      </c>
      <c r="I41" s="66">
        <f>COUNTIF(modeling[Status], $G41)</f>
        <v>0</v>
      </c>
      <c r="J41" s="66">
        <f>COUNTIF(rigging[Status], $G41)</f>
        <v>0</v>
      </c>
      <c r="K41" s="66">
        <f>COUNTIF(surfacing[Status], $G41)</f>
        <v>0</v>
      </c>
      <c r="L41" s="66">
        <f ca="1">COUNTIF(layout[Status], $G41)</f>
        <v>0</v>
      </c>
      <c r="M41" s="66">
        <f>COUNTIF(anim[Status], $G41)</f>
        <v>0</v>
      </c>
      <c r="N41" s="66">
        <f ca="1">COUNTIF(lighting[Status], $G41)</f>
        <v>12</v>
      </c>
      <c r="O41" s="66">
        <f ca="1">COUNTIF(vfx[Status], $G41)</f>
        <v>13</v>
      </c>
      <c r="P41" s="66">
        <f ca="1">COUNTIF(render[Status], $G41)</f>
        <v>1</v>
      </c>
      <c r="Q41" s="66">
        <f ca="1">COUNTIF(comp[Status], $G41)</f>
        <v>1</v>
      </c>
      <c r="S41" s="69" t="s">
        <v>260</v>
      </c>
      <c r="T41" s="212" t="e">
        <f>(V41-U41)/V41</f>
        <v>#REF!</v>
      </c>
      <c r="U41" s="213" t="e">
        <f>SUM(MODELING!N15:N22,MODELING!N31:N33,MODELING!#REF!,MODELING!#REF!,MODELING!#REF!)</f>
        <v>#REF!</v>
      </c>
      <c r="V41" s="213">
        <f>SUM(MODELING!I15:I22,MODELING!I30:I32,MODELING!I54:I56,MODELING!I64:I68,MODELING!I73:I77)</f>
        <v>149</v>
      </c>
      <c r="Z41" s="15"/>
      <c r="AB41" s="15"/>
      <c r="AC41" s="15"/>
      <c r="AD41" s="15"/>
      <c r="AE41" s="15"/>
      <c r="AF41" s="15"/>
      <c r="AG41" s="15"/>
      <c r="AH41" s="15"/>
      <c r="AI41" s="15"/>
      <c r="AJ41" s="15"/>
      <c r="AK41" s="15"/>
      <c r="AL41" s="15"/>
      <c r="AM41" s="15"/>
      <c r="AN41" s="15"/>
      <c r="AO41" s="15"/>
      <c r="AP41" s="15"/>
      <c r="AQ41" s="15"/>
    </row>
    <row r="42" spans="3:43" ht="15" x14ac:dyDescent="0.25">
      <c r="C42" s="2" t="s">
        <v>652</v>
      </c>
      <c r="D42" s="2" t="s">
        <v>600</v>
      </c>
      <c r="E42" s="176" t="str">
        <f t="shared" si="1"/>
        <v>040_100</v>
      </c>
      <c r="G42" s="66" t="s">
        <v>371</v>
      </c>
      <c r="H42" s="66">
        <f>COUNTIF(design[Status], $G42)</f>
        <v>0</v>
      </c>
      <c r="I42" s="66">
        <f>COUNTIF(modeling[Status], $G42)</f>
        <v>0</v>
      </c>
      <c r="J42" s="66">
        <f>COUNTIF(rigging[Status], $G42)</f>
        <v>0</v>
      </c>
      <c r="K42" s="66">
        <f>COUNTIF(surfacing[Status], $G42)</f>
        <v>1</v>
      </c>
      <c r="L42" s="66">
        <f ca="1">COUNTIF(layout[Status], $G42)</f>
        <v>0</v>
      </c>
      <c r="M42" s="66">
        <f>COUNTIF(anim[Status], $G42)</f>
        <v>0</v>
      </c>
      <c r="N42" s="66">
        <f ca="1">COUNTIF(lighting[Status], $G42)</f>
        <v>13</v>
      </c>
      <c r="O42" s="66">
        <f ca="1">COUNTIF(vfx[Status], $G42)</f>
        <v>20</v>
      </c>
      <c r="P42" s="66">
        <f ca="1">COUNTIF(render[Status], $G42)</f>
        <v>0</v>
      </c>
      <c r="Q42" s="66">
        <f ca="1">COUNTIF(comp[Status], $G42)</f>
        <v>0</v>
      </c>
      <c r="S42" s="69" t="s">
        <v>360</v>
      </c>
      <c r="T42" s="212">
        <f>(V42-U42)/V42</f>
        <v>0.3264423076923077</v>
      </c>
      <c r="U42" s="214">
        <f>SUM(VFX!L2:M2)</f>
        <v>140.1</v>
      </c>
      <c r="V42" s="69">
        <f>vfx[[#Totals],[Estimated]]*SUM(VFX!L1:M1)</f>
        <v>208</v>
      </c>
      <c r="Z42" s="15"/>
      <c r="AB42" s="15"/>
      <c r="AC42" s="15"/>
      <c r="AD42" s="15"/>
      <c r="AE42" s="15"/>
      <c r="AF42" s="15"/>
      <c r="AG42" s="15"/>
      <c r="AH42" s="15"/>
      <c r="AI42" s="15"/>
      <c r="AJ42" s="15"/>
      <c r="AK42" s="15"/>
      <c r="AL42" s="15"/>
      <c r="AM42" s="15"/>
      <c r="AN42" s="15"/>
      <c r="AO42" s="15"/>
      <c r="AP42" s="15"/>
      <c r="AQ42" s="15"/>
    </row>
    <row r="43" spans="3:43" ht="15" x14ac:dyDescent="0.25">
      <c r="C43" s="2" t="s">
        <v>652</v>
      </c>
      <c r="D43" s="2" t="s">
        <v>604</v>
      </c>
      <c r="E43" s="176" t="str">
        <f t="shared" si="1"/>
        <v>040_110</v>
      </c>
      <c r="G43" s="66" t="s">
        <v>576</v>
      </c>
      <c r="H43" s="66">
        <f>COUNTIF(design[Status], $G43)</f>
        <v>0</v>
      </c>
      <c r="I43" s="66">
        <f>COUNTIF(modeling[Status], $G43)</f>
        <v>0</v>
      </c>
      <c r="J43" s="66">
        <f>COUNTIF(rigging[Status], $G43)</f>
        <v>0</v>
      </c>
      <c r="K43" s="66">
        <f>COUNTIF(surfacing[Status], $G43)</f>
        <v>3</v>
      </c>
      <c r="L43" s="66">
        <f ca="1">COUNTIF(layout[Status], $G43)</f>
        <v>0</v>
      </c>
      <c r="M43" s="66">
        <f>COUNTIF(anim[Status], $G43)</f>
        <v>3</v>
      </c>
      <c r="N43" s="66">
        <f ca="1">COUNTIF(lighting[Status], $G43)</f>
        <v>5</v>
      </c>
      <c r="O43" s="66">
        <f ca="1">COUNTIF(vfx[Status], $G43)</f>
        <v>7</v>
      </c>
      <c r="P43" s="66">
        <f ca="1">COUNTIF(render[Status], $G43)</f>
        <v>22</v>
      </c>
      <c r="Q43" s="66">
        <f ca="1">COUNTIF(comp[Status], $G43)</f>
        <v>18</v>
      </c>
      <c r="S43" s="69" t="s">
        <v>608</v>
      </c>
      <c r="T43" s="212">
        <f>_xlfn.XLOOKUP($S43, shots[Shot],shots[Progress])</f>
        <v>0.72</v>
      </c>
      <c r="U43" s="69"/>
      <c r="V43" s="69"/>
      <c r="Z43" s="15"/>
      <c r="AB43" s="15"/>
      <c r="AC43" s="15"/>
      <c r="AD43" s="15"/>
      <c r="AE43" s="15"/>
      <c r="AF43" s="15"/>
      <c r="AG43" s="15"/>
      <c r="AH43" s="15"/>
      <c r="AI43" s="15"/>
      <c r="AJ43" s="15"/>
      <c r="AK43" s="15"/>
      <c r="AL43" s="15"/>
      <c r="AM43" s="15"/>
      <c r="AN43" s="15"/>
      <c r="AO43" s="15"/>
      <c r="AP43" s="15"/>
      <c r="AQ43" s="15"/>
    </row>
    <row r="44" spans="3:43" ht="15" x14ac:dyDescent="0.25">
      <c r="C44" s="2" t="s">
        <v>652</v>
      </c>
      <c r="D44" s="2" t="s">
        <v>644</v>
      </c>
      <c r="E44" s="176" t="str">
        <f t="shared" si="1"/>
        <v>040_120</v>
      </c>
      <c r="G44" s="66" t="s">
        <v>587</v>
      </c>
      <c r="H44" s="66">
        <f>COUNTIF(design[Status], $G44)</f>
        <v>0</v>
      </c>
      <c r="I44" s="66">
        <f>COUNTIF(modeling[Status], $G44)</f>
        <v>0</v>
      </c>
      <c r="J44" s="66">
        <f>COUNTIF(rigging[Status], $G44)</f>
        <v>0</v>
      </c>
      <c r="K44" s="66">
        <f>COUNTIF(surfacing[Status], $G44)</f>
        <v>0</v>
      </c>
      <c r="L44" s="66">
        <f ca="1">COUNTIF(layout[Status], $G44)</f>
        <v>11</v>
      </c>
      <c r="M44" s="66">
        <f>COUNTIF(anim[Status], $G44)</f>
        <v>33</v>
      </c>
      <c r="N44" s="66">
        <f ca="1">COUNTIF(lighting[Status], $G44)</f>
        <v>18</v>
      </c>
      <c r="O44" s="66">
        <f ca="1">COUNTIF(vfx[Status], $G44)</f>
        <v>6</v>
      </c>
      <c r="P44" s="66">
        <f ca="1">COUNTIF(render[Status], $G44)</f>
        <v>3</v>
      </c>
      <c r="Q44" s="66">
        <f ca="1">COUNTIF(comp[Status], $G44)</f>
        <v>0</v>
      </c>
      <c r="S44" s="69" t="s">
        <v>591</v>
      </c>
      <c r="T44" s="212">
        <f>_xlfn.XLOOKUP($S44, shots[Shot],shots[Progress])</f>
        <v>0.44999999999999996</v>
      </c>
      <c r="U44" s="69"/>
      <c r="V44" s="69"/>
      <c r="Z44" s="15"/>
      <c r="AB44" s="15"/>
      <c r="AC44" s="15"/>
      <c r="AD44" s="15"/>
      <c r="AE44" s="15"/>
      <c r="AF44" s="15"/>
      <c r="AG44" s="15"/>
      <c r="AH44" s="15"/>
      <c r="AI44" s="15"/>
      <c r="AJ44" s="15"/>
      <c r="AK44" s="15"/>
      <c r="AL44" s="15"/>
      <c r="AM44" s="15"/>
      <c r="AN44" s="15"/>
      <c r="AO44" s="15"/>
      <c r="AP44" s="15"/>
      <c r="AQ44" s="15"/>
    </row>
    <row r="45" spans="3:43" ht="15" x14ac:dyDescent="0.25">
      <c r="C45" s="2" t="s">
        <v>656</v>
      </c>
      <c r="D45" s="2" t="s">
        <v>657</v>
      </c>
      <c r="E45" s="176" t="str">
        <f>CONCATENATE(RIGHT($C45,3),"_",RIGHT($D45,3))</f>
        <v>050_005</v>
      </c>
      <c r="G45" s="66" t="s">
        <v>309</v>
      </c>
      <c r="H45" s="66">
        <f>COUNTIF(design[Status], $G45)</f>
        <v>75</v>
      </c>
      <c r="I45" s="66">
        <f>COUNTIF(modeling[Status], $G45)</f>
        <v>74</v>
      </c>
      <c r="J45" s="66">
        <f>COUNTIF(rigging[Status], $G45)</f>
        <v>74</v>
      </c>
      <c r="K45" s="66">
        <f>COUNTIF(surfacing[Status], $G45)</f>
        <v>71</v>
      </c>
      <c r="L45" s="66">
        <f ca="1">COUNTIF(layout[Status], $G45)</f>
        <v>33</v>
      </c>
      <c r="M45" s="66">
        <f>COUNTIF(anim[Status], $G45)</f>
        <v>7</v>
      </c>
      <c r="N45" s="66">
        <f ca="1">COUNTIF(lighting[Status], $G45)</f>
        <v>0</v>
      </c>
      <c r="O45" s="66">
        <f ca="1">COUNTIF(vfx[Status], $G45)</f>
        <v>0</v>
      </c>
      <c r="P45" s="66">
        <f ca="1">COUNTIF(render[Status], $G45)</f>
        <v>0</v>
      </c>
      <c r="Q45" s="66">
        <f ca="1">COUNTIF(comp[Status], $G45)</f>
        <v>0</v>
      </c>
      <c r="S45" s="69" t="s">
        <v>609</v>
      </c>
      <c r="T45" s="212">
        <f>_xlfn.XLOOKUP($S45, shots[Shot],shots[Progress])</f>
        <v>0.51750000000000007</v>
      </c>
      <c r="U45" s="69"/>
      <c r="V45" s="69"/>
      <c r="Z45" s="15"/>
      <c r="AB45" s="15"/>
      <c r="AC45" s="15"/>
      <c r="AD45" s="15"/>
      <c r="AE45" s="15"/>
      <c r="AF45" s="15"/>
      <c r="AG45" s="15"/>
      <c r="AH45" s="15"/>
      <c r="AI45" s="15"/>
      <c r="AJ45" s="15"/>
      <c r="AK45" s="15"/>
      <c r="AL45" s="15"/>
      <c r="AM45" s="15"/>
      <c r="AN45" s="15"/>
      <c r="AO45" s="15"/>
      <c r="AP45" s="15"/>
      <c r="AQ45" s="15"/>
    </row>
    <row r="46" spans="3:43" ht="15" x14ac:dyDescent="0.25">
      <c r="C46" s="2" t="s">
        <v>656</v>
      </c>
      <c r="D46" s="2" t="s">
        <v>622</v>
      </c>
      <c r="E46" s="176" t="str">
        <f t="shared" si="1"/>
        <v>050_020</v>
      </c>
      <c r="G46" s="66" t="s">
        <v>598</v>
      </c>
      <c r="H46" s="66">
        <f>COUNTIF(design[Status], $G46)</f>
        <v>0</v>
      </c>
      <c r="I46" s="66">
        <f>COUNTIF(modeling[Status], $G46)</f>
        <v>1</v>
      </c>
      <c r="J46" s="66">
        <f>COUNTIF(rigging[Status], $G46)</f>
        <v>1</v>
      </c>
      <c r="K46" s="66">
        <f>COUNTIF(surfacing[Status], $G46)</f>
        <v>0</v>
      </c>
      <c r="L46" s="66">
        <f ca="1">COUNTIF(layout[Status], $G46)</f>
        <v>1</v>
      </c>
      <c r="M46" s="66">
        <f>COUNTIF(anim[Status], $G46)</f>
        <v>5</v>
      </c>
      <c r="N46" s="66">
        <f ca="1">COUNTIF(lighting[Status], $G46)</f>
        <v>0</v>
      </c>
      <c r="O46" s="66">
        <f ca="1">COUNTIF(vfx[Status], $G46)</f>
        <v>2</v>
      </c>
      <c r="P46" s="66">
        <f ca="1">COUNTIF(render[Status], $G46)</f>
        <v>3</v>
      </c>
      <c r="Q46" s="66">
        <f ca="1">COUNTIF(comp[Status], $G46)</f>
        <v>2</v>
      </c>
      <c r="S46" s="69" t="s">
        <v>658</v>
      </c>
      <c r="T46" s="212">
        <v>0</v>
      </c>
      <c r="U46" s="69"/>
      <c r="V46" s="69"/>
      <c r="Z46" s="15"/>
      <c r="AB46" s="15"/>
      <c r="AC46" s="15"/>
      <c r="AD46" s="15"/>
      <c r="AE46" s="15"/>
      <c r="AF46" s="15"/>
      <c r="AG46" s="15"/>
      <c r="AH46" s="15"/>
      <c r="AI46" s="15"/>
      <c r="AJ46" s="15"/>
      <c r="AK46" s="15"/>
      <c r="AL46" s="15"/>
      <c r="AM46" s="15"/>
      <c r="AN46" s="15"/>
      <c r="AO46" s="15"/>
      <c r="AP46" s="15"/>
      <c r="AQ46" s="15"/>
    </row>
    <row r="47" spans="3:43" ht="15" x14ac:dyDescent="0.25">
      <c r="C47" s="2" t="s">
        <v>659</v>
      </c>
      <c r="D47" s="2" t="s">
        <v>567</v>
      </c>
      <c r="E47" s="176" t="str">
        <f t="shared" si="1"/>
        <v>060_010</v>
      </c>
      <c r="T47" s="15"/>
      <c r="U47" s="15"/>
      <c r="V47" s="15"/>
      <c r="Z47" s="15"/>
      <c r="AB47" s="15"/>
      <c r="AC47" s="15"/>
      <c r="AD47" s="15"/>
      <c r="AE47" s="15"/>
      <c r="AF47" s="15"/>
      <c r="AG47" s="15"/>
      <c r="AH47" s="15"/>
      <c r="AI47" s="15"/>
      <c r="AJ47" s="15"/>
      <c r="AK47" s="15"/>
      <c r="AL47" s="15"/>
      <c r="AM47" s="15"/>
      <c r="AN47" s="15"/>
      <c r="AO47" s="15"/>
      <c r="AP47" s="15"/>
      <c r="AQ47" s="15"/>
    </row>
    <row r="48" spans="3:43" ht="15" x14ac:dyDescent="0.25">
      <c r="C48" s="2" t="s">
        <v>659</v>
      </c>
      <c r="D48" s="2" t="s">
        <v>623</v>
      </c>
      <c r="E48" s="176" t="str">
        <f t="shared" si="1"/>
        <v>060_030</v>
      </c>
      <c r="G48" s="69" t="s">
        <v>660</v>
      </c>
      <c r="H48" s="69" t="s">
        <v>661</v>
      </c>
      <c r="I48" s="69" t="s">
        <v>264</v>
      </c>
      <c r="L48" s="7" t="s">
        <v>6</v>
      </c>
      <c r="M48" s="3" t="s">
        <v>662</v>
      </c>
      <c r="N48" s="3" t="s">
        <v>308</v>
      </c>
      <c r="O48" s="3" t="s">
        <v>638</v>
      </c>
      <c r="Z48" s="15"/>
      <c r="AB48" s="15"/>
      <c r="AC48" s="15"/>
      <c r="AD48" s="15"/>
      <c r="AE48" s="15"/>
      <c r="AF48" s="15"/>
      <c r="AG48" s="15"/>
      <c r="AH48" s="15"/>
      <c r="AI48" s="15"/>
      <c r="AJ48" s="15"/>
      <c r="AK48" s="15"/>
      <c r="AL48" s="15"/>
      <c r="AM48" s="15"/>
      <c r="AN48" s="15"/>
      <c r="AO48" s="15"/>
      <c r="AP48" s="15"/>
      <c r="AQ48" s="15"/>
    </row>
    <row r="49" spans="3:129" ht="15" x14ac:dyDescent="0.25">
      <c r="C49" s="2" t="s">
        <v>652</v>
      </c>
      <c r="D49" s="2" t="s">
        <v>663</v>
      </c>
      <c r="E49" s="2" t="str">
        <f>CONCATENATE(RIGHT($C49,3),"_",RIGHT($D49,3))</f>
        <v>040_045</v>
      </c>
      <c r="G49" s="261">
        <f>assets[[#Totals],[Progress]]</f>
        <v>0.98914333017975398</v>
      </c>
      <c r="H49" s="70" cm="1">
        <f t="array" ref="H49">progressProject()/100</f>
        <v>0.80166956720861005</v>
      </c>
      <c r="I49" s="70">
        <f>shots[[#Totals],[Progress]]</f>
        <v>0.62576209498446522</v>
      </c>
      <c r="L49" s="8" t="s">
        <v>12</v>
      </c>
      <c r="M49" s="84">
        <f>SUM(planner!B5:AC5,planner!B17:AC17,planner!B29:AC29,planner!B41:AC41,planner!B53:AC53,planner!B65:AC65,planner!B77:N77)</f>
        <v>216</v>
      </c>
      <c r="N49" s="84" cm="1">
        <f t="array" ref="N49">getHoursToDo(plannerTable[[#This Row],[Artist]])</f>
        <v>5.3000000000000016</v>
      </c>
      <c r="O49" s="84" t="str">
        <f>ROUND(plannerTable[[#This Row],[Planned]]-plannerTable[[#This Row],[Hours to do]], 0) &amp; " hrs"</f>
        <v>211 hrs</v>
      </c>
      <c r="Z49" s="15"/>
      <c r="AB49" s="15"/>
      <c r="AC49" s="15"/>
      <c r="AD49" s="15"/>
      <c r="AE49" s="15"/>
      <c r="AF49" s="15"/>
      <c r="AG49" s="15"/>
      <c r="AH49" s="15"/>
      <c r="AI49" s="15"/>
      <c r="AJ49" s="15"/>
      <c r="AK49" s="15"/>
      <c r="AL49" s="15"/>
      <c r="AM49" s="15"/>
      <c r="AN49" s="15"/>
      <c r="AO49" s="15"/>
      <c r="AP49" s="15"/>
      <c r="AQ49" s="15"/>
    </row>
    <row r="50" spans="3:129" ht="15" x14ac:dyDescent="0.25">
      <c r="C50" s="2" t="s">
        <v>652</v>
      </c>
      <c r="D50" s="2" t="s">
        <v>664</v>
      </c>
      <c r="E50" s="2" t="str">
        <f>CONCATENATE(RIGHT($C50,3),"_",RIGHT($D50,3))</f>
        <v>040_135</v>
      </c>
      <c r="G50" s="70">
        <f>100%-assets[[#Totals],[Progress]]</f>
        <v>1.0856669820246023E-2</v>
      </c>
      <c r="H50" s="70" cm="1">
        <f t="array" ref="H50">100%-progressProject()/100</f>
        <v>0.19833043279138995</v>
      </c>
      <c r="I50" s="70">
        <f>100%-shots[[#Totals],[Progress]]</f>
        <v>0.37423790501553478</v>
      </c>
      <c r="L50" s="8" t="s">
        <v>14</v>
      </c>
      <c r="M50" s="84">
        <f>SUM(planner!B7:AC7,planner!B19:AC19,planner!B31:AC31,planner!B43:AC43,planner!B55:AC55,planner!B67:AC67,planner!B79:N79)</f>
        <v>268</v>
      </c>
      <c r="N50" s="84" cm="1">
        <f t="array" ref="N50">getHoursToDo(plannerTable[[#This Row],[Artist]])</f>
        <v>3.0000000000000027</v>
      </c>
      <c r="O50" s="84" t="str">
        <f>ROUND(plannerTable[[#This Row],[Planned]]-plannerTable[[#This Row],[Hours to do]], 0) &amp; " hrs"</f>
        <v>265 hrs</v>
      </c>
      <c r="Z50" s="15"/>
      <c r="AB50" s="15"/>
      <c r="AC50" s="15"/>
      <c r="AD50" s="15"/>
      <c r="AE50" s="15"/>
      <c r="AF50" s="15"/>
      <c r="AG50" s="15"/>
      <c r="AH50" s="15"/>
      <c r="AI50" s="15"/>
      <c r="AJ50" s="15"/>
      <c r="AK50" s="15"/>
      <c r="AL50" s="15"/>
      <c r="AM50" s="15"/>
      <c r="AN50" s="15"/>
      <c r="AO50" s="15"/>
      <c r="AP50" s="15"/>
      <c r="AQ50" s="15"/>
    </row>
    <row r="51" spans="3:129" ht="15" x14ac:dyDescent="0.25">
      <c r="C51" s="2" t="s">
        <v>656</v>
      </c>
      <c r="D51" s="2" t="s">
        <v>567</v>
      </c>
      <c r="E51" s="2" t="str">
        <f>CONCATENATE(RIGHT($C51,3),"_",RIGHT($D51,3))</f>
        <v>050_010</v>
      </c>
      <c r="L51" s="8" t="s">
        <v>16</v>
      </c>
      <c r="M51" s="84">
        <f>SUM(planner!B9:AC9,planner!B21:AC21,planner!B33:AC33,planner!B45:AC45,planner!B57:AC57,planner!B69:AC69,planner!B81:N81)</f>
        <v>0</v>
      </c>
      <c r="N51" s="84" cm="1">
        <f t="array" ref="N51">getHoursToDo(plannerTable[[#This Row],[Artist]])</f>
        <v>177.77</v>
      </c>
      <c r="O51" s="84" t="str">
        <f>ROUND(plannerTable[[#This Row],[Planned]]-plannerTable[[#This Row],[Hours to do]], 0) &amp; " hrs"</f>
        <v>-178 hrs</v>
      </c>
      <c r="W51" s="4"/>
      <c r="Z51" s="25"/>
      <c r="AA51" s="4"/>
      <c r="AB51" s="25"/>
      <c r="AC51" s="25"/>
      <c r="AD51" s="25"/>
      <c r="AE51" s="25"/>
      <c r="AF51" s="25"/>
      <c r="AG51" s="25"/>
      <c r="AH51" s="25"/>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9"/>
      <c r="DT51" s="9"/>
      <c r="DU51" s="9"/>
      <c r="DV51" s="9"/>
      <c r="DW51" s="9"/>
      <c r="DX51" s="9"/>
      <c r="DY51" s="9"/>
    </row>
    <row r="52" spans="3:129" ht="15" x14ac:dyDescent="0.25">
      <c r="G52" s="98" t="s">
        <v>629</v>
      </c>
      <c r="H52" s="99" t="s">
        <v>260</v>
      </c>
      <c r="I52" s="98" t="s">
        <v>626</v>
      </c>
      <c r="J52" s="98" t="s">
        <v>625</v>
      </c>
      <c r="L52" s="8" t="s">
        <v>18</v>
      </c>
      <c r="M52" s="84">
        <f>SUM(planner!B11:AC11,planner!B23:AC23,planner!B35:AC35,planner!B47:AC47,planner!B59:AC59,planner!B70:AC70,planner!B83:N83)</f>
        <v>81</v>
      </c>
      <c r="N52" s="84" cm="1">
        <f t="array" ref="N52">getHoursToDo(plannerTable[[#This Row],[Artist]])</f>
        <v>103.46</v>
      </c>
      <c r="O52" s="84" t="str">
        <f>ROUND(plannerTable[[#This Row],[Planned]]-plannerTable[[#This Row],[Hours to do]], 0) &amp; " hrs"</f>
        <v>-22 hrs</v>
      </c>
      <c r="X52" s="4"/>
      <c r="Z52" s="15"/>
      <c r="AC52" s="15"/>
      <c r="AD52" s="15"/>
      <c r="AE52" s="15"/>
      <c r="AF52" s="15"/>
      <c r="AG52" s="15"/>
      <c r="AH52" s="15"/>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c r="CG52" s="9"/>
      <c r="CH52" s="9"/>
      <c r="CI52" s="9"/>
      <c r="CJ52" s="9"/>
      <c r="CK52" s="9"/>
      <c r="CL52" s="9"/>
      <c r="CM52" s="9"/>
      <c r="CN52" s="9"/>
      <c r="CO52" s="9"/>
      <c r="CP52" s="9"/>
      <c r="CQ52" s="9"/>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row>
    <row r="53" spans="3:129" ht="15" x14ac:dyDescent="0.25">
      <c r="G53" s="100">
        <f>design[[#Totals],[Progress]]</f>
        <v>1</v>
      </c>
      <c r="H53" s="100">
        <f>modeling[[#Totals],[Progress]]</f>
        <v>0.99037433155080212</v>
      </c>
      <c r="I53" s="100">
        <f>rigging[[#Totals],[Progress]]</f>
        <v>0.98691860465116277</v>
      </c>
      <c r="J53" s="100">
        <f>surfacing[[#Totals],[Progress]]</f>
        <v>0.99035087719298243</v>
      </c>
      <c r="L53" s="8" t="s">
        <v>20</v>
      </c>
      <c r="M53" s="84">
        <f>SUM(planner!B13:AC13,planner!B25:AC25,planner!B37:AC37,planner!B49:AC49,planner!B61:AC61,planner!B73:N73,planner!B85:N85)</f>
        <v>110</v>
      </c>
      <c r="N53" s="84" cm="1">
        <f t="array" ref="N53">getHoursToDo(plannerTable[[#This Row],[Artist]])</f>
        <v>177.89999999999998</v>
      </c>
      <c r="O53" s="84" t="str">
        <f>ROUND(plannerTable[[#This Row],[Planned]]-plannerTable[[#This Row],[Hours to do]], 0) &amp; " hrs"</f>
        <v>-68 hrs</v>
      </c>
      <c r="Z53" s="15"/>
      <c r="AB53" s="15"/>
      <c r="AC53" s="15"/>
      <c r="AD53" s="15"/>
      <c r="AE53" s="15"/>
      <c r="AF53" s="15"/>
      <c r="AG53" s="15"/>
      <c r="AH53" s="15"/>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c r="BZ53" s="9"/>
      <c r="CA53" s="9"/>
      <c r="CB53" s="9"/>
      <c r="CC53" s="9"/>
      <c r="CD53" s="9"/>
      <c r="CE53" s="9"/>
      <c r="CF53" s="9"/>
      <c r="CG53" s="9"/>
      <c r="CH53" s="9"/>
      <c r="CI53" s="9"/>
      <c r="CJ53" s="9"/>
      <c r="CK53" s="9"/>
      <c r="CL53" s="9"/>
      <c r="CM53" s="9"/>
      <c r="CN53" s="9"/>
      <c r="CO53" s="9"/>
      <c r="CP53" s="9"/>
      <c r="CQ53" s="9"/>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row>
    <row r="54" spans="3:129" ht="15" x14ac:dyDescent="0.25">
      <c r="G54" s="100">
        <f>100%-G$53</f>
        <v>0</v>
      </c>
      <c r="H54" s="100">
        <f>100%-H$53</f>
        <v>9.6256684491978772E-3</v>
      </c>
      <c r="I54" s="100">
        <f>100%-I$53</f>
        <v>1.3081395348837233E-2</v>
      </c>
      <c r="J54" s="100">
        <f>100%-J$53</f>
        <v>9.6491228070175739E-3</v>
      </c>
      <c r="Z54" s="15"/>
      <c r="AB54" s="15"/>
      <c r="AC54" s="15"/>
      <c r="AD54" s="15"/>
      <c r="AE54" s="15"/>
      <c r="AF54" s="15"/>
      <c r="AG54" s="15"/>
      <c r="AH54" s="15"/>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c r="BZ54" s="9"/>
      <c r="CA54" s="9"/>
      <c r="CB54" s="9"/>
      <c r="CC54" s="9"/>
      <c r="CD54" s="9"/>
      <c r="CE54" s="9"/>
      <c r="CF54" s="9"/>
      <c r="CG54" s="9"/>
      <c r="CH54" s="9"/>
      <c r="CI54" s="9"/>
      <c r="CJ54" s="9"/>
      <c r="CK54" s="9"/>
      <c r="CL54" s="9"/>
      <c r="CM54" s="9"/>
      <c r="CN54" s="9"/>
      <c r="CO54" s="9"/>
      <c r="CP54" s="9"/>
      <c r="CQ54" s="9"/>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row>
    <row r="55" spans="3:129" ht="15" x14ac:dyDescent="0.25">
      <c r="Z55" s="15"/>
      <c r="AB55" s="15"/>
      <c r="AC55" s="15"/>
      <c r="AD55" s="15"/>
      <c r="AE55" s="15"/>
      <c r="AF55" s="15"/>
      <c r="AG55" s="15"/>
      <c r="AH55" s="15"/>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row>
    <row r="56" spans="3:129" ht="15" x14ac:dyDescent="0.25">
      <c r="G56" s="263" t="s">
        <v>660</v>
      </c>
      <c r="H56" s="263" t="s">
        <v>661</v>
      </c>
      <c r="I56" s="263" t="s">
        <v>264</v>
      </c>
      <c r="Z56" s="15"/>
      <c r="AB56" s="15"/>
      <c r="AC56" s="15"/>
      <c r="AD56" s="15"/>
      <c r="AE56" s="15"/>
      <c r="AF56" s="15"/>
      <c r="AG56" s="15"/>
      <c r="AH56" s="15"/>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c r="BZ56" s="9"/>
      <c r="CA56" s="9"/>
      <c r="CB56" s="9"/>
      <c r="CC56" s="9"/>
      <c r="CD56" s="9"/>
      <c r="CE56" s="9"/>
      <c r="CF56" s="9"/>
      <c r="CG56" s="9"/>
      <c r="CH56" s="9"/>
      <c r="CI56" s="9"/>
      <c r="CJ56" s="9"/>
      <c r="CK56" s="9"/>
      <c r="CL56" s="9"/>
      <c r="CM56" s="9"/>
      <c r="CN56" s="9"/>
      <c r="CO56" s="9"/>
      <c r="CP56" s="9"/>
      <c r="CQ56" s="9"/>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row>
    <row r="57" spans="3:129" ht="15" x14ac:dyDescent="0.25">
      <c r="G57" s="264">
        <f>assets[[#Totals],[Hours to do]]</f>
        <v>11.475499999999981</v>
      </c>
      <c r="H57" s="264">
        <f>G57+I57</f>
        <v>433.0544999999999</v>
      </c>
      <c r="I57" s="264">
        <f>shots[[#Totals],[Hours to do]]</f>
        <v>421.57899999999995</v>
      </c>
      <c r="U57" s="15"/>
      <c r="V57" s="15"/>
      <c r="Z57" s="15"/>
      <c r="AB57" s="15"/>
      <c r="AC57" s="15"/>
      <c r="AD57" s="15"/>
      <c r="AE57" s="15"/>
      <c r="AF57" s="15"/>
      <c r="AG57" s="15"/>
      <c r="AH57" s="15"/>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c r="BZ57" s="9"/>
      <c r="CA57" s="9"/>
      <c r="CB57" s="9"/>
      <c r="CC57" s="9"/>
      <c r="CD57" s="9"/>
      <c r="CE57" s="9"/>
      <c r="CF57" s="9"/>
      <c r="CG57" s="9"/>
      <c r="CH57" s="9"/>
      <c r="CI57" s="9"/>
      <c r="CJ57" s="9"/>
      <c r="CK57" s="9"/>
      <c r="CL57" s="9"/>
      <c r="CM57" s="9"/>
      <c r="CN57" s="9"/>
      <c r="CO57" s="9"/>
      <c r="CP57" s="9"/>
      <c r="CQ57" s="9"/>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row>
    <row r="58" spans="3:129" ht="15" x14ac:dyDescent="0.25">
      <c r="G58" s="265" t="str">
        <f>ROUND(G57,0)&amp;" hrs"</f>
        <v>11 hrs</v>
      </c>
      <c r="H58" s="265" t="str">
        <f>ROUND(H57,0)&amp;" hrs"</f>
        <v>433 hrs</v>
      </c>
      <c r="I58" s="265" t="str">
        <f>ROUND(I57,0)&amp;" hrs"</f>
        <v>422 hrs</v>
      </c>
      <c r="U58" s="9"/>
      <c r="V58" s="9"/>
      <c r="W58" s="10"/>
      <c r="Z58" s="9"/>
      <c r="AA58" s="10"/>
      <c r="AB58" s="9"/>
      <c r="AC58" s="9"/>
      <c r="AD58" s="9"/>
      <c r="AE58" s="9"/>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c r="BZ58" s="9"/>
      <c r="CA58" s="9"/>
      <c r="CB58" s="9"/>
      <c r="CC58" s="9"/>
      <c r="CD58" s="9"/>
      <c r="CE58" s="9"/>
      <c r="CF58" s="9"/>
      <c r="CG58" s="9"/>
      <c r="CH58" s="9"/>
      <c r="CI58" s="9"/>
      <c r="CJ58" s="9"/>
      <c r="CK58" s="9"/>
      <c r="CL58" s="9"/>
      <c r="CM58" s="9"/>
      <c r="CN58" s="9"/>
      <c r="CO58" s="9"/>
      <c r="CP58" s="9"/>
      <c r="CQ58" s="9"/>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row>
    <row r="59" spans="3:129" ht="15" x14ac:dyDescent="0.25">
      <c r="X59" s="10"/>
      <c r="Y59" s="10"/>
    </row>
    <row r="60" spans="3:129" ht="15" x14ac:dyDescent="0.25"/>
    <row r="61" spans="3:129" ht="15" x14ac:dyDescent="0.25"/>
    <row r="62" spans="3:129" ht="15" x14ac:dyDescent="0.25"/>
    <row r="63" spans="3:129" ht="15" x14ac:dyDescent="0.25"/>
    <row r="64" spans="3:129" ht="15" x14ac:dyDescent="0.25"/>
    <row r="65" spans="13:19" ht="15" x14ac:dyDescent="0.25"/>
    <row r="66" spans="13:19" ht="15" x14ac:dyDescent="0.25"/>
    <row r="67" spans="13:19" ht="15" x14ac:dyDescent="0.25">
      <c r="R67" s="9"/>
      <c r="S67" s="9"/>
    </row>
    <row r="68" spans="13:19" ht="15" x14ac:dyDescent="0.25">
      <c r="R68" s="9"/>
      <c r="S68" s="9"/>
    </row>
    <row r="69" spans="13:19" ht="15" x14ac:dyDescent="0.25">
      <c r="R69" s="9"/>
      <c r="S69" s="9"/>
    </row>
    <row r="70" spans="13:19" ht="15" x14ac:dyDescent="0.25">
      <c r="R70" s="71"/>
    </row>
    <row r="71" spans="13:19" ht="15" x14ac:dyDescent="0.25">
      <c r="R71" s="10"/>
    </row>
    <row r="72" spans="13:19" ht="15" x14ac:dyDescent="0.25">
      <c r="R72" s="10"/>
      <c r="S72" s="10"/>
    </row>
    <row r="73" spans="13:19" ht="15" x14ac:dyDescent="0.25">
      <c r="R73" s="10"/>
    </row>
    <row r="74" spans="13:19" ht="15" x14ac:dyDescent="0.25">
      <c r="R74" s="10"/>
    </row>
    <row r="75" spans="13:19" ht="15" x14ac:dyDescent="0.25">
      <c r="R75" s="10"/>
    </row>
    <row r="76" spans="13:19" ht="15" x14ac:dyDescent="0.25"/>
    <row r="77" spans="13:19" ht="15" x14ac:dyDescent="0.25"/>
    <row r="78" spans="13:19" ht="15" x14ac:dyDescent="0.25">
      <c r="M78" s="10"/>
      <c r="N78" s="10"/>
    </row>
    <row r="79" spans="13:19" ht="15" x14ac:dyDescent="0.25"/>
    <row r="80" spans="13:19" ht="15" x14ac:dyDescent="0.25"/>
    <row r="81" ht="15" x14ac:dyDescent="0.25"/>
    <row r="82" ht="15" x14ac:dyDescent="0.25"/>
    <row r="83" ht="15" x14ac:dyDescent="0.25"/>
    <row r="84" ht="15" x14ac:dyDescent="0.25"/>
    <row r="85" ht="15" x14ac:dyDescent="0.25"/>
    <row r="86" ht="15" x14ac:dyDescent="0.25"/>
    <row r="87" ht="15" x14ac:dyDescent="0.25"/>
    <row r="88" ht="15" x14ac:dyDescent="0.25"/>
    <row r="89" ht="15" x14ac:dyDescent="0.25"/>
    <row r="90" ht="15" x14ac:dyDescent="0.25"/>
    <row r="91" ht="15" x14ac:dyDescent="0.25"/>
    <row r="92" ht="15" x14ac:dyDescent="0.25"/>
    <row r="93" ht="15" x14ac:dyDescent="0.25"/>
    <row r="94" ht="15" x14ac:dyDescent="0.25"/>
    <row r="95" ht="15" x14ac:dyDescent="0.25"/>
    <row r="96" ht="15" x14ac:dyDescent="0.25"/>
    <row r="97" ht="15" x14ac:dyDescent="0.25"/>
    <row r="98" ht="15" x14ac:dyDescent="0.25"/>
    <row r="99" ht="15" x14ac:dyDescent="0.25"/>
    <row r="100" ht="15" x14ac:dyDescent="0.25"/>
    <row r="101" ht="15" x14ac:dyDescent="0.25"/>
    <row r="102" ht="15" x14ac:dyDescent="0.25"/>
    <row r="103" ht="15" x14ac:dyDescent="0.25"/>
    <row r="104" ht="15" x14ac:dyDescent="0.25"/>
    <row r="105" ht="15" x14ac:dyDescent="0.25"/>
    <row r="106" ht="15" x14ac:dyDescent="0.25"/>
    <row r="107" ht="15" x14ac:dyDescent="0.25"/>
    <row r="108" ht="15" x14ac:dyDescent="0.25"/>
    <row r="109" ht="15" x14ac:dyDescent="0.25"/>
    <row r="110" ht="15" x14ac:dyDescent="0.25"/>
    <row r="111" ht="15" x14ac:dyDescent="0.25"/>
    <row r="112" ht="15" x14ac:dyDescent="0.25"/>
    <row r="113" ht="15" x14ac:dyDescent="0.25"/>
    <row r="114" ht="15" x14ac:dyDescent="0.25"/>
    <row r="115" ht="15" x14ac:dyDescent="0.25"/>
    <row r="116" ht="15" x14ac:dyDescent="0.25"/>
    <row r="117" ht="15" x14ac:dyDescent="0.25"/>
    <row r="118" ht="15" x14ac:dyDescent="0.25"/>
    <row r="119" ht="15" x14ac:dyDescent="0.25"/>
    <row r="120" ht="15" x14ac:dyDescent="0.25"/>
    <row r="121" ht="15" x14ac:dyDescent="0.25"/>
    <row r="122" ht="15" x14ac:dyDescent="0.25"/>
    <row r="123" ht="15" x14ac:dyDescent="0.25"/>
    <row r="124" ht="15" x14ac:dyDescent="0.25"/>
    <row r="125" ht="15" x14ac:dyDescent="0.25"/>
    <row r="126" ht="15" x14ac:dyDescent="0.25"/>
    <row r="127" ht="15" x14ac:dyDescent="0.25"/>
    <row r="128" ht="15" x14ac:dyDescent="0.25"/>
    <row r="129" ht="15" x14ac:dyDescent="0.25"/>
    <row r="130" ht="15" x14ac:dyDescent="0.25"/>
    <row r="131" ht="15" x14ac:dyDescent="0.25"/>
    <row r="132" ht="15" x14ac:dyDescent="0.25"/>
    <row r="133" ht="15" x14ac:dyDescent="0.25"/>
    <row r="134" ht="15" x14ac:dyDescent="0.25"/>
    <row r="135" ht="15" x14ac:dyDescent="0.25"/>
    <row r="136" ht="15" x14ac:dyDescent="0.25"/>
    <row r="137" ht="15" x14ac:dyDescent="0.25"/>
    <row r="138" ht="15" x14ac:dyDescent="0.25"/>
    <row r="139" ht="15" x14ac:dyDescent="0.25"/>
    <row r="140" ht="15" x14ac:dyDescent="0.25"/>
    <row r="141" ht="15" x14ac:dyDescent="0.25"/>
    <row r="142" ht="15" x14ac:dyDescent="0.25"/>
    <row r="143" ht="15" x14ac:dyDescent="0.25"/>
    <row r="144" ht="15" x14ac:dyDescent="0.25"/>
    <row r="145" ht="15" x14ac:dyDescent="0.25"/>
    <row r="146" ht="15" x14ac:dyDescent="0.25"/>
    <row r="147" ht="15" x14ac:dyDescent="0.25"/>
    <row r="148" ht="15" x14ac:dyDescent="0.25"/>
    <row r="149" ht="15" x14ac:dyDescent="0.25"/>
    <row r="150" ht="15" x14ac:dyDescent="0.25"/>
    <row r="151" ht="15" x14ac:dyDescent="0.25"/>
    <row r="152" ht="15" x14ac:dyDescent="0.25"/>
    <row r="153" ht="15" x14ac:dyDescent="0.25"/>
    <row r="154" ht="15" x14ac:dyDescent="0.25"/>
    <row r="155" ht="15" x14ac:dyDescent="0.25"/>
    <row r="156" ht="15" x14ac:dyDescent="0.25"/>
    <row r="157" ht="15" x14ac:dyDescent="0.25"/>
    <row r="158" ht="15" x14ac:dyDescent="0.25"/>
    <row r="159" ht="15" x14ac:dyDescent="0.25"/>
    <row r="160" ht="15" x14ac:dyDescent="0.25"/>
    <row r="161" ht="15" x14ac:dyDescent="0.25"/>
    <row r="162" ht="15" x14ac:dyDescent="0.25"/>
    <row r="163" ht="15" x14ac:dyDescent="0.25"/>
    <row r="164" ht="15" x14ac:dyDescent="0.25"/>
    <row r="165" ht="15" x14ac:dyDescent="0.25"/>
    <row r="166" ht="15" x14ac:dyDescent="0.25"/>
    <row r="167" ht="15" x14ac:dyDescent="0.25"/>
    <row r="168" ht="15" x14ac:dyDescent="0.25"/>
    <row r="169" ht="15" x14ac:dyDescent="0.25"/>
    <row r="170" ht="15" x14ac:dyDescent="0.25"/>
    <row r="171" ht="15" x14ac:dyDescent="0.25"/>
    <row r="172" ht="15" x14ac:dyDescent="0.25"/>
    <row r="173" ht="15" x14ac:dyDescent="0.25"/>
    <row r="174" ht="15" x14ac:dyDescent="0.25"/>
    <row r="175" ht="15" x14ac:dyDescent="0.25"/>
    <row r="176" ht="15" x14ac:dyDescent="0.25"/>
    <row r="177" ht="15" x14ac:dyDescent="0.25"/>
    <row r="178" ht="15" x14ac:dyDescent="0.25"/>
    <row r="179" ht="15" x14ac:dyDescent="0.25"/>
    <row r="180" ht="15" x14ac:dyDescent="0.25"/>
    <row r="181" ht="15" x14ac:dyDescent="0.25"/>
    <row r="182" ht="15" x14ac:dyDescent="0.25"/>
    <row r="183" ht="15" x14ac:dyDescent="0.25"/>
    <row r="184" ht="15" x14ac:dyDescent="0.25"/>
    <row r="185" ht="15" x14ac:dyDescent="0.25"/>
    <row r="186" ht="15" x14ac:dyDescent="0.25"/>
    <row r="187" ht="15" x14ac:dyDescent="0.25"/>
    <row r="188" ht="15" x14ac:dyDescent="0.25"/>
    <row r="189" ht="15" x14ac:dyDescent="0.25"/>
    <row r="190" ht="15" x14ac:dyDescent="0.25"/>
    <row r="191" ht="15" x14ac:dyDescent="0.25"/>
    <row r="192" ht="15" x14ac:dyDescent="0.25"/>
    <row r="193" ht="15" x14ac:dyDescent="0.25"/>
    <row r="194" ht="15" x14ac:dyDescent="0.25"/>
    <row r="195" ht="15" x14ac:dyDescent="0.25"/>
    <row r="196" ht="15" x14ac:dyDescent="0.25"/>
    <row r="197" ht="15" x14ac:dyDescent="0.25"/>
    <row r="198" ht="15" x14ac:dyDescent="0.25"/>
    <row r="199" ht="15" x14ac:dyDescent="0.25"/>
    <row r="200" ht="15" x14ac:dyDescent="0.25"/>
    <row r="201" ht="15" x14ac:dyDescent="0.25"/>
    <row r="202" ht="15" x14ac:dyDescent="0.25"/>
    <row r="203" ht="15" x14ac:dyDescent="0.25"/>
    <row r="204" ht="15" x14ac:dyDescent="0.25"/>
    <row r="205" ht="15" x14ac:dyDescent="0.25"/>
    <row r="206" ht="15" x14ac:dyDescent="0.25"/>
    <row r="207" ht="15" x14ac:dyDescent="0.25"/>
    <row r="208" ht="15" x14ac:dyDescent="0.25"/>
    <row r="209" ht="15" x14ac:dyDescent="0.25"/>
    <row r="210" ht="15" x14ac:dyDescent="0.25"/>
    <row r="211" ht="15" x14ac:dyDescent="0.25"/>
    <row r="212" ht="15" x14ac:dyDescent="0.25"/>
    <row r="213" ht="15" x14ac:dyDescent="0.25"/>
    <row r="214" ht="15" x14ac:dyDescent="0.25"/>
    <row r="215" ht="15" x14ac:dyDescent="0.25"/>
    <row r="216" ht="15" x14ac:dyDescent="0.25"/>
    <row r="217" ht="15" x14ac:dyDescent="0.25"/>
    <row r="218" ht="15" x14ac:dyDescent="0.25"/>
    <row r="219" ht="15" x14ac:dyDescent="0.25"/>
    <row r="220" ht="15" x14ac:dyDescent="0.25"/>
    <row r="221" ht="15" x14ac:dyDescent="0.25"/>
    <row r="222" ht="15" x14ac:dyDescent="0.25"/>
    <row r="223" ht="15" x14ac:dyDescent="0.25"/>
    <row r="224" ht="15" x14ac:dyDescent="0.25"/>
    <row r="225" ht="15" x14ac:dyDescent="0.25"/>
    <row r="226" ht="15" x14ac:dyDescent="0.25"/>
    <row r="227" ht="15" x14ac:dyDescent="0.25"/>
    <row r="228" ht="15" x14ac:dyDescent="0.25"/>
    <row r="229" ht="15" x14ac:dyDescent="0.25"/>
    <row r="230" ht="15" x14ac:dyDescent="0.25"/>
    <row r="231" ht="15" x14ac:dyDescent="0.25"/>
    <row r="232" ht="15" x14ac:dyDescent="0.25"/>
    <row r="233" ht="15" x14ac:dyDescent="0.25"/>
    <row r="234" ht="15" x14ac:dyDescent="0.25"/>
    <row r="235" ht="15" x14ac:dyDescent="0.25"/>
    <row r="236" ht="15" x14ac:dyDescent="0.25"/>
    <row r="237" ht="15" x14ac:dyDescent="0.25"/>
    <row r="238" ht="15" x14ac:dyDescent="0.25"/>
    <row r="239" ht="15" x14ac:dyDescent="0.25"/>
    <row r="240" ht="15" x14ac:dyDescent="0.25"/>
    <row r="241" ht="15" x14ac:dyDescent="0.25"/>
    <row r="242" ht="15" x14ac:dyDescent="0.25"/>
    <row r="243" ht="15" x14ac:dyDescent="0.25"/>
    <row r="244" ht="15" x14ac:dyDescent="0.25"/>
    <row r="245" ht="15" x14ac:dyDescent="0.25"/>
    <row r="246" ht="15" x14ac:dyDescent="0.25"/>
    <row r="247" ht="15" x14ac:dyDescent="0.25"/>
    <row r="248" ht="15" x14ac:dyDescent="0.25"/>
    <row r="249" ht="15" x14ac:dyDescent="0.25"/>
    <row r="250" ht="15" x14ac:dyDescent="0.25"/>
    <row r="251" ht="15" x14ac:dyDescent="0.25"/>
    <row r="252" ht="15" x14ac:dyDescent="0.25"/>
    <row r="253" ht="15" x14ac:dyDescent="0.25"/>
    <row r="254" ht="15" x14ac:dyDescent="0.25"/>
    <row r="255" ht="15" x14ac:dyDescent="0.25"/>
    <row r="256" ht="15" x14ac:dyDescent="0.25"/>
    <row r="257" ht="15" x14ac:dyDescent="0.25"/>
    <row r="258" ht="15" x14ac:dyDescent="0.25"/>
    <row r="259" ht="15" x14ac:dyDescent="0.25"/>
    <row r="260" ht="15" x14ac:dyDescent="0.25"/>
    <row r="261" ht="15" x14ac:dyDescent="0.25"/>
    <row r="262" ht="15" x14ac:dyDescent="0.25"/>
    <row r="263" ht="15" x14ac:dyDescent="0.25"/>
    <row r="264" ht="15" x14ac:dyDescent="0.25"/>
    <row r="265" ht="15" x14ac:dyDescent="0.25"/>
    <row r="266" ht="15" x14ac:dyDescent="0.25"/>
    <row r="267" ht="15" x14ac:dyDescent="0.25"/>
    <row r="268" ht="15" x14ac:dyDescent="0.25"/>
    <row r="269" ht="15" x14ac:dyDescent="0.25"/>
    <row r="270" ht="15" x14ac:dyDescent="0.25"/>
    <row r="271" ht="15" x14ac:dyDescent="0.25"/>
    <row r="272" ht="15" x14ac:dyDescent="0.25"/>
    <row r="273" ht="15" x14ac:dyDescent="0.25"/>
    <row r="274" ht="15" x14ac:dyDescent="0.25"/>
    <row r="275" ht="15" x14ac:dyDescent="0.25"/>
    <row r="276" ht="15" x14ac:dyDescent="0.25"/>
    <row r="277" ht="15" x14ac:dyDescent="0.25"/>
    <row r="278" ht="15" x14ac:dyDescent="0.25"/>
    <row r="279" ht="15" x14ac:dyDescent="0.25"/>
    <row r="280" ht="15" x14ac:dyDescent="0.25"/>
    <row r="281" ht="15" x14ac:dyDescent="0.25"/>
    <row r="282" ht="15" x14ac:dyDescent="0.25"/>
    <row r="283" ht="15" x14ac:dyDescent="0.25"/>
    <row r="284" ht="15" x14ac:dyDescent="0.25"/>
    <row r="285" ht="15" x14ac:dyDescent="0.25"/>
    <row r="286" ht="15" x14ac:dyDescent="0.25"/>
    <row r="287" ht="15" x14ac:dyDescent="0.25"/>
    <row r="288" ht="15" x14ac:dyDescent="0.25"/>
    <row r="289" ht="15" x14ac:dyDescent="0.25"/>
    <row r="290" ht="15" x14ac:dyDescent="0.25"/>
    <row r="291" ht="15" x14ac:dyDescent="0.25"/>
    <row r="292" ht="15" x14ac:dyDescent="0.25"/>
    <row r="293" ht="15" x14ac:dyDescent="0.25"/>
    <row r="294" ht="15" x14ac:dyDescent="0.25"/>
    <row r="295" ht="15" x14ac:dyDescent="0.25"/>
    <row r="296" ht="15" x14ac:dyDescent="0.25"/>
    <row r="297" ht="15" x14ac:dyDescent="0.25"/>
    <row r="298" ht="15" x14ac:dyDescent="0.25"/>
    <row r="299" ht="15" x14ac:dyDescent="0.25"/>
    <row r="300" ht="15" x14ac:dyDescent="0.25"/>
    <row r="301" ht="15" x14ac:dyDescent="0.25"/>
    <row r="302" ht="15" x14ac:dyDescent="0.25"/>
    <row r="303" ht="15" x14ac:dyDescent="0.25"/>
    <row r="304" ht="15" x14ac:dyDescent="0.25"/>
    <row r="305" ht="15" x14ac:dyDescent="0.25"/>
    <row r="306" ht="15" x14ac:dyDescent="0.25"/>
    <row r="307" ht="15" x14ac:dyDescent="0.25"/>
    <row r="308" ht="15" x14ac:dyDescent="0.25"/>
    <row r="309" ht="15" x14ac:dyDescent="0.25"/>
    <row r="310" ht="15" x14ac:dyDescent="0.25"/>
    <row r="311" ht="15" x14ac:dyDescent="0.25"/>
    <row r="312" ht="15" x14ac:dyDescent="0.25"/>
    <row r="313" ht="15" x14ac:dyDescent="0.25"/>
    <row r="314" ht="15" x14ac:dyDescent="0.25"/>
    <row r="315" ht="15" x14ac:dyDescent="0.25"/>
    <row r="316" ht="15" x14ac:dyDescent="0.25"/>
    <row r="317" ht="15" x14ac:dyDescent="0.25"/>
    <row r="318" ht="15" x14ac:dyDescent="0.25"/>
    <row r="319" ht="15" x14ac:dyDescent="0.25"/>
    <row r="320" ht="15" x14ac:dyDescent="0.25"/>
    <row r="321" spans="3:5" ht="15" x14ac:dyDescent="0.25"/>
    <row r="322" spans="3:5" ht="15" x14ac:dyDescent="0.25"/>
    <row r="323" spans="3:5" ht="15" x14ac:dyDescent="0.25"/>
    <row r="324" spans="3:5" ht="15" x14ac:dyDescent="0.25"/>
    <row r="325" spans="3:5" ht="15" x14ac:dyDescent="0.25"/>
    <row r="326" spans="3:5" ht="15" x14ac:dyDescent="0.25">
      <c r="C326" s="72"/>
      <c r="D326" s="72"/>
      <c r="E326" s="72"/>
    </row>
    <row r="327" spans="3:5" ht="15" x14ac:dyDescent="0.25"/>
    <row r="328" spans="3:5" ht="15" x14ac:dyDescent="0.25"/>
    <row r="329" spans="3:5" ht="15" x14ac:dyDescent="0.25"/>
    <row r="330" spans="3:5" ht="15" x14ac:dyDescent="0.25"/>
    <row r="331" spans="3:5" ht="15" x14ac:dyDescent="0.25"/>
    <row r="332" spans="3:5" ht="15" x14ac:dyDescent="0.25"/>
    <row r="333" spans="3:5" ht="15" x14ac:dyDescent="0.25"/>
    <row r="334" spans="3:5" ht="15" x14ac:dyDescent="0.25"/>
    <row r="335" spans="3:5" ht="15" x14ac:dyDescent="0.25"/>
    <row r="336" spans="3:5" ht="15" x14ac:dyDescent="0.25"/>
    <row r="337" spans="6:6" ht="15" x14ac:dyDescent="0.25"/>
    <row r="338" spans="6:6" ht="15" x14ac:dyDescent="0.25"/>
    <row r="339" spans="6:6" ht="15" x14ac:dyDescent="0.25"/>
    <row r="340" spans="6:6" ht="15" x14ac:dyDescent="0.25"/>
    <row r="341" spans="6:6" ht="15" x14ac:dyDescent="0.25"/>
    <row r="342" spans="6:6" ht="15" x14ac:dyDescent="0.25"/>
    <row r="343" spans="6:6" ht="15" x14ac:dyDescent="0.25"/>
    <row r="344" spans="6:6" ht="15" x14ac:dyDescent="0.25"/>
    <row r="345" spans="6:6" ht="15" x14ac:dyDescent="0.25"/>
    <row r="346" spans="6:6" ht="15" x14ac:dyDescent="0.25"/>
    <row r="347" spans="6:6" ht="15" x14ac:dyDescent="0.25"/>
    <row r="348" spans="6:6" ht="15" x14ac:dyDescent="0.25"/>
    <row r="349" spans="6:6" ht="15" x14ac:dyDescent="0.25"/>
    <row r="350" spans="6:6" ht="15" x14ac:dyDescent="0.25">
      <c r="F350" s="72"/>
    </row>
    <row r="351" spans="6:6" ht="15" x14ac:dyDescent="0.25"/>
    <row r="352" spans="6:6" ht="15" x14ac:dyDescent="0.25"/>
    <row r="353" ht="15" x14ac:dyDescent="0.25"/>
    <row r="354" ht="15" x14ac:dyDescent="0.25"/>
    <row r="355" ht="15" x14ac:dyDescent="0.25"/>
    <row r="356" ht="15" x14ac:dyDescent="0.25"/>
    <row r="357" ht="15" x14ac:dyDescent="0.25"/>
    <row r="358" ht="15" x14ac:dyDescent="0.25"/>
    <row r="359" ht="15" x14ac:dyDescent="0.25"/>
    <row r="360" ht="15" x14ac:dyDescent="0.25"/>
    <row r="361" ht="15" x14ac:dyDescent="0.25"/>
    <row r="362" ht="15" x14ac:dyDescent="0.25"/>
    <row r="363" ht="15" x14ac:dyDescent="0.25"/>
    <row r="364" ht="15" x14ac:dyDescent="0.25"/>
    <row r="365" ht="15" x14ac:dyDescent="0.25"/>
    <row r="366" ht="15" x14ac:dyDescent="0.25"/>
    <row r="367" ht="15" x14ac:dyDescent="0.25"/>
    <row r="368" ht="15" x14ac:dyDescent="0.25"/>
    <row r="369" ht="15" x14ac:dyDescent="0.25"/>
    <row r="370" ht="15" x14ac:dyDescent="0.25"/>
    <row r="371" ht="15" x14ac:dyDescent="0.25"/>
    <row r="372" ht="15" x14ac:dyDescent="0.25"/>
    <row r="373" ht="15" x14ac:dyDescent="0.25"/>
    <row r="374" ht="15" x14ac:dyDescent="0.25"/>
    <row r="375" ht="15" x14ac:dyDescent="0.25"/>
    <row r="376" ht="15" x14ac:dyDescent="0.25"/>
    <row r="377" ht="15" x14ac:dyDescent="0.25"/>
    <row r="378" ht="15" x14ac:dyDescent="0.25"/>
    <row r="379" ht="15" x14ac:dyDescent="0.25"/>
    <row r="380" ht="15" x14ac:dyDescent="0.25"/>
    <row r="381" ht="15" x14ac:dyDescent="0.25"/>
    <row r="382" ht="15" x14ac:dyDescent="0.25"/>
    <row r="383" ht="15" x14ac:dyDescent="0.25"/>
    <row r="384" ht="15" x14ac:dyDescent="0.25"/>
    <row r="385" ht="15" x14ac:dyDescent="0.25"/>
    <row r="386" ht="15" x14ac:dyDescent="0.25"/>
    <row r="387" ht="15" x14ac:dyDescent="0.25"/>
    <row r="388" ht="15" x14ac:dyDescent="0.25"/>
    <row r="389" ht="15" x14ac:dyDescent="0.25"/>
    <row r="390" ht="15" x14ac:dyDescent="0.25"/>
    <row r="391" ht="15" x14ac:dyDescent="0.25"/>
    <row r="392" ht="15" x14ac:dyDescent="0.25"/>
    <row r="393" ht="15" x14ac:dyDescent="0.25"/>
    <row r="394" ht="15" x14ac:dyDescent="0.25"/>
    <row r="395" ht="15" x14ac:dyDescent="0.25"/>
    <row r="396" ht="15" x14ac:dyDescent="0.25"/>
    <row r="397" ht="15" x14ac:dyDescent="0.25"/>
    <row r="398" ht="15" x14ac:dyDescent="0.25"/>
    <row r="399" ht="15" x14ac:dyDescent="0.25"/>
    <row r="400" ht="15" x14ac:dyDescent="0.25"/>
    <row r="401" ht="15" x14ac:dyDescent="0.25"/>
    <row r="402" ht="15" x14ac:dyDescent="0.25"/>
    <row r="403" ht="15" x14ac:dyDescent="0.25"/>
    <row r="404" ht="15" x14ac:dyDescent="0.25"/>
    <row r="405" ht="15" x14ac:dyDescent="0.25"/>
    <row r="406" ht="15" x14ac:dyDescent="0.25"/>
    <row r="407" ht="15" x14ac:dyDescent="0.25"/>
    <row r="408" ht="15" x14ac:dyDescent="0.25"/>
    <row r="409" ht="15" x14ac:dyDescent="0.25"/>
    <row r="410" ht="15" x14ac:dyDescent="0.25"/>
    <row r="411" ht="15" x14ac:dyDescent="0.25"/>
    <row r="412" ht="15" x14ac:dyDescent="0.25"/>
    <row r="413" ht="15" x14ac:dyDescent="0.25"/>
    <row r="414" ht="15" x14ac:dyDescent="0.25"/>
    <row r="415" ht="15" x14ac:dyDescent="0.25"/>
    <row r="416" ht="15" x14ac:dyDescent="0.25"/>
    <row r="417" ht="15" x14ac:dyDescent="0.25"/>
    <row r="418" ht="15" x14ac:dyDescent="0.25"/>
    <row r="419" ht="15" x14ac:dyDescent="0.25"/>
    <row r="420" ht="15" x14ac:dyDescent="0.25"/>
    <row r="421" ht="15" x14ac:dyDescent="0.25"/>
    <row r="422" ht="15" x14ac:dyDescent="0.25"/>
    <row r="423" ht="15" x14ac:dyDescent="0.25"/>
    <row r="424" ht="15" x14ac:dyDescent="0.25"/>
    <row r="425" ht="15" x14ac:dyDescent="0.25"/>
    <row r="426" ht="15" x14ac:dyDescent="0.25"/>
    <row r="427" ht="15" x14ac:dyDescent="0.25"/>
    <row r="428" ht="15" x14ac:dyDescent="0.25"/>
    <row r="429" ht="15" x14ac:dyDescent="0.25"/>
    <row r="430" ht="15" x14ac:dyDescent="0.25"/>
    <row r="431" ht="15" x14ac:dyDescent="0.25"/>
    <row r="432" ht="15" x14ac:dyDescent="0.25"/>
    <row r="433" ht="15" x14ac:dyDescent="0.25"/>
    <row r="434" ht="15" x14ac:dyDescent="0.25"/>
    <row r="435" ht="15" x14ac:dyDescent="0.25"/>
    <row r="436" ht="15" x14ac:dyDescent="0.25"/>
    <row r="437" ht="15" x14ac:dyDescent="0.25"/>
    <row r="438" ht="15" x14ac:dyDescent="0.25"/>
    <row r="439" ht="15" x14ac:dyDescent="0.25"/>
    <row r="440" ht="15" x14ac:dyDescent="0.25"/>
    <row r="441" ht="15" x14ac:dyDescent="0.25"/>
    <row r="442" ht="15" x14ac:dyDescent="0.25"/>
    <row r="443" ht="15" x14ac:dyDescent="0.25"/>
    <row r="444" ht="15" x14ac:dyDescent="0.25"/>
    <row r="445" ht="15" x14ac:dyDescent="0.25"/>
    <row r="446" ht="15" x14ac:dyDescent="0.25"/>
    <row r="447" ht="15" x14ac:dyDescent="0.25"/>
    <row r="448" ht="15" x14ac:dyDescent="0.25"/>
    <row r="449" ht="15" x14ac:dyDescent="0.25"/>
    <row r="450" ht="15" x14ac:dyDescent="0.25"/>
    <row r="451" ht="15" x14ac:dyDescent="0.25"/>
    <row r="452" ht="15" x14ac:dyDescent="0.25"/>
    <row r="453" ht="15" x14ac:dyDescent="0.25"/>
    <row r="454" ht="15" x14ac:dyDescent="0.25"/>
    <row r="455" ht="15" x14ac:dyDescent="0.25"/>
    <row r="456" ht="15" x14ac:dyDescent="0.25"/>
    <row r="457" ht="15" x14ac:dyDescent="0.25"/>
    <row r="458" ht="15" x14ac:dyDescent="0.25"/>
    <row r="459" ht="15" x14ac:dyDescent="0.25"/>
    <row r="460" ht="15" x14ac:dyDescent="0.25"/>
    <row r="461" ht="15" x14ac:dyDescent="0.25"/>
    <row r="462" ht="15" x14ac:dyDescent="0.25"/>
    <row r="463" ht="15" x14ac:dyDescent="0.25"/>
    <row r="464" ht="15" x14ac:dyDescent="0.25"/>
    <row r="465" ht="15" x14ac:dyDescent="0.25"/>
    <row r="466" ht="15" x14ac:dyDescent="0.25"/>
    <row r="467" ht="15" x14ac:dyDescent="0.25"/>
    <row r="468" ht="15" x14ac:dyDescent="0.25"/>
    <row r="469" ht="15" x14ac:dyDescent="0.25"/>
    <row r="470" ht="15" x14ac:dyDescent="0.25"/>
    <row r="471" ht="15" x14ac:dyDescent="0.25"/>
    <row r="472" ht="15" x14ac:dyDescent="0.25"/>
    <row r="473" ht="15" x14ac:dyDescent="0.25"/>
    <row r="474" ht="15" x14ac:dyDescent="0.25"/>
    <row r="475" ht="15" x14ac:dyDescent="0.25"/>
    <row r="476" ht="15" x14ac:dyDescent="0.25"/>
    <row r="477" ht="15" x14ac:dyDescent="0.25"/>
    <row r="478" ht="15" x14ac:dyDescent="0.25"/>
    <row r="479" ht="15" x14ac:dyDescent="0.25"/>
    <row r="480" ht="15" x14ac:dyDescent="0.25"/>
    <row r="481" ht="15" x14ac:dyDescent="0.25"/>
    <row r="482" ht="15" x14ac:dyDescent="0.25"/>
    <row r="483" ht="15" x14ac:dyDescent="0.25"/>
    <row r="484" ht="15" x14ac:dyDescent="0.25"/>
    <row r="485" ht="15" x14ac:dyDescent="0.25"/>
    <row r="486" ht="15" x14ac:dyDescent="0.25"/>
    <row r="487" ht="15" x14ac:dyDescent="0.25"/>
    <row r="488" ht="15" x14ac:dyDescent="0.25"/>
    <row r="489" ht="15" x14ac:dyDescent="0.25"/>
    <row r="490" ht="15" x14ac:dyDescent="0.25"/>
    <row r="491" ht="15" x14ac:dyDescent="0.25"/>
    <row r="492" ht="15" x14ac:dyDescent="0.25"/>
    <row r="493" ht="15" x14ac:dyDescent="0.25"/>
    <row r="494" ht="15" x14ac:dyDescent="0.25"/>
    <row r="495" ht="15" x14ac:dyDescent="0.25"/>
    <row r="496" ht="15" x14ac:dyDescent="0.25"/>
    <row r="497" ht="15" x14ac:dyDescent="0.25"/>
    <row r="498" ht="15" x14ac:dyDescent="0.25"/>
    <row r="499" ht="15" x14ac:dyDescent="0.25"/>
    <row r="500" ht="15" x14ac:dyDescent="0.25"/>
    <row r="501" ht="15" x14ac:dyDescent="0.25"/>
    <row r="502" ht="15" x14ac:dyDescent="0.25"/>
    <row r="503" ht="15" x14ac:dyDescent="0.25"/>
    <row r="504" ht="15" x14ac:dyDescent="0.25"/>
    <row r="505" ht="15" x14ac:dyDescent="0.25"/>
    <row r="506" ht="15" x14ac:dyDescent="0.25"/>
    <row r="507" ht="15" x14ac:dyDescent="0.25"/>
    <row r="508" ht="15" x14ac:dyDescent="0.25"/>
    <row r="509" ht="15" x14ac:dyDescent="0.25"/>
    <row r="510" ht="15" x14ac:dyDescent="0.25"/>
    <row r="511" ht="15" x14ac:dyDescent="0.25"/>
    <row r="512" ht="15" x14ac:dyDescent="0.25"/>
    <row r="513" ht="15" x14ac:dyDescent="0.25"/>
    <row r="514" ht="15" x14ac:dyDescent="0.25"/>
    <row r="515" ht="15" x14ac:dyDescent="0.25"/>
    <row r="516" ht="15" x14ac:dyDescent="0.25"/>
    <row r="517" ht="15" x14ac:dyDescent="0.25"/>
    <row r="518" ht="15" x14ac:dyDescent="0.25"/>
    <row r="519" ht="15" x14ac:dyDescent="0.25"/>
    <row r="520" ht="15" x14ac:dyDescent="0.25"/>
    <row r="521" ht="15" x14ac:dyDescent="0.25"/>
    <row r="522" ht="15" x14ac:dyDescent="0.25"/>
    <row r="523" ht="15" x14ac:dyDescent="0.25"/>
    <row r="524" ht="15" x14ac:dyDescent="0.25"/>
    <row r="525" ht="15" x14ac:dyDescent="0.25"/>
    <row r="526" ht="15" x14ac:dyDescent="0.25"/>
    <row r="527" ht="15" x14ac:dyDescent="0.25"/>
    <row r="528" ht="15" x14ac:dyDescent="0.25"/>
    <row r="529" ht="15" x14ac:dyDescent="0.25"/>
    <row r="530" ht="15" x14ac:dyDescent="0.25"/>
    <row r="531" ht="15" x14ac:dyDescent="0.25"/>
    <row r="532" ht="15" x14ac:dyDescent="0.25"/>
    <row r="533" ht="15" x14ac:dyDescent="0.25"/>
    <row r="534" ht="15" x14ac:dyDescent="0.25"/>
    <row r="535" ht="15" x14ac:dyDescent="0.25"/>
    <row r="536" ht="15" x14ac:dyDescent="0.25"/>
    <row r="537" ht="15" x14ac:dyDescent="0.25"/>
    <row r="538" ht="15" x14ac:dyDescent="0.25"/>
    <row r="539" ht="15" x14ac:dyDescent="0.25"/>
    <row r="540" ht="15" x14ac:dyDescent="0.25"/>
    <row r="541" ht="15" x14ac:dyDescent="0.25"/>
    <row r="542" ht="15" x14ac:dyDescent="0.25"/>
    <row r="543" ht="15" x14ac:dyDescent="0.25"/>
    <row r="544" ht="15" x14ac:dyDescent="0.25"/>
    <row r="545" ht="15" x14ac:dyDescent="0.25"/>
    <row r="546" ht="15" x14ac:dyDescent="0.25"/>
    <row r="547" ht="15" x14ac:dyDescent="0.25"/>
    <row r="548" ht="15" x14ac:dyDescent="0.25"/>
    <row r="549" ht="15" x14ac:dyDescent="0.25"/>
    <row r="550" ht="15" x14ac:dyDescent="0.25"/>
    <row r="551" ht="15" x14ac:dyDescent="0.25"/>
    <row r="552" ht="15" x14ac:dyDescent="0.25"/>
    <row r="553" ht="15" x14ac:dyDescent="0.25"/>
    <row r="554" ht="15" x14ac:dyDescent="0.25"/>
    <row r="555" ht="15" x14ac:dyDescent="0.25"/>
    <row r="556" ht="15" x14ac:dyDescent="0.25"/>
    <row r="557" ht="15" x14ac:dyDescent="0.25"/>
    <row r="558" ht="15" x14ac:dyDescent="0.25"/>
    <row r="559" ht="15" x14ac:dyDescent="0.25"/>
    <row r="560" ht="15" x14ac:dyDescent="0.25"/>
    <row r="561" ht="15" x14ac:dyDescent="0.25"/>
    <row r="562" ht="15" x14ac:dyDescent="0.25"/>
    <row r="563" ht="15" x14ac:dyDescent="0.25"/>
    <row r="564" ht="15" x14ac:dyDescent="0.25"/>
    <row r="565" ht="15" x14ac:dyDescent="0.25"/>
    <row r="566" ht="15" x14ac:dyDescent="0.25"/>
    <row r="567" ht="15" x14ac:dyDescent="0.25"/>
    <row r="568" ht="15" x14ac:dyDescent="0.25"/>
    <row r="569" ht="15" x14ac:dyDescent="0.25"/>
    <row r="570" ht="15" x14ac:dyDescent="0.25"/>
    <row r="571" ht="15" x14ac:dyDescent="0.25"/>
    <row r="572" ht="15" x14ac:dyDescent="0.25"/>
    <row r="573" ht="15" x14ac:dyDescent="0.25"/>
    <row r="574" ht="15" x14ac:dyDescent="0.25"/>
    <row r="575" ht="15" x14ac:dyDescent="0.25"/>
    <row r="576" ht="15" x14ac:dyDescent="0.25"/>
    <row r="577" ht="15" x14ac:dyDescent="0.25"/>
    <row r="578" ht="15" x14ac:dyDescent="0.25"/>
    <row r="579" ht="15" x14ac:dyDescent="0.25"/>
    <row r="580" ht="15" x14ac:dyDescent="0.25"/>
    <row r="581" ht="15" x14ac:dyDescent="0.25"/>
    <row r="582" ht="15" x14ac:dyDescent="0.25"/>
    <row r="583" ht="15" x14ac:dyDescent="0.25"/>
    <row r="584" ht="15" x14ac:dyDescent="0.25"/>
    <row r="585" ht="15" x14ac:dyDescent="0.25"/>
    <row r="586" ht="15" x14ac:dyDescent="0.25"/>
    <row r="587" ht="15" x14ac:dyDescent="0.25"/>
    <row r="588" ht="15" x14ac:dyDescent="0.25"/>
    <row r="589" ht="15" x14ac:dyDescent="0.25"/>
    <row r="590" ht="15" x14ac:dyDescent="0.25"/>
    <row r="591" ht="15" x14ac:dyDescent="0.25"/>
    <row r="592" ht="15" x14ac:dyDescent="0.25"/>
    <row r="593" ht="15" x14ac:dyDescent="0.25"/>
    <row r="594" ht="15" x14ac:dyDescent="0.25"/>
    <row r="595" ht="15" x14ac:dyDescent="0.25"/>
    <row r="596" ht="15" x14ac:dyDescent="0.25"/>
    <row r="597" ht="15" x14ac:dyDescent="0.25"/>
    <row r="598" ht="15" x14ac:dyDescent="0.25"/>
    <row r="599" ht="15" x14ac:dyDescent="0.25"/>
    <row r="600" ht="15" x14ac:dyDescent="0.25"/>
    <row r="601" ht="15" x14ac:dyDescent="0.25"/>
    <row r="602" ht="15" x14ac:dyDescent="0.25"/>
    <row r="603" ht="15" x14ac:dyDescent="0.25"/>
    <row r="604" ht="15" x14ac:dyDescent="0.25"/>
    <row r="605" ht="15" x14ac:dyDescent="0.25"/>
    <row r="606" ht="15" x14ac:dyDescent="0.25"/>
    <row r="607" ht="15" x14ac:dyDescent="0.25"/>
    <row r="608" ht="15" x14ac:dyDescent="0.25"/>
    <row r="609" ht="15" x14ac:dyDescent="0.25"/>
    <row r="610" ht="15" x14ac:dyDescent="0.25"/>
    <row r="611" ht="15" x14ac:dyDescent="0.25"/>
    <row r="612" ht="15" x14ac:dyDescent="0.25"/>
    <row r="613" ht="15" x14ac:dyDescent="0.25"/>
    <row r="614" ht="15" x14ac:dyDescent="0.25"/>
    <row r="615" ht="15" x14ac:dyDescent="0.25"/>
    <row r="616" ht="15" x14ac:dyDescent="0.25"/>
    <row r="617" ht="15" x14ac:dyDescent="0.25"/>
    <row r="618" ht="15" x14ac:dyDescent="0.25"/>
    <row r="619" ht="15" x14ac:dyDescent="0.25"/>
    <row r="620" ht="15" x14ac:dyDescent="0.25"/>
    <row r="621" ht="15" x14ac:dyDescent="0.25"/>
    <row r="622" ht="15" x14ac:dyDescent="0.25"/>
    <row r="623" ht="15" x14ac:dyDescent="0.25"/>
    <row r="624" ht="15" x14ac:dyDescent="0.25"/>
    <row r="625" ht="15" x14ac:dyDescent="0.25"/>
    <row r="626" ht="15" x14ac:dyDescent="0.25"/>
    <row r="627" ht="15" x14ac:dyDescent="0.25"/>
    <row r="628" ht="15" x14ac:dyDescent="0.25"/>
    <row r="629" ht="15" x14ac:dyDescent="0.25"/>
    <row r="630" ht="15" x14ac:dyDescent="0.25"/>
    <row r="631" ht="15" x14ac:dyDescent="0.25"/>
    <row r="632" ht="15" x14ac:dyDescent="0.25"/>
    <row r="633" ht="15" x14ac:dyDescent="0.25"/>
    <row r="634" ht="15" x14ac:dyDescent="0.25"/>
    <row r="635" ht="15" x14ac:dyDescent="0.25"/>
    <row r="636" ht="15" x14ac:dyDescent="0.25"/>
    <row r="637" ht="15" x14ac:dyDescent="0.25"/>
    <row r="638" ht="15" x14ac:dyDescent="0.25"/>
    <row r="639" ht="15" x14ac:dyDescent="0.25"/>
    <row r="640" ht="15" x14ac:dyDescent="0.25"/>
    <row r="641" ht="15" x14ac:dyDescent="0.25"/>
    <row r="642" ht="15" x14ac:dyDescent="0.25"/>
    <row r="643" ht="15" x14ac:dyDescent="0.25"/>
    <row r="644" ht="15" x14ac:dyDescent="0.25"/>
    <row r="645" ht="15" x14ac:dyDescent="0.25"/>
    <row r="646" ht="15" x14ac:dyDescent="0.25"/>
    <row r="647" ht="15" x14ac:dyDescent="0.25"/>
    <row r="648" ht="15" x14ac:dyDescent="0.25"/>
    <row r="649" ht="15" x14ac:dyDescent="0.25"/>
    <row r="650" ht="15" x14ac:dyDescent="0.25"/>
    <row r="651" ht="15" x14ac:dyDescent="0.25"/>
    <row r="652" ht="15" x14ac:dyDescent="0.25"/>
    <row r="653" ht="15" x14ac:dyDescent="0.25"/>
    <row r="654" ht="15" x14ac:dyDescent="0.25"/>
    <row r="655" ht="15" x14ac:dyDescent="0.25"/>
    <row r="656" ht="15" x14ac:dyDescent="0.25"/>
    <row r="657" ht="15" x14ac:dyDescent="0.25"/>
    <row r="658" ht="15" x14ac:dyDescent="0.25"/>
    <row r="659" ht="15" x14ac:dyDescent="0.25"/>
    <row r="660" ht="15" x14ac:dyDescent="0.25"/>
    <row r="661" ht="15" x14ac:dyDescent="0.25"/>
    <row r="662" ht="15" x14ac:dyDescent="0.25"/>
    <row r="663" ht="15" x14ac:dyDescent="0.25"/>
    <row r="664" ht="15" x14ac:dyDescent="0.25"/>
    <row r="665" ht="15" x14ac:dyDescent="0.25"/>
    <row r="666" ht="15" x14ac:dyDescent="0.25"/>
    <row r="667" ht="15" x14ac:dyDescent="0.25"/>
    <row r="668" ht="15" x14ac:dyDescent="0.25"/>
    <row r="669" ht="15" x14ac:dyDescent="0.25"/>
    <row r="670" ht="15" x14ac:dyDescent="0.25"/>
    <row r="671" ht="15" x14ac:dyDescent="0.25"/>
    <row r="672" ht="15" x14ac:dyDescent="0.25"/>
    <row r="673" ht="15" x14ac:dyDescent="0.25"/>
    <row r="674" ht="15" x14ac:dyDescent="0.25"/>
    <row r="675" ht="15" x14ac:dyDescent="0.25"/>
    <row r="676" ht="15" x14ac:dyDescent="0.25"/>
    <row r="677" ht="15" x14ac:dyDescent="0.25"/>
    <row r="678" ht="15" x14ac:dyDescent="0.25"/>
    <row r="679" ht="15" x14ac:dyDescent="0.25"/>
    <row r="680" ht="15" x14ac:dyDescent="0.25"/>
    <row r="681" ht="15" x14ac:dyDescent="0.25"/>
    <row r="682" ht="15" x14ac:dyDescent="0.25"/>
    <row r="683" ht="15" x14ac:dyDescent="0.25"/>
    <row r="684" ht="15" x14ac:dyDescent="0.25"/>
    <row r="685" ht="15" x14ac:dyDescent="0.25"/>
    <row r="686" ht="15" x14ac:dyDescent="0.25"/>
    <row r="687" ht="15" x14ac:dyDescent="0.25"/>
    <row r="688" ht="15" x14ac:dyDescent="0.25"/>
    <row r="689" ht="15" x14ac:dyDescent="0.25"/>
    <row r="690" ht="15" x14ac:dyDescent="0.25"/>
    <row r="691" ht="15" x14ac:dyDescent="0.25"/>
    <row r="692" ht="15" x14ac:dyDescent="0.25"/>
    <row r="693" ht="15" x14ac:dyDescent="0.25"/>
    <row r="694" ht="15" x14ac:dyDescent="0.25"/>
    <row r="695" ht="15" x14ac:dyDescent="0.25"/>
    <row r="696" ht="15" x14ac:dyDescent="0.25"/>
    <row r="697" ht="15" x14ac:dyDescent="0.25"/>
    <row r="698" ht="15" x14ac:dyDescent="0.25"/>
    <row r="699" ht="15" x14ac:dyDescent="0.25"/>
    <row r="700" ht="15" x14ac:dyDescent="0.25"/>
    <row r="701" ht="15" x14ac:dyDescent="0.25"/>
    <row r="702" ht="15" x14ac:dyDescent="0.25"/>
    <row r="703" ht="15" x14ac:dyDescent="0.25"/>
    <row r="704" ht="15" x14ac:dyDescent="0.25"/>
    <row r="705" ht="15" x14ac:dyDescent="0.25"/>
    <row r="706" ht="15" x14ac:dyDescent="0.25"/>
    <row r="707" ht="15" x14ac:dyDescent="0.25"/>
    <row r="708" ht="15" x14ac:dyDescent="0.25"/>
    <row r="709" ht="15" x14ac:dyDescent="0.25"/>
    <row r="710" ht="15" x14ac:dyDescent="0.25"/>
    <row r="711" ht="15" x14ac:dyDescent="0.25"/>
    <row r="712" ht="15" x14ac:dyDescent="0.25"/>
    <row r="713" ht="15" x14ac:dyDescent="0.25"/>
    <row r="714" ht="15" x14ac:dyDescent="0.25"/>
    <row r="715" ht="15" x14ac:dyDescent="0.25"/>
    <row r="716" ht="15" x14ac:dyDescent="0.25"/>
    <row r="717" ht="15" x14ac:dyDescent="0.25"/>
    <row r="718" ht="15" x14ac:dyDescent="0.25"/>
    <row r="719" ht="15" x14ac:dyDescent="0.25"/>
    <row r="720" ht="15" x14ac:dyDescent="0.25"/>
    <row r="721" ht="15" x14ac:dyDescent="0.25"/>
    <row r="722" ht="15" x14ac:dyDescent="0.25"/>
    <row r="723" ht="15" x14ac:dyDescent="0.25"/>
    <row r="724" ht="15" x14ac:dyDescent="0.25"/>
    <row r="725" ht="15" x14ac:dyDescent="0.25"/>
    <row r="726" ht="15" x14ac:dyDescent="0.25"/>
    <row r="727" ht="15" x14ac:dyDescent="0.25"/>
    <row r="728" ht="15" x14ac:dyDescent="0.25"/>
    <row r="729" ht="15" x14ac:dyDescent="0.25"/>
    <row r="730" ht="15" x14ac:dyDescent="0.25"/>
    <row r="731" ht="15" x14ac:dyDescent="0.25"/>
    <row r="732" ht="15" x14ac:dyDescent="0.25"/>
    <row r="733" ht="15" x14ac:dyDescent="0.25"/>
    <row r="734" ht="15" x14ac:dyDescent="0.25"/>
    <row r="735" ht="15" x14ac:dyDescent="0.25"/>
    <row r="736" ht="15" x14ac:dyDescent="0.25"/>
    <row r="737" ht="15" x14ac:dyDescent="0.25"/>
    <row r="738" ht="15" x14ac:dyDescent="0.25"/>
    <row r="739" ht="15" x14ac:dyDescent="0.25"/>
    <row r="740" ht="15" x14ac:dyDescent="0.25"/>
    <row r="741" ht="15" x14ac:dyDescent="0.25"/>
    <row r="742" ht="15" x14ac:dyDescent="0.25"/>
    <row r="743" ht="15" x14ac:dyDescent="0.25"/>
    <row r="744" ht="15" x14ac:dyDescent="0.25"/>
    <row r="745" ht="15" x14ac:dyDescent="0.25"/>
    <row r="746" ht="15" x14ac:dyDescent="0.25"/>
    <row r="747" ht="15" x14ac:dyDescent="0.25"/>
    <row r="748" ht="15" x14ac:dyDescent="0.25"/>
    <row r="749" ht="15" x14ac:dyDescent="0.25"/>
    <row r="750" ht="15" x14ac:dyDescent="0.25"/>
    <row r="751" ht="15" x14ac:dyDescent="0.25"/>
    <row r="752" ht="15" x14ac:dyDescent="0.25"/>
    <row r="753" ht="15" x14ac:dyDescent="0.25"/>
    <row r="754" ht="15" x14ac:dyDescent="0.25"/>
    <row r="755" ht="15" x14ac:dyDescent="0.25"/>
    <row r="756" ht="15" x14ac:dyDescent="0.25"/>
    <row r="757" ht="15" x14ac:dyDescent="0.25"/>
    <row r="758" ht="15" x14ac:dyDescent="0.25"/>
    <row r="759" ht="15" x14ac:dyDescent="0.25"/>
    <row r="760" ht="15" x14ac:dyDescent="0.25"/>
    <row r="761" ht="15" x14ac:dyDescent="0.25"/>
    <row r="762" ht="15" x14ac:dyDescent="0.25"/>
    <row r="763" ht="15" x14ac:dyDescent="0.25"/>
    <row r="764" ht="15" x14ac:dyDescent="0.25"/>
    <row r="765" ht="15" x14ac:dyDescent="0.25"/>
    <row r="766" ht="15" x14ac:dyDescent="0.25"/>
    <row r="767" ht="15" x14ac:dyDescent="0.25"/>
    <row r="768" ht="15" x14ac:dyDescent="0.25"/>
    <row r="769" ht="15" x14ac:dyDescent="0.25"/>
    <row r="770" ht="15" x14ac:dyDescent="0.25"/>
    <row r="771" ht="15" x14ac:dyDescent="0.25"/>
    <row r="772" ht="15" x14ac:dyDescent="0.25"/>
    <row r="773" ht="15" x14ac:dyDescent="0.25"/>
    <row r="774" ht="15" x14ac:dyDescent="0.25"/>
    <row r="775" ht="15" x14ac:dyDescent="0.25"/>
    <row r="776" ht="15" x14ac:dyDescent="0.25"/>
    <row r="777" ht="15" x14ac:dyDescent="0.25"/>
    <row r="778" ht="15" x14ac:dyDescent="0.25"/>
    <row r="779" ht="15" x14ac:dyDescent="0.25"/>
    <row r="780" ht="15" x14ac:dyDescent="0.25"/>
    <row r="781" ht="15" x14ac:dyDescent="0.25"/>
    <row r="782" ht="15" x14ac:dyDescent="0.25"/>
    <row r="783" ht="15" x14ac:dyDescent="0.25"/>
    <row r="784" ht="15" x14ac:dyDescent="0.25"/>
    <row r="785" ht="15" x14ac:dyDescent="0.25"/>
    <row r="786" ht="15" x14ac:dyDescent="0.25"/>
    <row r="787" ht="15" x14ac:dyDescent="0.25"/>
    <row r="788" ht="15" x14ac:dyDescent="0.25"/>
    <row r="789" ht="15" x14ac:dyDescent="0.25"/>
    <row r="790" ht="15" x14ac:dyDescent="0.25"/>
    <row r="791" ht="15" x14ac:dyDescent="0.25"/>
    <row r="792" ht="15" x14ac:dyDescent="0.25"/>
    <row r="793" ht="15" x14ac:dyDescent="0.25"/>
    <row r="794" ht="15" x14ac:dyDescent="0.25"/>
    <row r="795" ht="15" x14ac:dyDescent="0.25"/>
    <row r="796" ht="15" x14ac:dyDescent="0.25"/>
    <row r="797" ht="15" x14ac:dyDescent="0.25"/>
    <row r="798" ht="15" x14ac:dyDescent="0.25"/>
    <row r="799" ht="15" x14ac:dyDescent="0.25"/>
    <row r="800" ht="15" x14ac:dyDescent="0.25"/>
  </sheetData>
  <sheetProtection algorithmName="SHA-512" hashValue="bMLkUw8tKbWIr6uLKeVvDdC2m8dsoCMHynjUVuqmJBSsPBWRId18CzWAo3blcW7UhUt8MY3jcWLUyL1ACtR5ww==" saltValue="HM9Fwyz5u89zADtuFRI7cw==" spinCount="100000" sheet="1" selectLockedCells="1" selectUnlockedCells="1"/>
  <phoneticPr fontId="3" type="noConversion"/>
  <conditionalFormatting sqref="L11">
    <cfRule type="colorScale" priority="2">
      <colorScale>
        <cfvo type="num" val="0"/>
        <cfvo type="num" val="0.5"/>
        <cfvo type="num" val="1"/>
        <color rgb="FFFF0000"/>
        <color rgb="FFFFFF00"/>
        <color theme="9" tint="-0.249977111117893"/>
      </colorScale>
    </cfRule>
  </conditionalFormatting>
  <pageMargins left="0.7" right="0.7" top="0.75" bottom="0.75" header="0.3" footer="0.3"/>
  <pageSetup paperSize="9" orientation="portrait" horizontalDpi="360" verticalDpi="360" r:id="rId1"/>
  <ignoredErrors>
    <ignoredError sqref="V40:V42" formulaRange="1"/>
  </ignoredErrors>
  <drawing r:id="rId2"/>
  <tableParts count="7">
    <tablePart r:id="rId3"/>
    <tablePart r:id="rId4"/>
    <tablePart r:id="rId5"/>
    <tablePart r:id="rId6"/>
    <tablePart r:id="rId7"/>
    <tablePart r:id="rId8"/>
    <tablePart r:id="rId9"/>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scriptIds xmlns="http://schemas.microsoft.com/office/extensibility/maker/v1.0" id="script-ids-node-id"/>
</file>

<file path=customXml/item2.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XABcACIALAAiAHQAaABvAHUAcwBhAG4AZABzAFMAZQBwAGEAcgBhAHQAbwByACIAOgAiACwAIgAsACIAdABoAG8AdQBzAGEAbgBkAHMAUABvAHMAaQB0AGkAbwBuAHMAIgA6AFsAMwBdACwAIgBkAGUAYwBpAG0AYQBsAFMAZQBwAGEAcgBhAHQAbwByACIAOgAiAC4AIgAsACIAZABhAHQAZQBPAHIAZABlAHIAIgA6ACIAWQBNAEQAIgAsACIAYwB1AHIAcgBlAG4AYwB5AFMAeQBtAGIAbwBsACIAOgAiACQAIgAsACIAaQBzAEMAdQByAHIAZQBuAGMAeQBTAHkAbQBiAG8AbABMAGUAYQBkACIAOgB0AHIAdQBlACwAIgBpAHMAQwB1AHIAcgBlAG4AYwB5AFMAZQBwAEIAeQBTAHAAYQBjAGUAIgA6AGYAYQBsAHMAZQAsACIAcgBvAHcATABlAHQAdABlAHIAIgA6ACIATAAiACwAIgBjAG8AbAB1AG0AbgBMAGUAdAB0AGUAcgAiADoAIgBDACIALAAiAHIAYwBMAGUAZgB0AEIAcgBhAGMAawBlAHQAIgA6ACIAKAAiACwAIgByAGMAUgBpAGcAaAB0AEIAcgBhAGMAawBlAHQAIgA6ACIAKQAiACwAIgBzAHQAYQB0AGUAbQBlAG4AdABTAGUAcABhAHIAYQB0AG8AcgAiADoAIgA7ACIALAAiAGwAbwBjAGEAbABlAE4AYQBtAGUAIgA6ACIAZgByAC0AZgByACIAfQB9AA==</AFEJSONBlob>
</file>

<file path=customXml/item3.xml>��
</file>

<file path=customXml/itemProps1.xml><?xml version="1.0" encoding="utf-8"?>
<ds:datastoreItem xmlns:ds="http://schemas.openxmlformats.org/officeDocument/2006/customXml" ds:itemID="{96B3B304-2DA1-4759-BC39-FF46788EEE6F}">
  <ds:schemaRefs>
    <ds:schemaRef ds:uri="http://schemas.microsoft.com/office/extensibility/maker/v1.0"/>
  </ds:schemaRefs>
</ds:datastoreItem>
</file>

<file path=customXml/itemProps2.xml><?xml version="1.0" encoding="utf-8"?>
<ds:datastoreItem xmlns:ds="http://schemas.openxmlformats.org/officeDocument/2006/customXml" ds:itemID="{6B55B188-418D-4F4C-8CD9-1E73C3003945}">
  <ds:schemaRefs>
    <ds:schemaRef ds:uri="http://schemas.advancedformulaenvironment.officeapps.live.com/afejsonblob/1.0"/>
  </ds:schemaRefs>
</ds:datastoreItem>
</file>

<file path=customXml/itemProps3.xml><?xml version="1.0" encoding="utf-8"?>
<ds:datastoreItem xmlns:ds="http://schemas.openxmlformats.org/officeDocument/2006/customXml" ds:itemID="{94794A3D-F317-441C-B6D8-B37495922D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24</vt:i4>
      </vt:variant>
      <vt:variant>
        <vt:lpstr>Plages nommées</vt:lpstr>
      </vt:variant>
      <vt:variant>
        <vt:i4>38</vt:i4>
      </vt:variant>
    </vt:vector>
  </HeadingPairs>
  <TitlesOfParts>
    <vt:vector size="62" baseType="lpstr">
      <vt:lpstr>infos</vt:lpstr>
      <vt:lpstr>punch</vt:lpstr>
      <vt:lpstr>planner</vt:lpstr>
      <vt:lpstr>QA</vt:lpstr>
      <vt:lpstr>stats</vt:lpstr>
      <vt:lpstr>DESIGN</vt:lpstr>
      <vt:lpstr>MODELING</vt:lpstr>
      <vt:lpstr>RIGGING</vt:lpstr>
      <vt:lpstr>SURFACING</vt:lpstr>
      <vt:lpstr>ASSETS</vt:lpstr>
      <vt:lpstr>texture</vt:lpstr>
      <vt:lpstr>LAYOUT</vt:lpstr>
      <vt:lpstr>ANIM</vt:lpstr>
      <vt:lpstr>LIGHTING</vt:lpstr>
      <vt:lpstr>VFX</vt:lpstr>
      <vt:lpstr>vfx mym</vt:lpstr>
      <vt:lpstr>RENDER</vt:lpstr>
      <vt:lpstr>COMP</vt:lpstr>
      <vt:lpstr>SHOTS</vt:lpstr>
      <vt:lpstr>metaAssets</vt:lpstr>
      <vt:lpstr>metaShots</vt:lpstr>
      <vt:lpstr>Assets-Shots</vt:lpstr>
      <vt:lpstr>calendar</vt:lpstr>
      <vt:lpstr>_data_</vt:lpstr>
      <vt:lpstr>anim_ponderation</vt:lpstr>
      <vt:lpstr>animProgress</vt:lpstr>
      <vt:lpstr>artist_punch</vt:lpstr>
      <vt:lpstr>ASSETS_ponderation</vt:lpstr>
      <vt:lpstr>assetsProgress</vt:lpstr>
      <vt:lpstr>comp_ponderation</vt:lpstr>
      <vt:lpstr>compProgress</vt:lpstr>
      <vt:lpstr>dateLivraisonFinale</vt:lpstr>
      <vt:lpstr>dateOeuvreV1</vt:lpstr>
      <vt:lpstr>design_ponderation</vt:lpstr>
      <vt:lpstr>designProgress</vt:lpstr>
      <vt:lpstr>final_progress</vt:lpstr>
      <vt:lpstr>globalCalendar_scrollbar_value</vt:lpstr>
      <vt:lpstr>layout_ponderation</vt:lpstr>
      <vt:lpstr>layoutProgress</vt:lpstr>
      <vt:lpstr>lighting_ponderation</vt:lpstr>
      <vt:lpstr>lightingProgress</vt:lpstr>
      <vt:lpstr>modeling_ponderation</vt:lpstr>
      <vt:lpstr>modelingProgress</vt:lpstr>
      <vt:lpstr>plage_assets_shots</vt:lpstr>
      <vt:lpstr>plage_stats_assets</vt:lpstr>
      <vt:lpstr>plage_stats_shots</vt:lpstr>
      <vt:lpstr>previz_progress</vt:lpstr>
      <vt:lpstr>projectStartDate</vt:lpstr>
      <vt:lpstr>render_ponderation</vt:lpstr>
      <vt:lpstr>renderProgress</vt:lpstr>
      <vt:lpstr>rigging_ponderation</vt:lpstr>
      <vt:lpstr>riggingProgress</vt:lpstr>
      <vt:lpstr>rough_progress</vt:lpstr>
      <vt:lpstr>scrollbar_value</vt:lpstr>
      <vt:lpstr>semesterStartDate</vt:lpstr>
      <vt:lpstr>SHOTS_ponderation</vt:lpstr>
      <vt:lpstr>surfacing_ponderation</vt:lpstr>
      <vt:lpstr>surfacingProgress</vt:lpstr>
      <vt:lpstr>taskCalendar_scrollbar_value</vt:lpstr>
      <vt:lpstr>upcomingThreshold</vt:lpstr>
      <vt:lpstr>vfx_ponderation</vt:lpstr>
      <vt:lpstr>vfxProgress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project_management_synthese</dc:title>
  <dc:subject/>
  <dc:creator>Jacob Provencher</dc:creator>
  <cp:keywords>elixir</cp:keywords>
  <dc:description/>
  <cp:lastModifiedBy>Jacob Provencher</cp:lastModifiedBy>
  <cp:revision/>
  <dcterms:created xsi:type="dcterms:W3CDTF">2023-05-08T14:28:33Z</dcterms:created>
  <dcterms:modified xsi:type="dcterms:W3CDTF">2024-03-20T00:17:15Z</dcterms:modified>
  <cp:category/>
  <cp:contentStatus/>
</cp:coreProperties>
</file>