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3" l="1"/>
  <c r="I22" i="3"/>
  <c r="E3" i="3"/>
  <c r="H4" i="3"/>
  <c r="D3" i="3"/>
  <c r="G35" i="3"/>
  <c r="C3" i="3"/>
  <c r="C98" i="2"/>
  <c r="B87" i="2"/>
  <c r="B89" i="2" s="1"/>
  <c r="B86" i="2"/>
  <c r="B85" i="2"/>
  <c r="B81" i="2"/>
  <c r="B80" i="2"/>
  <c r="B79" i="2"/>
  <c r="B78" i="2"/>
  <c r="B82" i="2" s="1"/>
  <c r="E77" i="2"/>
  <c r="B74" i="2"/>
  <c r="E73" i="2"/>
  <c r="B73" i="2"/>
  <c r="B72" i="2"/>
  <c r="B71" i="2"/>
  <c r="B75" i="2" s="1"/>
  <c r="E69" i="2"/>
  <c r="E68" i="2"/>
  <c r="E67" i="2"/>
  <c r="E66" i="2"/>
  <c r="E70" i="2" s="1"/>
  <c r="B66" i="2"/>
  <c r="B65" i="2"/>
  <c r="B64" i="2"/>
  <c r="B68" i="2" s="1"/>
  <c r="B63" i="2"/>
  <c r="E61" i="2"/>
  <c r="E60" i="2"/>
  <c r="E59" i="2"/>
  <c r="E63" i="2" s="1"/>
  <c r="B58" i="2"/>
  <c r="B57" i="2"/>
  <c r="B56" i="2"/>
  <c r="B60" i="2" s="1"/>
  <c r="E54" i="2"/>
  <c r="E53" i="2"/>
  <c r="E52" i="2"/>
  <c r="E56" i="2" s="1"/>
  <c r="B51" i="2"/>
  <c r="B50" i="2"/>
  <c r="B49" i="2"/>
  <c r="B53" i="2" s="1"/>
  <c r="E47" i="2"/>
  <c r="E46" i="2"/>
  <c r="E45" i="2"/>
  <c r="E49" i="2" s="1"/>
  <c r="B44" i="2"/>
  <c r="B43" i="2"/>
  <c r="B42" i="2"/>
  <c r="B46" i="2" s="1"/>
  <c r="E40" i="2"/>
  <c r="E38" i="2"/>
  <c r="E42" i="2" s="1"/>
  <c r="B37" i="2"/>
  <c r="B36" i="2"/>
  <c r="E35" i="2"/>
  <c r="B35" i="2"/>
  <c r="B34" i="2"/>
  <c r="B39" i="2" s="1"/>
  <c r="E33" i="2"/>
  <c r="E31" i="2"/>
  <c r="B28" i="2"/>
  <c r="B27" i="2"/>
  <c r="K26" i="2"/>
  <c r="E26" i="2"/>
  <c r="B26" i="2"/>
  <c r="B31" i="2" s="1"/>
  <c r="E25" i="2"/>
  <c r="E28" i="2" s="1"/>
  <c r="E24" i="2"/>
  <c r="K22" i="2"/>
  <c r="K23" i="2" s="1"/>
  <c r="B21" i="2"/>
  <c r="B20" i="2"/>
  <c r="E19" i="2"/>
  <c r="B19" i="2"/>
  <c r="B23" i="2" s="1"/>
  <c r="E17" i="2"/>
  <c r="E21" i="2" s="1"/>
  <c r="E12" i="2"/>
  <c r="B12" i="2"/>
  <c r="B11" i="2"/>
  <c r="K10" i="2"/>
  <c r="E10" i="2"/>
  <c r="E14" i="2" s="1"/>
  <c r="B10" i="2"/>
  <c r="B16" i="2" s="1"/>
  <c r="K9" i="2"/>
  <c r="K12" i="2" s="1"/>
  <c r="K8" i="2"/>
  <c r="M6" i="2"/>
  <c r="E6" i="2"/>
  <c r="B6" i="2"/>
  <c r="B5" i="2"/>
  <c r="K4" i="2"/>
  <c r="E4" i="2"/>
  <c r="E8" i="2" s="1"/>
  <c r="B4" i="2"/>
  <c r="B8" i="2" s="1"/>
  <c r="E69" i="1"/>
  <c r="E68" i="1"/>
  <c r="E67" i="1"/>
  <c r="E47" i="1"/>
  <c r="E60" i="1"/>
  <c r="E61" i="1"/>
  <c r="E53" i="1"/>
  <c r="E54" i="1"/>
  <c r="E73" i="1"/>
  <c r="E77" i="1" s="1"/>
  <c r="E66" i="1"/>
  <c r="E59" i="1"/>
  <c r="E52" i="1"/>
  <c r="E56" i="1" s="1"/>
  <c r="E45" i="1"/>
  <c r="E38" i="1"/>
  <c r="E31" i="1"/>
  <c r="E24" i="1"/>
  <c r="E17" i="1"/>
  <c r="E10" i="1"/>
  <c r="E42" i="1"/>
  <c r="E46" i="1"/>
  <c r="E49" i="1"/>
  <c r="E40" i="1"/>
  <c r="E33" i="1"/>
  <c r="E25" i="1"/>
  <c r="E26" i="1"/>
  <c r="E19" i="1"/>
  <c r="E14" i="1"/>
  <c r="E12" i="1"/>
  <c r="E6" i="1"/>
  <c r="B86" i="1"/>
  <c r="B87" i="1"/>
  <c r="E4" i="1"/>
  <c r="B80" i="1"/>
  <c r="B79" i="1"/>
  <c r="B73" i="1"/>
  <c r="B72" i="1"/>
  <c r="B85" i="1"/>
  <c r="B81" i="1"/>
  <c r="B78" i="1"/>
  <c r="B82" i="1" s="1"/>
  <c r="B74" i="1"/>
  <c r="B71" i="1"/>
  <c r="B65" i="1"/>
  <c r="B64" i="1"/>
  <c r="B66" i="1"/>
  <c r="B63" i="1"/>
  <c r="B58" i="1"/>
  <c r="B57" i="1"/>
  <c r="B56" i="1"/>
  <c r="B51" i="1"/>
  <c r="B50" i="1"/>
  <c r="B49" i="1"/>
  <c r="B44" i="1"/>
  <c r="B43" i="1"/>
  <c r="B36" i="1"/>
  <c r="B42" i="1"/>
  <c r="B27" i="1"/>
  <c r="B35" i="1"/>
  <c r="B37" i="1"/>
  <c r="B34" i="1"/>
  <c r="B39" i="1" s="1"/>
  <c r="B26" i="1"/>
  <c r="B28" i="1"/>
  <c r="B21" i="1"/>
  <c r="B20" i="1"/>
  <c r="B19" i="1"/>
  <c r="B10" i="1"/>
  <c r="B12" i="1"/>
  <c r="B16" i="1" s="1"/>
  <c r="B6" i="1"/>
  <c r="K26" i="1"/>
  <c r="B11" i="1"/>
  <c r="B5" i="1"/>
  <c r="K22" i="1"/>
  <c r="K23" i="1" s="1"/>
  <c r="C98" i="1"/>
  <c r="K10" i="1"/>
  <c r="K9" i="1"/>
  <c r="K8" i="1"/>
  <c r="M6" i="1"/>
  <c r="K4" i="1"/>
  <c r="B4" i="1"/>
  <c r="B8" i="1" s="1"/>
  <c r="E43" i="2" l="1"/>
  <c r="E80" i="2"/>
  <c r="E22" i="2"/>
  <c r="E50" i="2"/>
  <c r="E36" i="2"/>
  <c r="E78" i="2" s="1"/>
  <c r="E57" i="2"/>
  <c r="E15" i="2"/>
  <c r="E64" i="2"/>
  <c r="E29" i="2"/>
  <c r="E71" i="2"/>
  <c r="B17" i="2"/>
  <c r="B32" i="2"/>
  <c r="B24" i="2"/>
  <c r="B40" i="2"/>
  <c r="B47" i="2"/>
  <c r="B76" i="2"/>
  <c r="B54" i="2"/>
  <c r="B83" i="2"/>
  <c r="B90" i="2"/>
  <c r="B69" i="2"/>
  <c r="B61" i="2"/>
  <c r="K12" i="1"/>
  <c r="B75" i="1"/>
  <c r="B60" i="1"/>
  <c r="B17" i="1"/>
  <c r="E70" i="1"/>
  <c r="E63" i="1"/>
  <c r="E28" i="1"/>
  <c r="E64" i="1" s="1"/>
  <c r="E35" i="1"/>
  <c r="E21" i="1"/>
  <c r="E8" i="1"/>
  <c r="B89" i="1"/>
  <c r="B90" i="1" s="1"/>
  <c r="B68" i="1"/>
  <c r="B69" i="1" s="1"/>
  <c r="B53" i="1"/>
  <c r="B46" i="1"/>
  <c r="B31" i="1"/>
  <c r="B23" i="1"/>
  <c r="B24" i="1" s="1"/>
  <c r="B83" i="1" l="1"/>
  <c r="B61" i="1"/>
  <c r="E50" i="1"/>
  <c r="E43" i="1"/>
  <c r="E36" i="1"/>
  <c r="E78" i="1" s="1"/>
  <c r="E29" i="1"/>
  <c r="E57" i="1"/>
  <c r="B32" i="1"/>
  <c r="B40" i="1"/>
  <c r="B76" i="1"/>
  <c r="B47" i="1"/>
  <c r="B54" i="1"/>
  <c r="E80" i="1"/>
  <c r="E71" i="1"/>
  <c r="E15" i="1"/>
  <c r="E22" i="1"/>
</calcChain>
</file>

<file path=xl/sharedStrings.xml><?xml version="1.0" encoding="utf-8"?>
<sst xmlns="http://schemas.openxmlformats.org/spreadsheetml/2006/main" count="332" uniqueCount="36">
  <si>
    <t>PROFIT?</t>
  </si>
  <si>
    <t>Start 12-31-2010</t>
  </si>
  <si>
    <t>net</t>
  </si>
  <si>
    <t>draw</t>
  </si>
  <si>
    <t>Mortgage</t>
  </si>
  <si>
    <t>Nancy</t>
  </si>
  <si>
    <t>bobcat</t>
  </si>
  <si>
    <t>truck</t>
  </si>
  <si>
    <t>mixer</t>
  </si>
  <si>
    <t>car</t>
  </si>
  <si>
    <t>Profit?</t>
  </si>
  <si>
    <t>balance now</t>
  </si>
  <si>
    <t>total</t>
  </si>
  <si>
    <t>pay off</t>
  </si>
  <si>
    <t>ex loan</t>
  </si>
  <si>
    <t>op loan net</t>
  </si>
  <si>
    <t>pro/loss</t>
  </si>
  <si>
    <t>loss</t>
  </si>
  <si>
    <t xml:space="preserve">    Net</t>
  </si>
  <si>
    <t>Principle</t>
  </si>
  <si>
    <t>Draw</t>
  </si>
  <si>
    <t>Year 2011</t>
  </si>
  <si>
    <t>Sav/Ln</t>
  </si>
  <si>
    <t>Accord</t>
  </si>
  <si>
    <t>A/C trctr</t>
  </si>
  <si>
    <t>Pro TD?</t>
  </si>
  <si>
    <t>Wrapper</t>
  </si>
  <si>
    <t>Grapple</t>
  </si>
  <si>
    <t>Exvtr</t>
  </si>
  <si>
    <t>x</t>
  </si>
  <si>
    <t>Year 2012</t>
  </si>
  <si>
    <t>w/ draw</t>
  </si>
  <si>
    <t>w/ principle</t>
  </si>
  <si>
    <t>principle</t>
  </si>
  <si>
    <t>Levi</t>
  </si>
  <si>
    <t>w/ 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</si>
</sst>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2" fillId="0" borderId="0" xfId="1" applyFont="1"/>
    <xf numFmtId="164" fontId="2" fillId="0" borderId="0" xfId="0" applyNumberFormat="1" applyFont="1"/>
    <xf numFmtId="44" fontId="3" fillId="0" borderId="0" xfId="1" applyFont="1"/>
    <xf numFmtId="164" fontId="4" fillId="0" borderId="0" xfId="0" applyNumberFormat="1" applyFont="1"/>
    <xf numFmtId="44" fontId="4" fillId="0" borderId="0" xfId="1" applyFont="1"/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44" fontId="5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/>
  </sheetViews>
  <sheetFormatPr defaultRowHeight="15.75" x14ac:dyDescent="0.25"/>
  <cols>
    <col min="1" max="1" width="8.85546875" style="3" customWidth="1"/>
    <col min="2" max="2" width="13.5703125" style="2" customWidth="1"/>
    <col min="3" max="3" width="12.7109375" style="2" bestFit="1" customWidth="1"/>
    <col min="4" max="4" width="8.85546875" style="2" customWidth="1"/>
    <col min="5" max="5" width="13.5703125" style="2" customWidth="1"/>
    <col min="6" max="6" width="12.7109375" style="2" customWidth="1"/>
    <col min="7" max="7" width="9.140625" style="2"/>
    <col min="8" max="9" width="9.140625" style="1"/>
    <col min="10" max="10" width="11.140625" style="1" customWidth="1"/>
    <col min="11" max="11" width="15.5703125" style="1" customWidth="1"/>
    <col min="12" max="16" width="9.140625" style="1"/>
  </cols>
  <sheetData>
    <row r="1" spans="1:13" customFormat="1" x14ac:dyDescent="0.25">
      <c r="A1" s="3"/>
      <c r="B1" s="2" t="s">
        <v>21</v>
      </c>
      <c r="C1" s="2"/>
      <c r="D1" s="2"/>
      <c r="E1" s="2" t="s">
        <v>30</v>
      </c>
      <c r="F1" s="2"/>
      <c r="G1" s="2"/>
      <c r="H1" s="1" t="s">
        <v>0</v>
      </c>
      <c r="I1" s="1"/>
      <c r="J1" s="1"/>
      <c r="K1" s="1"/>
      <c r="L1" s="1"/>
      <c r="M1" s="1">
        <v>250</v>
      </c>
    </row>
    <row r="2" spans="1:13" customFormat="1" x14ac:dyDescent="0.25">
      <c r="A2" s="3">
        <v>40542</v>
      </c>
      <c r="B2" s="2">
        <v>3772.11</v>
      </c>
      <c r="C2" s="2"/>
      <c r="D2" s="3">
        <v>40543</v>
      </c>
      <c r="E2" s="2">
        <v>11013.92</v>
      </c>
      <c r="F2" s="2"/>
      <c r="G2" s="2"/>
      <c r="H2" s="1"/>
      <c r="I2" s="1" t="s">
        <v>1</v>
      </c>
      <c r="J2" s="1"/>
      <c r="K2" s="2">
        <v>3772.11</v>
      </c>
      <c r="L2" s="1"/>
      <c r="M2" s="1">
        <v>55</v>
      </c>
    </row>
    <row r="3" spans="1:13" customFormat="1" x14ac:dyDescent="0.25">
      <c r="A3" s="3">
        <v>40574</v>
      </c>
      <c r="B3" s="2">
        <v>-26180.29</v>
      </c>
      <c r="C3" s="2"/>
      <c r="D3" s="3">
        <v>40939</v>
      </c>
      <c r="E3" s="2">
        <v>-5994.39</v>
      </c>
      <c r="F3" s="2"/>
      <c r="G3" s="2"/>
      <c r="H3" s="1"/>
      <c r="I3" s="1" t="s">
        <v>11</v>
      </c>
      <c r="J3" s="1"/>
      <c r="K3" s="2">
        <v>2400</v>
      </c>
      <c r="L3" s="1"/>
      <c r="M3" s="1">
        <v>1010</v>
      </c>
    </row>
    <row r="4" spans="1:13" customFormat="1" x14ac:dyDescent="0.25">
      <c r="A4" s="3" t="s">
        <v>18</v>
      </c>
      <c r="B4" s="2">
        <f>B3-B2</f>
        <v>-29952.400000000001</v>
      </c>
      <c r="C4" s="2"/>
      <c r="D4" s="3" t="s">
        <v>18</v>
      </c>
      <c r="E4" s="2">
        <f>E3-E2</f>
        <v>-17008.310000000001</v>
      </c>
      <c r="F4" s="2"/>
      <c r="G4" s="2"/>
      <c r="H4" s="1"/>
      <c r="I4" s="1"/>
      <c r="J4" s="1" t="s">
        <v>2</v>
      </c>
      <c r="K4" s="2">
        <f>K3-K2</f>
        <v>-1372.1100000000001</v>
      </c>
      <c r="L4" s="1"/>
      <c r="M4" s="1">
        <v>510</v>
      </c>
    </row>
    <row r="5" spans="1:13" customFormat="1" x14ac:dyDescent="0.25">
      <c r="A5" s="2" t="s">
        <v>20</v>
      </c>
      <c r="B5" s="2">
        <f>78.59+1084.5+248.86</f>
        <v>1411.9499999999998</v>
      </c>
      <c r="C5" s="2"/>
      <c r="D5" s="2" t="s">
        <v>20</v>
      </c>
      <c r="E5" s="2">
        <v>2696.02</v>
      </c>
      <c r="F5" s="2"/>
      <c r="G5" s="2"/>
      <c r="H5" s="1"/>
      <c r="I5" s="1"/>
      <c r="J5" s="1"/>
      <c r="K5" s="1"/>
      <c r="L5" s="1"/>
      <c r="M5" s="1">
        <v>490</v>
      </c>
    </row>
    <row r="6" spans="1:13" customFormat="1" x14ac:dyDescent="0.25">
      <c r="A6" s="3" t="s">
        <v>19</v>
      </c>
      <c r="B6" s="2">
        <f>1957.08+3100+497.87+46.23+32.57+100.62+461.88+796.42</f>
        <v>6992.6699999999992</v>
      </c>
      <c r="C6" s="2"/>
      <c r="D6" s="3" t="s">
        <v>19</v>
      </c>
      <c r="E6" s="4">
        <f>1957.08+2900+834.17+100.62+339.07+206.86+100+100</f>
        <v>6537.7999999999993</v>
      </c>
      <c r="F6" s="2"/>
      <c r="G6" s="2"/>
      <c r="H6" s="1"/>
      <c r="I6" s="1"/>
      <c r="J6" s="1"/>
      <c r="K6" s="1"/>
      <c r="L6" s="1"/>
      <c r="M6" s="1">
        <f>100*12</f>
        <v>1200</v>
      </c>
    </row>
    <row r="7" spans="1:13" customFormat="1" x14ac:dyDescent="0.25">
      <c r="A7" s="3" t="s">
        <v>22</v>
      </c>
      <c r="B7" s="2">
        <v>0</v>
      </c>
      <c r="C7" s="2"/>
      <c r="D7" s="3" t="s">
        <v>22</v>
      </c>
      <c r="E7" s="2">
        <v>0</v>
      </c>
      <c r="F7" s="2"/>
      <c r="G7" s="2"/>
      <c r="H7" s="1"/>
      <c r="I7" s="1"/>
      <c r="J7" s="1"/>
      <c r="K7" s="1"/>
      <c r="L7" s="1"/>
      <c r="M7" s="1">
        <v>162</v>
      </c>
    </row>
    <row r="8" spans="1:13" customFormat="1" x14ac:dyDescent="0.25">
      <c r="A8" s="3" t="s">
        <v>10</v>
      </c>
      <c r="B8" s="4">
        <f>B4+(B5+B6)+(-B7)</f>
        <v>-21547.780000000002</v>
      </c>
      <c r="C8" s="2"/>
      <c r="D8" s="3" t="s">
        <v>10</v>
      </c>
      <c r="E8" s="4">
        <f>E4+(E5+E6)+(-E7)</f>
        <v>-7774.4900000000016</v>
      </c>
      <c r="F8" s="2"/>
      <c r="G8" s="2"/>
      <c r="H8" s="1"/>
      <c r="I8" s="1"/>
      <c r="J8" s="1" t="s">
        <v>3</v>
      </c>
      <c r="K8" s="1">
        <f>(1500*12)</f>
        <v>18000</v>
      </c>
      <c r="L8" s="1"/>
      <c r="M8" s="1">
        <v>1115</v>
      </c>
    </row>
    <row r="9" spans="1:13" customFormat="1" x14ac:dyDescent="0.25">
      <c r="A9" s="3">
        <v>40602</v>
      </c>
      <c r="B9" s="2">
        <v>21065.31</v>
      </c>
      <c r="C9" s="2"/>
      <c r="D9" s="3">
        <v>40968</v>
      </c>
      <c r="E9" s="2">
        <v>2386.4499999999998</v>
      </c>
      <c r="F9" s="2"/>
      <c r="G9" s="2"/>
      <c r="H9" s="1"/>
      <c r="I9" s="1"/>
      <c r="J9" s="1"/>
      <c r="K9" s="1">
        <f>100*12</f>
        <v>1200</v>
      </c>
      <c r="L9" s="1"/>
      <c r="M9" s="1"/>
    </row>
    <row r="10" spans="1:13" customFormat="1" x14ac:dyDescent="0.25">
      <c r="A10" s="3" t="s">
        <v>18</v>
      </c>
      <c r="B10" s="2">
        <f>B9-B3</f>
        <v>47245.600000000006</v>
      </c>
      <c r="C10" s="2"/>
      <c r="D10" s="3" t="s">
        <v>18</v>
      </c>
      <c r="E10" s="2">
        <f>E9-E3</f>
        <v>8380.84</v>
      </c>
      <c r="F10" s="2"/>
      <c r="G10" s="2"/>
      <c r="H10" s="1"/>
      <c r="I10" s="1"/>
      <c r="J10" s="1"/>
      <c r="K10" s="1">
        <f>100*12</f>
        <v>1200</v>
      </c>
      <c r="L10" s="1"/>
      <c r="M10" s="1"/>
    </row>
    <row r="11" spans="1:13" customFormat="1" x14ac:dyDescent="0.25">
      <c r="A11" s="2" t="s">
        <v>20</v>
      </c>
      <c r="B11" s="2">
        <f>80.32+100+1682.06+118.8</f>
        <v>1981.1799999999998</v>
      </c>
      <c r="C11" s="2"/>
      <c r="D11" s="2" t="s">
        <v>20</v>
      </c>
      <c r="E11" s="2">
        <v>1777.34</v>
      </c>
      <c r="F11" s="2"/>
      <c r="G11" s="2"/>
      <c r="H11" s="1"/>
      <c r="I11" s="1"/>
      <c r="J11" s="1"/>
      <c r="K11" s="1">
        <v>2000</v>
      </c>
      <c r="L11" s="1"/>
      <c r="M11" s="1"/>
    </row>
    <row r="12" spans="1:13" customFormat="1" x14ac:dyDescent="0.25">
      <c r="A12" s="3" t="s">
        <v>19</v>
      </c>
      <c r="B12" s="2">
        <f>1957.08+3100+100.62+323.19+799.74+463.38+199.73</f>
        <v>6943.7399999999989</v>
      </c>
      <c r="C12" s="2"/>
      <c r="D12" s="3" t="s">
        <v>19</v>
      </c>
      <c r="E12" s="4">
        <f>1957.08+2900+840.66+100.62+340.55+207.33+100</f>
        <v>6446.24</v>
      </c>
      <c r="F12" s="2"/>
      <c r="G12" s="2"/>
      <c r="H12" s="1"/>
      <c r="I12" s="1"/>
      <c r="J12" s="1" t="s">
        <v>12</v>
      </c>
      <c r="K12" s="1">
        <f>SUM(K8:K11)</f>
        <v>22400</v>
      </c>
      <c r="L12" s="1"/>
      <c r="M12" s="1"/>
    </row>
    <row r="13" spans="1:13" customFormat="1" x14ac:dyDescent="0.25">
      <c r="A13" s="3" t="s">
        <v>22</v>
      </c>
      <c r="B13" s="2">
        <v>0</v>
      </c>
      <c r="C13" s="2"/>
      <c r="D13" s="3" t="s">
        <v>22</v>
      </c>
      <c r="E13" s="2">
        <v>12000</v>
      </c>
      <c r="F13" s="2"/>
      <c r="G13" s="2"/>
      <c r="H13" s="1"/>
      <c r="I13" s="1"/>
      <c r="J13" s="1" t="s">
        <v>13</v>
      </c>
      <c r="K13" s="1">
        <v>43000</v>
      </c>
      <c r="L13" s="1"/>
      <c r="M13" s="1"/>
    </row>
    <row r="14" spans="1:13" customFormat="1" x14ac:dyDescent="0.25">
      <c r="A14" s="5" t="s">
        <v>23</v>
      </c>
      <c r="B14" s="6">
        <v>5200</v>
      </c>
      <c r="C14" s="2"/>
      <c r="D14" s="3" t="s">
        <v>10</v>
      </c>
      <c r="E14" s="4">
        <f>E10+(E11+E12)+(-E13)</f>
        <v>4604.4199999999983</v>
      </c>
      <c r="F14" s="2"/>
      <c r="G14" s="2"/>
      <c r="H14" s="1"/>
      <c r="I14" s="1"/>
      <c r="J14" s="1"/>
      <c r="K14" s="1"/>
      <c r="L14" s="1"/>
      <c r="M14" s="1"/>
    </row>
    <row r="15" spans="1:13" customFormat="1" x14ac:dyDescent="0.25">
      <c r="A15" s="5" t="s">
        <v>24</v>
      </c>
      <c r="B15" s="6">
        <v>7595</v>
      </c>
      <c r="C15" s="2"/>
      <c r="D15" s="3" t="s">
        <v>25</v>
      </c>
      <c r="E15" s="4">
        <f>E8+E14</f>
        <v>-3170.0700000000033</v>
      </c>
      <c r="F15" s="2"/>
      <c r="G15" s="2"/>
      <c r="H15" s="1"/>
      <c r="I15" s="1"/>
      <c r="J15" s="1"/>
      <c r="K15" s="1"/>
      <c r="L15" s="1"/>
      <c r="M15" s="1"/>
    </row>
    <row r="16" spans="1:13" customFormat="1" x14ac:dyDescent="0.25">
      <c r="A16" s="3" t="s">
        <v>10</v>
      </c>
      <c r="B16" s="4">
        <f>B10+(B11+B12)+(-B13)+B14+B15</f>
        <v>68965.52</v>
      </c>
      <c r="C16" s="2"/>
      <c r="D16" s="3">
        <v>40999</v>
      </c>
      <c r="E16" s="2">
        <v>6454.22</v>
      </c>
      <c r="F16" s="2"/>
      <c r="G16" s="2"/>
      <c r="H16" s="1"/>
      <c r="I16" s="1"/>
      <c r="J16" s="1"/>
      <c r="K16" s="1"/>
      <c r="L16" s="1"/>
      <c r="M16" s="1"/>
    </row>
    <row r="17" spans="1:12" customFormat="1" x14ac:dyDescent="0.25">
      <c r="A17" s="3" t="s">
        <v>25</v>
      </c>
      <c r="B17" s="4">
        <f>B8+B16</f>
        <v>47417.740000000005</v>
      </c>
      <c r="C17" s="2"/>
      <c r="D17" s="3" t="s">
        <v>18</v>
      </c>
      <c r="E17" s="2">
        <f>E16-E9</f>
        <v>4067.7700000000004</v>
      </c>
      <c r="F17" s="2"/>
      <c r="G17" s="2"/>
      <c r="H17" s="1"/>
      <c r="I17" s="1"/>
      <c r="J17" s="1"/>
      <c r="K17" s="1"/>
      <c r="L17" s="1"/>
    </row>
    <row r="18" spans="1:12" customFormat="1" x14ac:dyDescent="0.25">
      <c r="A18" s="3">
        <v>40633</v>
      </c>
      <c r="B18" s="2">
        <v>6654.52</v>
      </c>
      <c r="C18" s="2"/>
      <c r="D18" s="2" t="s">
        <v>20</v>
      </c>
      <c r="E18" s="2">
        <v>3084.42</v>
      </c>
      <c r="F18" s="2"/>
      <c r="G18" s="2"/>
      <c r="H18" s="1"/>
      <c r="I18" s="1"/>
      <c r="J18" s="1"/>
      <c r="K18" s="1"/>
      <c r="L18" s="1"/>
    </row>
    <row r="19" spans="1:12" customFormat="1" x14ac:dyDescent="0.25">
      <c r="A19" s="3" t="s">
        <v>18</v>
      </c>
      <c r="B19" s="2">
        <f>B18-B9</f>
        <v>-14410.79</v>
      </c>
      <c r="C19" s="2"/>
      <c r="D19" s="3" t="s">
        <v>19</v>
      </c>
      <c r="E19" s="4">
        <f>1957.08+2900+844.16+100.62+342.03+207.97+100</f>
        <v>6451.86</v>
      </c>
      <c r="F19" s="2"/>
      <c r="G19" s="2"/>
      <c r="H19" s="1"/>
      <c r="I19" s="1"/>
      <c r="J19" s="1"/>
      <c r="K19" s="1"/>
      <c r="L19" s="1"/>
    </row>
    <row r="20" spans="1:12" customFormat="1" x14ac:dyDescent="0.25">
      <c r="A20" s="2" t="s">
        <v>20</v>
      </c>
      <c r="B20" s="2">
        <f>81+61.75+500+105.72+500+1433.67</f>
        <v>2682.1400000000003</v>
      </c>
      <c r="C20" s="2"/>
      <c r="D20" s="3" t="s">
        <v>22</v>
      </c>
      <c r="E20" s="2">
        <v>0</v>
      </c>
      <c r="F20" s="2"/>
      <c r="G20" s="2"/>
      <c r="H20" s="1"/>
      <c r="I20" s="1"/>
      <c r="J20" s="1" t="s">
        <v>14</v>
      </c>
      <c r="K20" s="1">
        <v>12000</v>
      </c>
      <c r="L20" s="1"/>
    </row>
    <row r="21" spans="1:12" customFormat="1" x14ac:dyDescent="0.25">
      <c r="A21" s="3" t="s">
        <v>19</v>
      </c>
      <c r="B21" s="2">
        <f>1957.08+3100+100.62+324.6+803.07+464.88+200.35</f>
        <v>6950.6</v>
      </c>
      <c r="C21" s="2"/>
      <c r="D21" s="3" t="s">
        <v>10</v>
      </c>
      <c r="E21" s="4">
        <f>E17+(E18+E19)+(-E20)</f>
        <v>13604.05</v>
      </c>
      <c r="F21" s="2"/>
      <c r="G21" s="2"/>
      <c r="H21" s="1"/>
      <c r="I21" s="1"/>
      <c r="J21" s="1" t="s">
        <v>15</v>
      </c>
      <c r="K21" s="1">
        <v>64000</v>
      </c>
      <c r="L21" s="1"/>
    </row>
    <row r="22" spans="1:12" customFormat="1" x14ac:dyDescent="0.25">
      <c r="A22" s="3" t="s">
        <v>22</v>
      </c>
      <c r="B22" s="2">
        <v>0</v>
      </c>
      <c r="C22" s="2"/>
      <c r="D22" s="3" t="s">
        <v>25</v>
      </c>
      <c r="E22" s="4">
        <f>E8+E14+E21</f>
        <v>10433.979999999996</v>
      </c>
      <c r="F22" s="2"/>
      <c r="G22" s="2"/>
      <c r="H22" s="1"/>
      <c r="I22" s="1"/>
      <c r="J22" s="1"/>
      <c r="K22" s="1">
        <f>SUM(K20:K21)</f>
        <v>76000</v>
      </c>
      <c r="L22" s="1"/>
    </row>
    <row r="23" spans="1:12" customFormat="1" x14ac:dyDescent="0.25">
      <c r="A23" s="3" t="s">
        <v>10</v>
      </c>
      <c r="B23" s="4">
        <f>B19+(B20+B21)+(-B22)</f>
        <v>-4778.0499999999993</v>
      </c>
      <c r="C23" s="2"/>
      <c r="D23" s="3">
        <v>41029</v>
      </c>
      <c r="E23" s="2">
        <v>2083.6</v>
      </c>
      <c r="F23" s="2"/>
      <c r="G23" s="2"/>
      <c r="H23" s="1"/>
      <c r="I23" s="1"/>
      <c r="J23" s="1" t="s">
        <v>16</v>
      </c>
      <c r="K23" s="1">
        <f>K22-K13</f>
        <v>33000</v>
      </c>
      <c r="L23" s="1" t="s">
        <v>17</v>
      </c>
    </row>
    <row r="24" spans="1:12" customFormat="1" x14ac:dyDescent="0.25">
      <c r="A24" s="3" t="s">
        <v>25</v>
      </c>
      <c r="B24" s="4">
        <f>B8+B16+B23</f>
        <v>42639.69</v>
      </c>
      <c r="C24" s="2"/>
      <c r="D24" s="3" t="s">
        <v>18</v>
      </c>
      <c r="E24" s="2">
        <f>E23-E16</f>
        <v>-4370.6200000000008</v>
      </c>
      <c r="F24" s="2"/>
      <c r="G24" s="2"/>
      <c r="H24" s="1"/>
      <c r="I24" s="1"/>
      <c r="J24" s="1"/>
      <c r="K24" s="1"/>
      <c r="L24" s="1"/>
    </row>
    <row r="25" spans="1:12" customFormat="1" x14ac:dyDescent="0.25">
      <c r="A25" s="3">
        <v>40663</v>
      </c>
      <c r="B25" s="2">
        <v>-252.68</v>
      </c>
      <c r="C25" s="2"/>
      <c r="D25" s="2" t="s">
        <v>20</v>
      </c>
      <c r="E25" s="2">
        <f>500+1800+100+100+1000</f>
        <v>3500</v>
      </c>
      <c r="F25" s="2"/>
      <c r="G25" s="2"/>
      <c r="H25" s="1"/>
      <c r="I25" s="1"/>
      <c r="J25" s="1"/>
      <c r="K25" s="1"/>
      <c r="L25" s="1"/>
    </row>
    <row r="26" spans="1:12" customFormat="1" x14ac:dyDescent="0.25">
      <c r="A26" s="3" t="s">
        <v>18</v>
      </c>
      <c r="B26" s="2">
        <f>B25-B18</f>
        <v>-6907.2000000000007</v>
      </c>
      <c r="C26" s="2"/>
      <c r="D26" s="3" t="s">
        <v>19</v>
      </c>
      <c r="E26" s="4">
        <f>2900+851.21+100.62+345.03+209.27+100</f>
        <v>4506.13</v>
      </c>
      <c r="F26" s="2"/>
      <c r="G26" s="2"/>
      <c r="H26" s="1"/>
      <c r="I26" s="1"/>
      <c r="J26" s="1">
        <v>21527.89</v>
      </c>
      <c r="K26" s="1">
        <f>J26/11</f>
        <v>1957.080909090909</v>
      </c>
      <c r="L26" s="1"/>
    </row>
    <row r="27" spans="1:12" customFormat="1" x14ac:dyDescent="0.25">
      <c r="A27" s="2" t="s">
        <v>20</v>
      </c>
      <c r="B27" s="2">
        <f>161.02+1611.31+1360+1465</f>
        <v>4597.33</v>
      </c>
      <c r="C27" s="2"/>
      <c r="D27" s="3" t="s">
        <v>22</v>
      </c>
      <c r="E27" s="2">
        <v>4484</v>
      </c>
      <c r="F27" s="2"/>
      <c r="G27" s="2"/>
      <c r="H27" s="1"/>
      <c r="I27" s="1"/>
      <c r="J27" s="1"/>
      <c r="K27" s="1"/>
      <c r="L27" s="1"/>
    </row>
    <row r="28" spans="1:12" customFormat="1" x14ac:dyDescent="0.25">
      <c r="A28" s="3" t="s">
        <v>19</v>
      </c>
      <c r="B28" s="2">
        <f>1957.08+3100+100.62+326.02+806.42+200.97</f>
        <v>6491.11</v>
      </c>
      <c r="C28" s="2"/>
      <c r="D28" s="3" t="s">
        <v>10</v>
      </c>
      <c r="E28" s="4">
        <f>E24+(E25+E26)+(-E27)</f>
        <v>-848.49000000000069</v>
      </c>
      <c r="F28" s="2"/>
      <c r="G28" s="2"/>
      <c r="H28" s="1"/>
      <c r="I28" s="1"/>
      <c r="J28" s="1"/>
      <c r="K28" s="1"/>
      <c r="L28" s="1"/>
    </row>
    <row r="29" spans="1:12" customFormat="1" x14ac:dyDescent="0.25">
      <c r="A29" s="3" t="s">
        <v>22</v>
      </c>
      <c r="B29" s="2">
        <v>10000</v>
      </c>
      <c r="C29" s="2"/>
      <c r="D29" s="3" t="s">
        <v>25</v>
      </c>
      <c r="E29" s="4">
        <f>E8+E15+E21+E28</f>
        <v>1810.9999999999936</v>
      </c>
      <c r="F29" s="2"/>
      <c r="G29" s="2"/>
      <c r="H29" s="1"/>
      <c r="I29" s="1"/>
      <c r="J29" s="1"/>
      <c r="K29" s="1"/>
      <c r="L29" s="1"/>
    </row>
    <row r="30" spans="1:12" customFormat="1" x14ac:dyDescent="0.25">
      <c r="A30" s="5" t="s">
        <v>26</v>
      </c>
      <c r="B30" s="6">
        <v>7000</v>
      </c>
      <c r="C30" s="2"/>
      <c r="D30" s="3">
        <v>41060</v>
      </c>
      <c r="E30" s="2">
        <v>3821.39</v>
      </c>
      <c r="F30" s="2"/>
      <c r="G30" s="2"/>
      <c r="H30" s="1"/>
      <c r="I30" s="1"/>
      <c r="J30" s="1"/>
      <c r="K30" s="1"/>
      <c r="L30" s="1"/>
    </row>
    <row r="31" spans="1:12" customFormat="1" x14ac:dyDescent="0.25">
      <c r="A31" s="3" t="s">
        <v>10</v>
      </c>
      <c r="B31" s="4">
        <f>B26+(B27+B28)+(-B29)+(B30)</f>
        <v>1181.239999999998</v>
      </c>
      <c r="C31" s="2"/>
      <c r="D31" s="3" t="s">
        <v>18</v>
      </c>
      <c r="E31" s="2">
        <f>E30-E23</f>
        <v>1737.79</v>
      </c>
      <c r="F31" s="2"/>
      <c r="G31" s="2"/>
      <c r="H31" s="1"/>
      <c r="I31" s="1"/>
      <c r="J31" s="1"/>
      <c r="K31" s="1"/>
      <c r="L31" s="1"/>
    </row>
    <row r="32" spans="1:12" customFormat="1" x14ac:dyDescent="0.25">
      <c r="A32" s="3" t="s">
        <v>25</v>
      </c>
      <c r="B32" s="4">
        <f>B8+B16+B23+B31</f>
        <v>43820.93</v>
      </c>
      <c r="C32" s="2"/>
      <c r="D32" s="2" t="s">
        <v>20</v>
      </c>
      <c r="E32" s="2">
        <v>2400</v>
      </c>
      <c r="F32" s="2"/>
      <c r="G32" s="2"/>
      <c r="H32" s="1"/>
      <c r="I32" s="1"/>
      <c r="J32" s="1"/>
      <c r="K32" s="1"/>
      <c r="L32" s="1"/>
    </row>
    <row r="33" spans="1:5" customFormat="1" x14ac:dyDescent="0.25">
      <c r="A33" s="3">
        <v>40694</v>
      </c>
      <c r="B33" s="2">
        <v>8058.84</v>
      </c>
      <c r="C33" s="2"/>
      <c r="D33" s="3" t="s">
        <v>19</v>
      </c>
      <c r="E33" s="4">
        <f>2900+845+100.62+342.03+207.97+100</f>
        <v>4495.62</v>
      </c>
    </row>
    <row r="34" spans="1:5" customFormat="1" x14ac:dyDescent="0.25">
      <c r="A34" s="3" t="s">
        <v>18</v>
      </c>
      <c r="B34" s="2">
        <f>B33-B25</f>
        <v>8311.52</v>
      </c>
      <c r="C34" s="2"/>
      <c r="D34" s="3" t="s">
        <v>22</v>
      </c>
      <c r="E34" s="2">
        <v>0</v>
      </c>
    </row>
    <row r="35" spans="1:5" customFormat="1" x14ac:dyDescent="0.25">
      <c r="A35" s="2" t="s">
        <v>20</v>
      </c>
      <c r="B35" s="2">
        <f>1300+1360+72.13</f>
        <v>2732.13</v>
      </c>
      <c r="C35" s="2"/>
      <c r="D35" s="3" t="s">
        <v>10</v>
      </c>
      <c r="E35" s="4">
        <f>E31+(E32+E33)+(-E34)</f>
        <v>8633.41</v>
      </c>
    </row>
    <row r="36" spans="1:5" customFormat="1" x14ac:dyDescent="0.25">
      <c r="A36" s="3" t="s">
        <v>19</v>
      </c>
      <c r="B36" s="2">
        <f>1957.08+3100+100.62+327.46+809.78+201.6</f>
        <v>6496.54</v>
      </c>
      <c r="C36" s="2"/>
      <c r="D36" s="3" t="s">
        <v>25</v>
      </c>
      <c r="E36" s="4">
        <f>E8+E14+E21+E28+E35</f>
        <v>18218.899999999994</v>
      </c>
    </row>
    <row r="37" spans="1:5" customFormat="1" x14ac:dyDescent="0.25">
      <c r="A37" s="3" t="s">
        <v>22</v>
      </c>
      <c r="B37" s="2">
        <f>15000+10000</f>
        <v>25000</v>
      </c>
      <c r="C37" s="2"/>
      <c r="D37" s="3">
        <v>41090</v>
      </c>
      <c r="E37" s="2">
        <v>18530.34</v>
      </c>
    </row>
    <row r="38" spans="1:5" customFormat="1" x14ac:dyDescent="0.25">
      <c r="A38" s="5" t="s">
        <v>27</v>
      </c>
      <c r="B38" s="6">
        <v>1500</v>
      </c>
      <c r="C38" s="2"/>
      <c r="D38" s="3" t="s">
        <v>18</v>
      </c>
      <c r="E38" s="2">
        <f>E37-E30</f>
        <v>14708.95</v>
      </c>
    </row>
    <row r="39" spans="1:5" customFormat="1" x14ac:dyDescent="0.25">
      <c r="A39" s="3" t="s">
        <v>10</v>
      </c>
      <c r="B39" s="4">
        <f>B34+(B35+B36)+(-B37)+B38</f>
        <v>-5959.8099999999977</v>
      </c>
      <c r="C39" s="2"/>
      <c r="D39" s="2" t="s">
        <v>20</v>
      </c>
      <c r="E39" s="2">
        <v>323.75</v>
      </c>
    </row>
    <row r="40" spans="1:5" customFormat="1" x14ac:dyDescent="0.25">
      <c r="A40" s="3" t="s">
        <v>25</v>
      </c>
      <c r="B40" s="4">
        <f>B8+B16+B23+B31+B39</f>
        <v>37861.120000000003</v>
      </c>
      <c r="C40" s="2"/>
      <c r="D40" s="3" t="s">
        <v>19</v>
      </c>
      <c r="E40" s="4">
        <f>2900+1000+100.62+342.03+207.97+100</f>
        <v>4650.62</v>
      </c>
    </row>
    <row r="41" spans="1:5" customFormat="1" x14ac:dyDescent="0.25">
      <c r="A41" s="3">
        <v>40724</v>
      </c>
      <c r="B41" s="2">
        <v>24664.02</v>
      </c>
      <c r="C41" s="2"/>
      <c r="D41" s="3" t="s">
        <v>22</v>
      </c>
      <c r="E41" s="2">
        <v>0</v>
      </c>
    </row>
    <row r="42" spans="1:5" customFormat="1" x14ac:dyDescent="0.25">
      <c r="A42" s="3" t="s">
        <v>18</v>
      </c>
      <c r="B42" s="2">
        <f>B41-B33</f>
        <v>16605.18</v>
      </c>
      <c r="C42" s="2"/>
      <c r="D42" s="3" t="s">
        <v>10</v>
      </c>
      <c r="E42" s="4">
        <f>E38+(E39+E40)+(-E41)</f>
        <v>19683.32</v>
      </c>
    </row>
    <row r="43" spans="1:5" customFormat="1" x14ac:dyDescent="0.25">
      <c r="A43" s="2" t="s">
        <v>20</v>
      </c>
      <c r="B43" s="2">
        <f>65.5+800</f>
        <v>865.5</v>
      </c>
      <c r="C43" s="2"/>
      <c r="D43" s="3" t="s">
        <v>25</v>
      </c>
      <c r="E43" s="4">
        <f>E8+E14+E21+E28+E35+E42</f>
        <v>37902.219999999994</v>
      </c>
    </row>
    <row r="44" spans="1:5" customFormat="1" x14ac:dyDescent="0.25">
      <c r="A44" s="3" t="s">
        <v>19</v>
      </c>
      <c r="B44" s="2">
        <f>1957.08+3100+100.62+328.89+813.15+202.23</f>
        <v>6501.9699999999993</v>
      </c>
      <c r="C44" s="2"/>
      <c r="D44" s="3">
        <v>41121</v>
      </c>
      <c r="E44" s="2">
        <v>14098.07</v>
      </c>
    </row>
    <row r="45" spans="1:5" customFormat="1" x14ac:dyDescent="0.25">
      <c r="A45" s="3" t="s">
        <v>22</v>
      </c>
      <c r="B45" s="2">
        <v>0</v>
      </c>
      <c r="C45" s="2"/>
      <c r="D45" s="3" t="s">
        <v>18</v>
      </c>
      <c r="E45" s="2">
        <f>E44-E37</f>
        <v>-4432.2700000000004</v>
      </c>
    </row>
    <row r="46" spans="1:5" customFormat="1" x14ac:dyDescent="0.25">
      <c r="A46" s="3" t="s">
        <v>10</v>
      </c>
      <c r="B46" s="4">
        <f>B42+(B43+B44)+(-B45)</f>
        <v>23972.65</v>
      </c>
      <c r="C46" s="2"/>
      <c r="D46" s="2" t="s">
        <v>20</v>
      </c>
      <c r="E46" s="2">
        <f>82.33+236+1799.45+400+2041.11</f>
        <v>4558.8900000000003</v>
      </c>
    </row>
    <row r="47" spans="1:5" customFormat="1" x14ac:dyDescent="0.25">
      <c r="A47" s="3" t="s">
        <v>25</v>
      </c>
      <c r="B47" s="4">
        <f>B8+B16+B23+B31+B39+B46</f>
        <v>61833.770000000004</v>
      </c>
      <c r="C47" s="2"/>
      <c r="D47" s="3" t="s">
        <v>19</v>
      </c>
      <c r="E47" s="2">
        <f>2900+1000+100.62+345+220+2500+4187.75</f>
        <v>11253.369999999999</v>
      </c>
    </row>
    <row r="48" spans="1:5" customFormat="1" x14ac:dyDescent="0.25">
      <c r="A48" s="3">
        <v>40755</v>
      </c>
      <c r="B48" s="2">
        <v>14098.07</v>
      </c>
      <c r="C48" s="2"/>
      <c r="D48" s="3" t="s">
        <v>22</v>
      </c>
      <c r="E48" s="2">
        <v>0</v>
      </c>
    </row>
    <row r="49" spans="1:5" customFormat="1" x14ac:dyDescent="0.25">
      <c r="A49" s="3" t="s">
        <v>18</v>
      </c>
      <c r="B49" s="2">
        <f>B48-B41</f>
        <v>-10565.95</v>
      </c>
      <c r="C49" s="2"/>
      <c r="D49" s="3" t="s">
        <v>10</v>
      </c>
      <c r="E49" s="4">
        <f>E45+(E46+E47)+(-E48)</f>
        <v>11379.989999999998</v>
      </c>
    </row>
    <row r="50" spans="1:5" customFormat="1" x14ac:dyDescent="0.25">
      <c r="A50" s="2" t="s">
        <v>20</v>
      </c>
      <c r="B50" s="2">
        <f>82.33+236+1799.45+400+2041.11</f>
        <v>4558.8900000000003</v>
      </c>
      <c r="C50" s="2"/>
      <c r="D50" s="3" t="s">
        <v>25</v>
      </c>
      <c r="E50" s="4">
        <f>E8+E14+E21+E28+E35+E42+E49</f>
        <v>49282.209999999992</v>
      </c>
    </row>
    <row r="51" spans="1:5" customFormat="1" x14ac:dyDescent="0.25">
      <c r="A51" s="3" t="s">
        <v>19</v>
      </c>
      <c r="B51" s="2">
        <f>1957.08+3100+100.62+330.32+816.54+202.86</f>
        <v>6507.4199999999992</v>
      </c>
      <c r="C51" s="2"/>
      <c r="D51" s="3">
        <v>40786</v>
      </c>
      <c r="E51" s="2">
        <v>19480.47</v>
      </c>
    </row>
    <row r="52" spans="1:5" customFormat="1" x14ac:dyDescent="0.25">
      <c r="A52" s="3" t="s">
        <v>22</v>
      </c>
      <c r="B52" s="2">
        <v>28000</v>
      </c>
      <c r="C52" s="2"/>
      <c r="D52" s="3" t="s">
        <v>18</v>
      </c>
      <c r="E52" s="2">
        <f>E51-E44</f>
        <v>5382.4000000000015</v>
      </c>
    </row>
    <row r="53" spans="1:5" customFormat="1" x14ac:dyDescent="0.25">
      <c r="A53" s="3" t="s">
        <v>10</v>
      </c>
      <c r="B53" s="4">
        <f>B49+(B50+B51)+(-B52)</f>
        <v>-27499.64</v>
      </c>
      <c r="C53" s="2"/>
      <c r="D53" s="2" t="s">
        <v>20</v>
      </c>
      <c r="E53" s="2">
        <f>200+100+159.01+150+200</f>
        <v>809.01</v>
      </c>
    </row>
    <row r="54" spans="1:5" customFormat="1" x14ac:dyDescent="0.25">
      <c r="A54" s="3" t="s">
        <v>25</v>
      </c>
      <c r="B54" s="4">
        <f>B15+B23+B30+B38+B46+B53</f>
        <v>7789.9600000000064</v>
      </c>
      <c r="C54" s="2"/>
      <c r="D54" s="3" t="s">
        <v>19</v>
      </c>
      <c r="E54" s="2">
        <f>2900+1000+100.62+345+220+700</f>
        <v>5265.62</v>
      </c>
    </row>
    <row r="55" spans="1:5" customFormat="1" x14ac:dyDescent="0.25">
      <c r="A55" s="3">
        <v>40786</v>
      </c>
      <c r="B55" s="2">
        <v>19177.12</v>
      </c>
      <c r="C55" s="2"/>
      <c r="D55" s="3" t="s">
        <v>22</v>
      </c>
      <c r="E55" s="2">
        <v>0</v>
      </c>
    </row>
    <row r="56" spans="1:5" customFormat="1" x14ac:dyDescent="0.25">
      <c r="A56" s="3" t="s">
        <v>18</v>
      </c>
      <c r="B56" s="2">
        <f>B55-B48</f>
        <v>5079.0499999999993</v>
      </c>
      <c r="C56" s="2"/>
      <c r="D56" s="3" t="s">
        <v>10</v>
      </c>
      <c r="E56" s="4">
        <f>E52+(E53+E54)+(-E55)</f>
        <v>11457.030000000002</v>
      </c>
    </row>
    <row r="57" spans="1:5" customFormat="1" x14ac:dyDescent="0.25">
      <c r="A57" s="2" t="s">
        <v>20</v>
      </c>
      <c r="B57" s="2">
        <f>500+165.72</f>
        <v>665.72</v>
      </c>
      <c r="C57" s="2"/>
      <c r="D57" s="3" t="s">
        <v>25</v>
      </c>
      <c r="E57" s="4">
        <f>E8+E14+E21+E28+E35+E42+E49+E56</f>
        <v>60739.239999999991</v>
      </c>
    </row>
    <row r="58" spans="1:5" customFormat="1" x14ac:dyDescent="0.25">
      <c r="A58" s="3" t="s">
        <v>19</v>
      </c>
      <c r="B58" s="2">
        <f>1957.08+3100+100.62+331.762+819.95+203.49</f>
        <v>6512.9019999999991</v>
      </c>
      <c r="C58" s="2"/>
      <c r="D58" s="3">
        <v>41182</v>
      </c>
      <c r="E58" s="2">
        <v>18888.03</v>
      </c>
    </row>
    <row r="59" spans="1:5" customFormat="1" x14ac:dyDescent="0.25">
      <c r="A59" s="3" t="s">
        <v>22</v>
      </c>
      <c r="B59" s="2">
        <v>5000</v>
      </c>
      <c r="C59" s="2"/>
      <c r="D59" s="3" t="s">
        <v>18</v>
      </c>
      <c r="E59" s="2">
        <f>E58-E51</f>
        <v>-592.44000000000233</v>
      </c>
    </row>
    <row r="60" spans="1:5" customFormat="1" x14ac:dyDescent="0.25">
      <c r="A60" s="3" t="s">
        <v>10</v>
      </c>
      <c r="B60" s="4">
        <f>B56+(B57+B58)+(-B59)</f>
        <v>7257.6719999999987</v>
      </c>
      <c r="C60" s="2"/>
      <c r="D60" s="2" t="s">
        <v>20</v>
      </c>
      <c r="E60" s="2">
        <f>2220+200+200</f>
        <v>2620</v>
      </c>
    </row>
    <row r="61" spans="1:5" customFormat="1" x14ac:dyDescent="0.25">
      <c r="A61" s="3" t="s">
        <v>25</v>
      </c>
      <c r="B61" s="4">
        <f>B15+B23+B30+B38+B46+B53+B60</f>
        <v>15047.632000000005</v>
      </c>
      <c r="C61" s="2"/>
      <c r="D61" s="3" t="s">
        <v>19</v>
      </c>
      <c r="E61" s="2">
        <f>2900+1000+100.62+345+220+300</f>
        <v>4865.62</v>
      </c>
    </row>
    <row r="62" spans="1:5" customFormat="1" x14ac:dyDescent="0.25">
      <c r="A62" s="3">
        <v>40816</v>
      </c>
      <c r="B62" s="2">
        <v>-22512.959999999999</v>
      </c>
      <c r="C62" s="2"/>
      <c r="D62" s="3" t="s">
        <v>22</v>
      </c>
      <c r="E62" s="2">
        <v>20000</v>
      </c>
    </row>
    <row r="63" spans="1:5" customFormat="1" x14ac:dyDescent="0.25">
      <c r="A63" s="3" t="s">
        <v>18</v>
      </c>
      <c r="B63" s="2">
        <f>B62-B55</f>
        <v>-41690.080000000002</v>
      </c>
      <c r="C63" s="2"/>
      <c r="D63" s="3" t="s">
        <v>10</v>
      </c>
      <c r="E63" s="4">
        <f>E59+(E60+E61)+(-E62)</f>
        <v>-13106.820000000003</v>
      </c>
    </row>
    <row r="64" spans="1:5" customFormat="1" x14ac:dyDescent="0.25">
      <c r="A64" s="2" t="s">
        <v>20</v>
      </c>
      <c r="B64" s="2">
        <f>76+1898.65+2876.21+1360</f>
        <v>6210.8600000000006</v>
      </c>
      <c r="C64" s="2"/>
      <c r="D64" s="3" t="s">
        <v>25</v>
      </c>
      <c r="E64" s="4">
        <f>E8+E14+E21+E28+E35+E42+E49+E56+E63</f>
        <v>47632.419999999984</v>
      </c>
    </row>
    <row r="65" spans="1:5" customFormat="1" x14ac:dyDescent="0.25">
      <c r="A65" s="3" t="s">
        <v>19</v>
      </c>
      <c r="B65" s="2">
        <f>1957.08+3100+100.62+333.21+100+823.36+204.12</f>
        <v>6618.3899999999994</v>
      </c>
      <c r="C65" s="2"/>
      <c r="D65" s="3">
        <v>41213</v>
      </c>
      <c r="E65" s="2">
        <v>696.29</v>
      </c>
    </row>
    <row r="66" spans="1:5" customFormat="1" x14ac:dyDescent="0.25">
      <c r="A66" s="3" t="s">
        <v>22</v>
      </c>
      <c r="B66" s="2">
        <f>12000+15000</f>
        <v>27000</v>
      </c>
      <c r="C66" s="2"/>
      <c r="D66" s="3" t="s">
        <v>18</v>
      </c>
      <c r="E66" s="2">
        <f>E65-E58</f>
        <v>-18191.739999999998</v>
      </c>
    </row>
    <row r="67" spans="1:5" customFormat="1" x14ac:dyDescent="0.25">
      <c r="A67" s="5" t="s">
        <v>28</v>
      </c>
      <c r="B67" s="6">
        <v>12924</v>
      </c>
      <c r="C67" s="2"/>
      <c r="D67" s="2" t="s">
        <v>20</v>
      </c>
      <c r="E67" s="2">
        <f>550+200</f>
        <v>750</v>
      </c>
    </row>
    <row r="68" spans="1:5" customFormat="1" x14ac:dyDescent="0.25">
      <c r="A68" s="3" t="s">
        <v>10</v>
      </c>
      <c r="B68" s="4">
        <f>B63+(B64+B65)+(-B66)+B67</f>
        <v>-42936.83</v>
      </c>
      <c r="C68" s="2"/>
      <c r="D68" s="3" t="s">
        <v>19</v>
      </c>
      <c r="E68" s="2">
        <f>2900+30000+18310.47+8811.68+7000</f>
        <v>67022.149999999994</v>
      </c>
    </row>
    <row r="69" spans="1:5" customFormat="1" x14ac:dyDescent="0.25">
      <c r="A69" s="3" t="s">
        <v>25</v>
      </c>
      <c r="B69" s="4">
        <f>B15+B23+B30+B38+B46+B53+B60+B68</f>
        <v>-27889.197999999997</v>
      </c>
      <c r="C69" s="2"/>
      <c r="D69" s="3" t="s">
        <v>22</v>
      </c>
      <c r="E69" s="2">
        <f>37000+18000+8500</f>
        <v>63500</v>
      </c>
    </row>
    <row r="70" spans="1:5" customFormat="1" x14ac:dyDescent="0.25">
      <c r="A70" s="3">
        <v>40847</v>
      </c>
      <c r="B70" s="2">
        <v>-2629.89</v>
      </c>
      <c r="C70" s="2"/>
      <c r="D70" s="3" t="s">
        <v>10</v>
      </c>
      <c r="E70" s="4">
        <f>E66+(E67+E68)+(-E69)</f>
        <v>-13919.590000000004</v>
      </c>
    </row>
    <row r="71" spans="1:5" customFormat="1" x14ac:dyDescent="0.25">
      <c r="A71" s="3" t="s">
        <v>18</v>
      </c>
      <c r="B71" s="2">
        <f>B70-B62</f>
        <v>19883.07</v>
      </c>
      <c r="C71" s="2"/>
      <c r="D71" s="3" t="s">
        <v>25</v>
      </c>
      <c r="E71" s="4">
        <f>E8+E14+E21+E28+E35+E42+E49+E56+E63+E70</f>
        <v>33712.82999999998</v>
      </c>
    </row>
    <row r="72" spans="1:5" customFormat="1" x14ac:dyDescent="0.25">
      <c r="A72" s="2" t="s">
        <v>20</v>
      </c>
      <c r="B72" s="2">
        <f>-100+1115.4</f>
        <v>1015.4000000000001</v>
      </c>
      <c r="C72" s="2"/>
      <c r="D72" s="3">
        <v>41243</v>
      </c>
      <c r="E72" s="2">
        <v>-4929.8</v>
      </c>
    </row>
    <row r="73" spans="1:5" customFormat="1" x14ac:dyDescent="0.25">
      <c r="A73" s="3" t="s">
        <v>19</v>
      </c>
      <c r="B73" s="2">
        <f>1957.08+3100+100.62+100+334.66+826.79+204.76</f>
        <v>6623.91</v>
      </c>
      <c r="C73" s="2"/>
      <c r="D73" s="3" t="s">
        <v>18</v>
      </c>
      <c r="E73" s="2">
        <f>E72-E65</f>
        <v>-5626.09</v>
      </c>
    </row>
    <row r="74" spans="1:5" customFormat="1" x14ac:dyDescent="0.25">
      <c r="A74" s="3" t="s">
        <v>22</v>
      </c>
      <c r="B74" s="2">
        <f>8820.92+6037.93+10000</f>
        <v>24858.85</v>
      </c>
      <c r="C74" s="2"/>
      <c r="D74" s="2" t="s">
        <v>20</v>
      </c>
      <c r="E74" s="2">
        <v>3000</v>
      </c>
    </row>
    <row r="75" spans="1:5" customFormat="1" x14ac:dyDescent="0.25">
      <c r="A75" s="3" t="s">
        <v>10</v>
      </c>
      <c r="B75" s="4">
        <f>B71+(B72+B73)+(-B74)</f>
        <v>2663.5299999999988</v>
      </c>
      <c r="C75" s="2"/>
      <c r="D75" s="3" t="s">
        <v>19</v>
      </c>
      <c r="E75" s="2">
        <v>2901</v>
      </c>
    </row>
    <row r="76" spans="1:5" customFormat="1" x14ac:dyDescent="0.25">
      <c r="A76" s="3" t="s">
        <v>25</v>
      </c>
      <c r="B76" s="4">
        <f>B15+B23+B30+B38+B46+B53+B60+B68+B75</f>
        <v>-25225.667999999998</v>
      </c>
      <c r="C76" s="2"/>
      <c r="D76" s="3" t="s">
        <v>22</v>
      </c>
      <c r="E76" s="2">
        <v>0</v>
      </c>
    </row>
    <row r="77" spans="1:5" customFormat="1" x14ac:dyDescent="0.25">
      <c r="A77" s="3">
        <v>40877</v>
      </c>
      <c r="B77" s="2">
        <v>9041.0400000000009</v>
      </c>
      <c r="C77" s="2"/>
      <c r="D77" s="3" t="s">
        <v>10</v>
      </c>
      <c r="E77" s="4">
        <f>E73+(E74+E75)+(-E76)</f>
        <v>274.90999999999985</v>
      </c>
    </row>
    <row r="78" spans="1:5" customFormat="1" x14ac:dyDescent="0.25">
      <c r="A78" s="3" t="s">
        <v>18</v>
      </c>
      <c r="B78" s="2">
        <f>B77-B70</f>
        <v>11670.93</v>
      </c>
      <c r="C78" s="2"/>
      <c r="D78" s="3" t="s">
        <v>25</v>
      </c>
      <c r="E78" s="4">
        <f>E36+E42+E49+E56+E63+E70+E77</f>
        <v>33987.739999999976</v>
      </c>
    </row>
    <row r="79" spans="1:5" customFormat="1" x14ac:dyDescent="0.25">
      <c r="A79" s="2" t="s">
        <v>20</v>
      </c>
      <c r="B79" s="2">
        <f>162.1+500+1010.51+100</f>
        <v>1772.6100000000001</v>
      </c>
      <c r="C79" s="2"/>
      <c r="D79" s="3">
        <v>41274</v>
      </c>
      <c r="E79" s="2">
        <v>0</v>
      </c>
    </row>
    <row r="80" spans="1:5" customFormat="1" x14ac:dyDescent="0.25">
      <c r="A80" s="3" t="s">
        <v>19</v>
      </c>
      <c r="B80" s="2">
        <f>1957.08+3100+100.62+100+336.12+830.24+205.4</f>
        <v>6629.4599999999991</v>
      </c>
      <c r="C80" s="2"/>
      <c r="D80" s="3" t="s">
        <v>25</v>
      </c>
      <c r="E80" s="2">
        <f>E8+E14+E21+E28+E35+E42+E49+E56+E63+E70+E77</f>
        <v>33987.739999999976</v>
      </c>
    </row>
    <row r="81" spans="1:3" customFormat="1" x14ac:dyDescent="0.25">
      <c r="A81" s="3" t="s">
        <v>22</v>
      </c>
      <c r="B81" s="2">
        <f>10000+4000</f>
        <v>14000</v>
      </c>
      <c r="C81" s="2"/>
    </row>
    <row r="82" spans="1:3" customFormat="1" x14ac:dyDescent="0.25">
      <c r="A82" s="3" t="s">
        <v>10</v>
      </c>
      <c r="B82" s="4">
        <f>B78+(B79+B80)+(-B81)</f>
        <v>6073</v>
      </c>
      <c r="C82" s="2"/>
    </row>
    <row r="83" spans="1:3" customFormat="1" x14ac:dyDescent="0.25">
      <c r="A83" s="3" t="s">
        <v>25</v>
      </c>
      <c r="B83" s="4">
        <f>B15+B23+B30+B38+B46+B53+B60+B68+B75+B82</f>
        <v>-19152.667999999998</v>
      </c>
      <c r="C83" s="2"/>
    </row>
    <row r="84" spans="1:3" customFormat="1" x14ac:dyDescent="0.25">
      <c r="A84" s="3">
        <v>40908</v>
      </c>
      <c r="B84" s="2">
        <v>11013.92</v>
      </c>
      <c r="C84" s="2"/>
    </row>
    <row r="85" spans="1:3" customFormat="1" x14ac:dyDescent="0.25">
      <c r="A85" s="3" t="s">
        <v>18</v>
      </c>
      <c r="B85" s="2">
        <f>B84-B77</f>
        <v>1972.8799999999992</v>
      </c>
      <c r="C85" s="2"/>
    </row>
    <row r="86" spans="1:3" customFormat="1" x14ac:dyDescent="0.25">
      <c r="A86" s="2" t="s">
        <v>20</v>
      </c>
      <c r="B86" s="2">
        <f>55+500+3131.62+249.73+100+300</f>
        <v>4336.3500000000004</v>
      </c>
      <c r="C86" s="2" t="s">
        <v>29</v>
      </c>
    </row>
    <row r="87" spans="1:3" customFormat="1" x14ac:dyDescent="0.25">
      <c r="A87" s="3" t="s">
        <v>19</v>
      </c>
      <c r="B87" s="2">
        <f>1957.08+3100+100.62+331.76+203.49</f>
        <v>5692.95</v>
      </c>
      <c r="C87" s="2" t="s">
        <v>29</v>
      </c>
    </row>
    <row r="88" spans="1:3" customFormat="1" x14ac:dyDescent="0.25">
      <c r="A88" s="3" t="s">
        <v>22</v>
      </c>
      <c r="B88" s="2">
        <v>0</v>
      </c>
      <c r="C88" s="2"/>
    </row>
    <row r="89" spans="1:3" customFormat="1" x14ac:dyDescent="0.25">
      <c r="A89" s="3" t="s">
        <v>10</v>
      </c>
      <c r="B89" s="4">
        <f>B85+(B86+B87)+(-B88)</f>
        <v>12002.179999999998</v>
      </c>
      <c r="C89" s="2"/>
    </row>
    <row r="90" spans="1:3" customFormat="1" x14ac:dyDescent="0.25">
      <c r="A90" s="3" t="s">
        <v>25</v>
      </c>
      <c r="B90" s="4">
        <f>B15+B23+B30+B38+B46+B53+B60+B68+B75+B82+B89</f>
        <v>-7150.4879999999994</v>
      </c>
      <c r="C90" s="2"/>
    </row>
    <row r="91" spans="1:3" customFormat="1" x14ac:dyDescent="0.25">
      <c r="A91" s="3"/>
      <c r="B91" s="4"/>
      <c r="C91" s="2"/>
    </row>
    <row r="92" spans="1:3" customFormat="1" x14ac:dyDescent="0.25">
      <c r="A92" s="3"/>
      <c r="B92" s="2" t="s">
        <v>4</v>
      </c>
      <c r="C92" s="2">
        <v>23000</v>
      </c>
    </row>
    <row r="93" spans="1:3" customFormat="1" x14ac:dyDescent="0.25">
      <c r="A93" s="3"/>
      <c r="B93" s="2" t="s">
        <v>5</v>
      </c>
      <c r="C93" s="2">
        <v>8500</v>
      </c>
    </row>
    <row r="94" spans="1:3" customFormat="1" x14ac:dyDescent="0.25">
      <c r="A94" s="3"/>
      <c r="B94" s="2" t="s">
        <v>6</v>
      </c>
      <c r="C94" s="2">
        <v>1856</v>
      </c>
    </row>
    <row r="95" spans="1:3" customFormat="1" x14ac:dyDescent="0.25">
      <c r="A95" s="3"/>
      <c r="B95" s="2" t="s">
        <v>9</v>
      </c>
      <c r="C95" s="2">
        <v>2100</v>
      </c>
    </row>
    <row r="96" spans="1:3" customFormat="1" x14ac:dyDescent="0.25">
      <c r="A96" s="3"/>
      <c r="B96" s="2" t="s">
        <v>8</v>
      </c>
      <c r="C96" s="2">
        <v>4000</v>
      </c>
    </row>
    <row r="97" spans="2:3" customFormat="1" x14ac:dyDescent="0.25">
      <c r="B97" s="2" t="s">
        <v>7</v>
      </c>
      <c r="C97" s="2">
        <v>3700</v>
      </c>
    </row>
    <row r="98" spans="2:3" customFormat="1" x14ac:dyDescent="0.25">
      <c r="B98" s="2"/>
      <c r="C98" s="2">
        <f>SUM(C92:C97)</f>
        <v>43156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B1" sqref="B1"/>
    </sheetView>
  </sheetViews>
  <sheetFormatPr defaultRowHeight="15" x14ac:dyDescent="0.25"/>
  <cols>
    <col min="1" max="1" width="8.85546875" style="3" customWidth="1"/>
    <col min="2" max="2" width="13.5703125" style="2" customWidth="1"/>
    <col min="3" max="3" width="12.7109375" style="2" bestFit="1" customWidth="1"/>
    <col min="4" max="4" width="8.85546875" style="2" customWidth="1"/>
    <col min="5" max="5" width="13.5703125" style="2" customWidth="1"/>
    <col min="6" max="6" width="12.7109375" style="2" customWidth="1"/>
    <col min="7" max="7" width="9.140625" style="2"/>
    <col min="8" max="9" width="9.140625" style="1"/>
    <col min="10" max="10" width="11.140625" style="1" customWidth="1"/>
    <col min="11" max="11" width="15.5703125" style="1" customWidth="1"/>
    <col min="12" max="16" width="9.140625" style="1"/>
  </cols>
  <sheetData>
    <row r="1" spans="1:13" customFormat="1" x14ac:dyDescent="0.25">
      <c r="A1" s="3"/>
      <c r="B1" s="2" t="s">
        <v>21</v>
      </c>
      <c r="C1" s="2"/>
      <c r="D1" s="2"/>
      <c r="E1" s="2" t="s">
        <v>30</v>
      </c>
      <c r="F1" s="2"/>
      <c r="G1" s="2"/>
      <c r="H1" s="1" t="s">
        <v>0</v>
      </c>
      <c r="I1" s="1"/>
      <c r="J1" s="1"/>
      <c r="K1" s="1"/>
      <c r="L1" s="1"/>
      <c r="M1" s="1">
        <v>250</v>
      </c>
    </row>
    <row r="2" spans="1:13" customFormat="1" x14ac:dyDescent="0.25">
      <c r="A2" s="3">
        <v>40542</v>
      </c>
      <c r="B2" s="2">
        <v>3772.11</v>
      </c>
      <c r="C2" s="2"/>
      <c r="D2" s="3">
        <v>40543</v>
      </c>
      <c r="E2" s="2">
        <v>11013.92</v>
      </c>
      <c r="F2" s="2"/>
      <c r="G2" s="2"/>
      <c r="H2" s="1"/>
      <c r="I2" s="1" t="s">
        <v>1</v>
      </c>
      <c r="J2" s="1"/>
      <c r="K2" s="2">
        <v>3772.11</v>
      </c>
      <c r="L2" s="1"/>
      <c r="M2" s="1">
        <v>55</v>
      </c>
    </row>
    <row r="3" spans="1:13" customFormat="1" x14ac:dyDescent="0.25">
      <c r="A3" s="3">
        <v>40574</v>
      </c>
      <c r="B3" s="2">
        <v>-26180.29</v>
      </c>
      <c r="C3" s="2"/>
      <c r="D3" s="3">
        <v>40939</v>
      </c>
      <c r="E3" s="2">
        <v>-5994.39</v>
      </c>
      <c r="F3" s="2"/>
      <c r="G3" s="2"/>
      <c r="H3" s="1"/>
      <c r="I3" s="1" t="s">
        <v>11</v>
      </c>
      <c r="J3" s="1"/>
      <c r="K3" s="2">
        <v>2400</v>
      </c>
      <c r="L3" s="1"/>
      <c r="M3" s="1">
        <v>1010</v>
      </c>
    </row>
    <row r="4" spans="1:13" customFormat="1" x14ac:dyDescent="0.25">
      <c r="A4" s="3" t="s">
        <v>18</v>
      </c>
      <c r="B4" s="2">
        <f>B3-B2</f>
        <v>-29952.400000000001</v>
      </c>
      <c r="C4" s="2"/>
      <c r="D4" s="3" t="s">
        <v>18</v>
      </c>
      <c r="E4" s="2">
        <f>E3-E2</f>
        <v>-17008.310000000001</v>
      </c>
      <c r="F4" s="2"/>
      <c r="G4" s="2"/>
      <c r="H4" s="1"/>
      <c r="I4" s="1"/>
      <c r="J4" s="1" t="s">
        <v>2</v>
      </c>
      <c r="K4" s="2">
        <f>K3-K2</f>
        <v>-1372.1100000000001</v>
      </c>
      <c r="L4" s="1"/>
      <c r="M4" s="1">
        <v>510</v>
      </c>
    </row>
    <row r="5" spans="1:13" customFormat="1" x14ac:dyDescent="0.25">
      <c r="A5" s="2" t="s">
        <v>20</v>
      </c>
      <c r="B5" s="2">
        <f>78.59+1084.5+248.86</f>
        <v>1411.9499999999998</v>
      </c>
      <c r="C5" s="2"/>
      <c r="D5" s="2" t="s">
        <v>20</v>
      </c>
      <c r="E5" s="2">
        <v>2696.02</v>
      </c>
      <c r="F5" s="2"/>
      <c r="G5" s="2"/>
      <c r="H5" s="1"/>
      <c r="I5" s="1"/>
      <c r="J5" s="1"/>
      <c r="K5" s="1"/>
      <c r="L5" s="1"/>
      <c r="M5" s="1">
        <v>490</v>
      </c>
    </row>
    <row r="6" spans="1:13" customFormat="1" x14ac:dyDescent="0.25">
      <c r="A6" s="3" t="s">
        <v>19</v>
      </c>
      <c r="B6" s="2">
        <f>1957.08+3100+497.87+46.23+32.57+100.62+461.88+796.42</f>
        <v>6992.6699999999992</v>
      </c>
      <c r="C6" s="2"/>
      <c r="D6" s="3" t="s">
        <v>19</v>
      </c>
      <c r="E6" s="4">
        <f>1957.08+2900+834.17+100.62+339.07+206.86+100+100</f>
        <v>6537.7999999999993</v>
      </c>
      <c r="F6" s="2"/>
      <c r="G6" s="2"/>
      <c r="H6" s="1"/>
      <c r="I6" s="1"/>
      <c r="J6" s="1"/>
      <c r="K6" s="1"/>
      <c r="L6" s="1"/>
      <c r="M6" s="1">
        <f>100*12</f>
        <v>1200</v>
      </c>
    </row>
    <row r="7" spans="1:13" customFormat="1" x14ac:dyDescent="0.25">
      <c r="A7" s="3" t="s">
        <v>22</v>
      </c>
      <c r="B7" s="2">
        <v>0</v>
      </c>
      <c r="C7" s="2"/>
      <c r="D7" s="3" t="s">
        <v>22</v>
      </c>
      <c r="E7" s="2">
        <v>0</v>
      </c>
      <c r="F7" s="2"/>
      <c r="G7" s="2"/>
      <c r="H7" s="1"/>
      <c r="I7" s="1"/>
      <c r="J7" s="1"/>
      <c r="K7" s="1"/>
      <c r="L7" s="1"/>
      <c r="M7" s="1">
        <v>162</v>
      </c>
    </row>
    <row r="8" spans="1:13" customFormat="1" x14ac:dyDescent="0.25">
      <c r="A8" s="3" t="s">
        <v>10</v>
      </c>
      <c r="B8" s="4">
        <f>B4+(B5+B6)+(-B7)</f>
        <v>-21547.780000000002</v>
      </c>
      <c r="C8" s="2"/>
      <c r="D8" s="3" t="s">
        <v>10</v>
      </c>
      <c r="E8" s="4">
        <f>E4+(E5+E6)+(-E7)</f>
        <v>-7774.4900000000016</v>
      </c>
      <c r="F8" s="2"/>
      <c r="G8" s="2"/>
      <c r="H8" s="1"/>
      <c r="I8" s="1"/>
      <c r="J8" s="1" t="s">
        <v>3</v>
      </c>
      <c r="K8" s="1">
        <f>(1500*12)</f>
        <v>18000</v>
      </c>
      <c r="L8" s="1"/>
      <c r="M8" s="1">
        <v>1115</v>
      </c>
    </row>
    <row r="9" spans="1:13" customFormat="1" x14ac:dyDescent="0.25">
      <c r="A9" s="3">
        <v>40602</v>
      </c>
      <c r="B9" s="2">
        <v>21065.31</v>
      </c>
      <c r="C9" s="2"/>
      <c r="D9" s="3">
        <v>40968</v>
      </c>
      <c r="E9" s="2">
        <v>2386.4499999999998</v>
      </c>
      <c r="F9" s="2"/>
      <c r="G9" s="2"/>
      <c r="H9" s="1"/>
      <c r="I9" s="1"/>
      <c r="J9" s="1"/>
      <c r="K9" s="1">
        <f>100*12</f>
        <v>1200</v>
      </c>
      <c r="L9" s="1"/>
      <c r="M9" s="1"/>
    </row>
    <row r="10" spans="1:13" customFormat="1" x14ac:dyDescent="0.25">
      <c r="A10" s="3" t="s">
        <v>18</v>
      </c>
      <c r="B10" s="2">
        <f>B9-B3</f>
        <v>47245.600000000006</v>
      </c>
      <c r="C10" s="2"/>
      <c r="D10" s="3" t="s">
        <v>18</v>
      </c>
      <c r="E10" s="2">
        <f>E9-E3</f>
        <v>8380.84</v>
      </c>
      <c r="F10" s="2"/>
      <c r="G10" s="2"/>
      <c r="H10" s="1"/>
      <c r="I10" s="1"/>
      <c r="J10" s="1"/>
      <c r="K10" s="1">
        <f>100*12</f>
        <v>1200</v>
      </c>
      <c r="L10" s="1"/>
      <c r="M10" s="1"/>
    </row>
    <row r="11" spans="1:13" customFormat="1" x14ac:dyDescent="0.25">
      <c r="A11" s="2" t="s">
        <v>20</v>
      </c>
      <c r="B11" s="2">
        <f>80.32+100+1682.06+118.8</f>
        <v>1981.1799999999998</v>
      </c>
      <c r="C11" s="2"/>
      <c r="D11" s="2" t="s">
        <v>20</v>
      </c>
      <c r="E11" s="2">
        <v>1777.34</v>
      </c>
      <c r="F11" s="2"/>
      <c r="G11" s="2"/>
      <c r="H11" s="1"/>
      <c r="I11" s="1"/>
      <c r="J11" s="1"/>
      <c r="K11" s="1">
        <v>2000</v>
      </c>
      <c r="L11" s="1"/>
      <c r="M11" s="1"/>
    </row>
    <row r="12" spans="1:13" customFormat="1" x14ac:dyDescent="0.25">
      <c r="A12" s="3" t="s">
        <v>19</v>
      </c>
      <c r="B12" s="2">
        <f>1957.08+3100+100.62+323.19+799.74+463.38+199.73</f>
        <v>6943.7399999999989</v>
      </c>
      <c r="C12" s="2"/>
      <c r="D12" s="3" t="s">
        <v>19</v>
      </c>
      <c r="E12" s="4">
        <f>1957.08+2900+840.66+100.62+340.55+207.33+100</f>
        <v>6446.24</v>
      </c>
      <c r="F12" s="2"/>
      <c r="G12" s="2"/>
      <c r="H12" s="1"/>
      <c r="I12" s="1"/>
      <c r="J12" s="1" t="s">
        <v>12</v>
      </c>
      <c r="K12" s="1">
        <f>SUM(K8:K11)</f>
        <v>22400</v>
      </c>
      <c r="L12" s="1"/>
      <c r="M12" s="1"/>
    </row>
    <row r="13" spans="1:13" customFormat="1" x14ac:dyDescent="0.25">
      <c r="A13" s="3" t="s">
        <v>22</v>
      </c>
      <c r="B13" s="2">
        <v>0</v>
      </c>
      <c r="C13" s="2"/>
      <c r="D13" s="3" t="s">
        <v>22</v>
      </c>
      <c r="E13" s="2">
        <v>12000</v>
      </c>
      <c r="F13" s="2"/>
      <c r="G13" s="2"/>
      <c r="H13" s="1"/>
      <c r="I13" s="1"/>
      <c r="J13" s="1" t="s">
        <v>13</v>
      </c>
      <c r="K13" s="1">
        <v>43000</v>
      </c>
      <c r="L13" s="1"/>
      <c r="M13" s="1"/>
    </row>
    <row r="14" spans="1:13" customFormat="1" x14ac:dyDescent="0.25">
      <c r="A14" s="5" t="s">
        <v>23</v>
      </c>
      <c r="B14" s="6">
        <v>5200</v>
      </c>
      <c r="C14" s="2"/>
      <c r="D14" s="3" t="s">
        <v>10</v>
      </c>
      <c r="E14" s="4">
        <f>E10+(E11+E12)+(-E13)</f>
        <v>4604.4199999999983</v>
      </c>
      <c r="F14" s="2"/>
      <c r="G14" s="2"/>
      <c r="H14" s="1"/>
      <c r="I14" s="1"/>
      <c r="J14" s="1"/>
      <c r="K14" s="1"/>
      <c r="L14" s="1"/>
      <c r="M14" s="1"/>
    </row>
    <row r="15" spans="1:13" customFormat="1" x14ac:dyDescent="0.25">
      <c r="A15" s="5" t="s">
        <v>24</v>
      </c>
      <c r="B15" s="6">
        <v>7595</v>
      </c>
      <c r="C15" s="2"/>
      <c r="D15" s="3" t="s">
        <v>25</v>
      </c>
      <c r="E15" s="4">
        <f>E8+E14</f>
        <v>-3170.0700000000033</v>
      </c>
      <c r="F15" s="2"/>
      <c r="G15" s="2"/>
      <c r="H15" s="1"/>
      <c r="I15" s="1"/>
      <c r="J15" s="1"/>
      <c r="K15" s="1"/>
      <c r="L15" s="1"/>
      <c r="M15" s="1"/>
    </row>
    <row r="16" spans="1:13" customFormat="1" x14ac:dyDescent="0.25">
      <c r="A16" s="3" t="s">
        <v>10</v>
      </c>
      <c r="B16" s="4">
        <f>B10+(B11+B12)+(-B13)+B14+B15</f>
        <v>68965.52</v>
      </c>
      <c r="C16" s="2"/>
      <c r="D16" s="3">
        <v>40999</v>
      </c>
      <c r="E16" s="2">
        <v>6454.22</v>
      </c>
      <c r="F16" s="2"/>
      <c r="G16" s="2"/>
      <c r="H16" s="1"/>
      <c r="I16" s="1"/>
      <c r="J16" s="1"/>
      <c r="K16" s="1"/>
      <c r="L16" s="1"/>
      <c r="M16" s="1"/>
    </row>
    <row r="17" spans="1:12" customFormat="1" x14ac:dyDescent="0.25">
      <c r="A17" s="3" t="s">
        <v>25</v>
      </c>
      <c r="B17" s="4">
        <f>B8+B16</f>
        <v>47417.740000000005</v>
      </c>
      <c r="C17" s="2"/>
      <c r="D17" s="3" t="s">
        <v>18</v>
      </c>
      <c r="E17" s="2">
        <f>E16-E9</f>
        <v>4067.7700000000004</v>
      </c>
      <c r="F17" s="2"/>
      <c r="G17" s="2"/>
      <c r="H17" s="1"/>
      <c r="I17" s="1"/>
      <c r="J17" s="1"/>
      <c r="K17" s="1"/>
      <c r="L17" s="1"/>
    </row>
    <row r="18" spans="1:12" customFormat="1" x14ac:dyDescent="0.25">
      <c r="A18" s="3">
        <v>40633</v>
      </c>
      <c r="B18" s="2">
        <v>6654.52</v>
      </c>
      <c r="C18" s="2"/>
      <c r="D18" s="2" t="s">
        <v>20</v>
      </c>
      <c r="E18" s="2">
        <v>3084.42</v>
      </c>
      <c r="F18" s="2"/>
      <c r="G18" s="2"/>
      <c r="H18" s="1"/>
      <c r="I18" s="1"/>
      <c r="J18" s="1"/>
      <c r="K18" s="1"/>
      <c r="L18" s="1"/>
    </row>
    <row r="19" spans="1:12" customFormat="1" x14ac:dyDescent="0.25">
      <c r="A19" s="3" t="s">
        <v>18</v>
      </c>
      <c r="B19" s="2">
        <f>B18-B9</f>
        <v>-14410.79</v>
      </c>
      <c r="C19" s="2"/>
      <c r="D19" s="3" t="s">
        <v>19</v>
      </c>
      <c r="E19" s="4">
        <f>1957.08+2900+844.16+100.62+342.03+207.97+100</f>
        <v>6451.86</v>
      </c>
      <c r="F19" s="2"/>
      <c r="G19" s="2"/>
      <c r="H19" s="1"/>
      <c r="I19" s="1"/>
      <c r="J19" s="1"/>
      <c r="K19" s="1"/>
      <c r="L19" s="1"/>
    </row>
    <row r="20" spans="1:12" customFormat="1" x14ac:dyDescent="0.25">
      <c r="A20" s="2" t="s">
        <v>20</v>
      </c>
      <c r="B20" s="2">
        <f>81+61.75+500+105.72+500+1433.67</f>
        <v>2682.1400000000003</v>
      </c>
      <c r="C20" s="2"/>
      <c r="D20" s="3" t="s">
        <v>22</v>
      </c>
      <c r="E20" s="2">
        <v>0</v>
      </c>
      <c r="F20" s="2"/>
      <c r="G20" s="2"/>
      <c r="H20" s="1"/>
      <c r="I20" s="1"/>
      <c r="J20" s="1" t="s">
        <v>14</v>
      </c>
      <c r="K20" s="1">
        <v>12000</v>
      </c>
      <c r="L20" s="1"/>
    </row>
    <row r="21" spans="1:12" customFormat="1" x14ac:dyDescent="0.25">
      <c r="A21" s="3" t="s">
        <v>19</v>
      </c>
      <c r="B21" s="2">
        <f>1957.08+3100+100.62+324.6+803.07+464.88+200.35</f>
        <v>6950.6</v>
      </c>
      <c r="C21" s="2"/>
      <c r="D21" s="3" t="s">
        <v>10</v>
      </c>
      <c r="E21" s="4">
        <f>E17+(E18+E19)+(-E20)</f>
        <v>13604.05</v>
      </c>
      <c r="F21" s="2"/>
      <c r="G21" s="2"/>
      <c r="H21" s="1"/>
      <c r="I21" s="1"/>
      <c r="J21" s="1" t="s">
        <v>15</v>
      </c>
      <c r="K21" s="1">
        <v>64000</v>
      </c>
      <c r="L21" s="1"/>
    </row>
    <row r="22" spans="1:12" customFormat="1" x14ac:dyDescent="0.25">
      <c r="A22" s="3" t="s">
        <v>22</v>
      </c>
      <c r="B22" s="2">
        <v>0</v>
      </c>
      <c r="C22" s="2"/>
      <c r="D22" s="3" t="s">
        <v>25</v>
      </c>
      <c r="E22" s="4">
        <f>E8+E14+E21</f>
        <v>10433.979999999996</v>
      </c>
      <c r="F22" s="2"/>
      <c r="G22" s="2"/>
      <c r="H22" s="1"/>
      <c r="I22" s="1"/>
      <c r="J22" s="1"/>
      <c r="K22" s="1">
        <f>SUM(K20:K21)</f>
        <v>76000</v>
      </c>
      <c r="L22" s="1"/>
    </row>
    <row r="23" spans="1:12" customFormat="1" x14ac:dyDescent="0.25">
      <c r="A23" s="3" t="s">
        <v>10</v>
      </c>
      <c r="B23" s="4">
        <f>B19+(B20+B21)+(-B22)</f>
        <v>-4778.0499999999993</v>
      </c>
      <c r="C23" s="2"/>
      <c r="D23" s="3">
        <v>41029</v>
      </c>
      <c r="E23" s="2">
        <v>2083.6</v>
      </c>
      <c r="F23" s="2"/>
      <c r="G23" s="2"/>
      <c r="H23" s="1"/>
      <c r="I23" s="1"/>
      <c r="J23" s="1" t="s">
        <v>16</v>
      </c>
      <c r="K23" s="1">
        <f>K22-K13</f>
        <v>33000</v>
      </c>
      <c r="L23" s="1" t="s">
        <v>17</v>
      </c>
    </row>
    <row r="24" spans="1:12" customFormat="1" x14ac:dyDescent="0.25">
      <c r="A24" s="3" t="s">
        <v>25</v>
      </c>
      <c r="B24" s="4">
        <f>B8+B16+B23</f>
        <v>42639.69</v>
      </c>
      <c r="C24" s="2"/>
      <c r="D24" s="3" t="s">
        <v>18</v>
      </c>
      <c r="E24" s="2">
        <f>E23-E16</f>
        <v>-4370.6200000000008</v>
      </c>
      <c r="F24" s="2"/>
      <c r="G24" s="2"/>
      <c r="H24" s="1"/>
      <c r="I24" s="1"/>
      <c r="J24" s="1"/>
      <c r="K24" s="1"/>
      <c r="L24" s="1"/>
    </row>
    <row r="25" spans="1:12" customFormat="1" x14ac:dyDescent="0.25">
      <c r="A25" s="3">
        <v>40663</v>
      </c>
      <c r="B25" s="2">
        <v>-252.68</v>
      </c>
      <c r="C25" s="2"/>
      <c r="D25" s="2" t="s">
        <v>20</v>
      </c>
      <c r="E25" s="2">
        <f>500+1800+100+100+1000</f>
        <v>3500</v>
      </c>
      <c r="F25" s="2"/>
      <c r="G25" s="2"/>
      <c r="H25" s="1"/>
      <c r="I25" s="1"/>
      <c r="J25" s="1"/>
      <c r="K25" s="1"/>
      <c r="L25" s="1"/>
    </row>
    <row r="26" spans="1:12" customFormat="1" x14ac:dyDescent="0.25">
      <c r="A26" s="3" t="s">
        <v>18</v>
      </c>
      <c r="B26" s="2">
        <f>B25-B18</f>
        <v>-6907.2000000000007</v>
      </c>
      <c r="C26" s="2"/>
      <c r="D26" s="3" t="s">
        <v>19</v>
      </c>
      <c r="E26" s="4">
        <f>2900+851.21+100.62+345.03+209.27+100</f>
        <v>4506.13</v>
      </c>
      <c r="F26" s="2"/>
      <c r="G26" s="2"/>
      <c r="H26" s="1"/>
      <c r="I26" s="1"/>
      <c r="J26" s="1">
        <v>21527.89</v>
      </c>
      <c r="K26" s="1">
        <f>J26/11</f>
        <v>1957.080909090909</v>
      </c>
      <c r="L26" s="1"/>
    </row>
    <row r="27" spans="1:12" customFormat="1" x14ac:dyDescent="0.25">
      <c r="A27" s="2" t="s">
        <v>20</v>
      </c>
      <c r="B27" s="2">
        <f>161.02+1611.31+1360+1465</f>
        <v>4597.33</v>
      </c>
      <c r="C27" s="2"/>
      <c r="D27" s="3" t="s">
        <v>22</v>
      </c>
      <c r="E27" s="2">
        <v>4484</v>
      </c>
      <c r="F27" s="2"/>
      <c r="G27" s="2"/>
      <c r="H27" s="1"/>
      <c r="I27" s="1"/>
      <c r="J27" s="1"/>
      <c r="K27" s="1"/>
      <c r="L27" s="1"/>
    </row>
    <row r="28" spans="1:12" customFormat="1" x14ac:dyDescent="0.25">
      <c r="A28" s="3" t="s">
        <v>19</v>
      </c>
      <c r="B28" s="2">
        <f>1957.08+3100+100.62+326.02+806.42+200.97</f>
        <v>6491.11</v>
      </c>
      <c r="C28" s="2"/>
      <c r="D28" s="3" t="s">
        <v>10</v>
      </c>
      <c r="E28" s="4">
        <f>E24+(E25+E26)+(-E27)</f>
        <v>-848.49000000000069</v>
      </c>
      <c r="F28" s="2"/>
      <c r="G28" s="2"/>
      <c r="H28" s="1"/>
      <c r="I28" s="1"/>
      <c r="J28" s="1"/>
      <c r="K28" s="1"/>
      <c r="L28" s="1"/>
    </row>
    <row r="29" spans="1:12" customFormat="1" x14ac:dyDescent="0.25">
      <c r="A29" s="3" t="s">
        <v>22</v>
      </c>
      <c r="B29" s="2">
        <v>10000</v>
      </c>
      <c r="C29" s="2"/>
      <c r="D29" s="3" t="s">
        <v>25</v>
      </c>
      <c r="E29" s="4">
        <f>E8+E15+E21+E28</f>
        <v>1810.9999999999936</v>
      </c>
      <c r="F29" s="2"/>
      <c r="G29" s="2"/>
      <c r="H29" s="1"/>
      <c r="I29" s="1"/>
      <c r="J29" s="1"/>
      <c r="K29" s="1"/>
      <c r="L29" s="1"/>
    </row>
    <row r="30" spans="1:12" customFormat="1" x14ac:dyDescent="0.25">
      <c r="A30" s="5" t="s">
        <v>26</v>
      </c>
      <c r="B30" s="6">
        <v>7000</v>
      </c>
      <c r="C30" s="2"/>
      <c r="D30" s="3">
        <v>41060</v>
      </c>
      <c r="E30" s="2">
        <v>3821.39</v>
      </c>
      <c r="F30" s="2"/>
      <c r="G30" s="2"/>
      <c r="H30" s="1"/>
      <c r="I30" s="1"/>
      <c r="J30" s="1"/>
      <c r="K30" s="1"/>
      <c r="L30" s="1"/>
    </row>
    <row r="31" spans="1:12" customFormat="1" x14ac:dyDescent="0.25">
      <c r="A31" s="3" t="s">
        <v>10</v>
      </c>
      <c r="B31" s="4">
        <f>B26+(B27+B28)+(-B29)+(B30)</f>
        <v>1181.239999999998</v>
      </c>
      <c r="C31" s="2"/>
      <c r="D31" s="3" t="s">
        <v>18</v>
      </c>
      <c r="E31" s="2">
        <f>E30-E23</f>
        <v>1737.79</v>
      </c>
      <c r="F31" s="2"/>
      <c r="G31" s="2"/>
      <c r="H31" s="1"/>
      <c r="I31" s="1"/>
      <c r="J31" s="1"/>
      <c r="K31" s="1"/>
      <c r="L31" s="1"/>
    </row>
    <row r="32" spans="1:12" customFormat="1" x14ac:dyDescent="0.25">
      <c r="A32" s="3" t="s">
        <v>25</v>
      </c>
      <c r="B32" s="4">
        <f>B8+B16+B23+B31</f>
        <v>43820.93</v>
      </c>
      <c r="C32" s="2"/>
      <c r="D32" s="2" t="s">
        <v>20</v>
      </c>
      <c r="E32" s="2">
        <v>2400</v>
      </c>
      <c r="F32" s="2"/>
      <c r="G32" s="2"/>
      <c r="H32" s="1"/>
      <c r="I32" s="1"/>
      <c r="J32" s="1"/>
      <c r="K32" s="1"/>
      <c r="L32" s="1"/>
    </row>
    <row r="33" spans="1:5" customFormat="1" x14ac:dyDescent="0.25">
      <c r="A33" s="3">
        <v>40694</v>
      </c>
      <c r="B33" s="2">
        <v>8058.84</v>
      </c>
      <c r="C33" s="2"/>
      <c r="D33" s="3" t="s">
        <v>19</v>
      </c>
      <c r="E33" s="4">
        <f>2900+845+100.62+342.03+207.97+100</f>
        <v>4495.62</v>
      </c>
    </row>
    <row r="34" spans="1:5" customFormat="1" x14ac:dyDescent="0.25">
      <c r="A34" s="3" t="s">
        <v>18</v>
      </c>
      <c r="B34" s="2">
        <f>B33-B25</f>
        <v>8311.52</v>
      </c>
      <c r="C34" s="2"/>
      <c r="D34" s="3" t="s">
        <v>22</v>
      </c>
      <c r="E34" s="2">
        <v>0</v>
      </c>
    </row>
    <row r="35" spans="1:5" customFormat="1" x14ac:dyDescent="0.25">
      <c r="A35" s="2" t="s">
        <v>20</v>
      </c>
      <c r="B35" s="2">
        <f>1300+1360+72.13</f>
        <v>2732.13</v>
      </c>
      <c r="C35" s="2"/>
      <c r="D35" s="3" t="s">
        <v>10</v>
      </c>
      <c r="E35" s="4">
        <f>E31+(E32+E33)+(-E34)</f>
        <v>8633.41</v>
      </c>
    </row>
    <row r="36" spans="1:5" customFormat="1" x14ac:dyDescent="0.25">
      <c r="A36" s="3" t="s">
        <v>19</v>
      </c>
      <c r="B36" s="2">
        <f>1957.08+3100+100.62+327.46+809.78+201.6</f>
        <v>6496.54</v>
      </c>
      <c r="C36" s="2"/>
      <c r="D36" s="3" t="s">
        <v>25</v>
      </c>
      <c r="E36" s="4">
        <f>E8+E14+E21+E28+E35</f>
        <v>18218.899999999994</v>
      </c>
    </row>
    <row r="37" spans="1:5" customFormat="1" x14ac:dyDescent="0.25">
      <c r="A37" s="3" t="s">
        <v>22</v>
      </c>
      <c r="B37" s="2">
        <f>15000+10000</f>
        <v>25000</v>
      </c>
      <c r="C37" s="2"/>
      <c r="D37" s="3">
        <v>41090</v>
      </c>
      <c r="E37" s="2">
        <v>18530.34</v>
      </c>
    </row>
    <row r="38" spans="1:5" customFormat="1" x14ac:dyDescent="0.25">
      <c r="A38" s="5" t="s">
        <v>27</v>
      </c>
      <c r="B38" s="6">
        <v>1500</v>
      </c>
      <c r="C38" s="2"/>
      <c r="D38" s="3" t="s">
        <v>18</v>
      </c>
      <c r="E38" s="2">
        <f>E37-E30</f>
        <v>14708.95</v>
      </c>
    </row>
    <row r="39" spans="1:5" customFormat="1" x14ac:dyDescent="0.25">
      <c r="A39" s="3" t="s">
        <v>10</v>
      </c>
      <c r="B39" s="4">
        <f>B34+(B35+B36)+(-B37)+B38</f>
        <v>-5959.8099999999977</v>
      </c>
      <c r="C39" s="2"/>
      <c r="D39" s="2" t="s">
        <v>20</v>
      </c>
      <c r="E39" s="2">
        <v>323.75</v>
      </c>
    </row>
    <row r="40" spans="1:5" customFormat="1" x14ac:dyDescent="0.25">
      <c r="A40" s="3" t="s">
        <v>25</v>
      </c>
      <c r="B40" s="4">
        <f>B8+B16+B23+B31+B39</f>
        <v>37861.120000000003</v>
      </c>
      <c r="C40" s="2"/>
      <c r="D40" s="3" t="s">
        <v>19</v>
      </c>
      <c r="E40" s="4">
        <f>2900+1000+100.62+342.03+207.97+100</f>
        <v>4650.62</v>
      </c>
    </row>
    <row r="41" spans="1:5" customFormat="1" x14ac:dyDescent="0.25">
      <c r="A41" s="3">
        <v>40724</v>
      </c>
      <c r="B41" s="2">
        <v>24664.02</v>
      </c>
      <c r="C41" s="2"/>
      <c r="D41" s="3" t="s">
        <v>22</v>
      </c>
      <c r="E41" s="2">
        <v>0</v>
      </c>
    </row>
    <row r="42" spans="1:5" customFormat="1" x14ac:dyDescent="0.25">
      <c r="A42" s="3" t="s">
        <v>18</v>
      </c>
      <c r="B42" s="2">
        <f>B41-B33</f>
        <v>16605.18</v>
      </c>
      <c r="C42" s="2"/>
      <c r="D42" s="3" t="s">
        <v>10</v>
      </c>
      <c r="E42" s="4">
        <f>E38+(E39+E40)+(-E41)</f>
        <v>19683.32</v>
      </c>
    </row>
    <row r="43" spans="1:5" customFormat="1" x14ac:dyDescent="0.25">
      <c r="A43" s="2" t="s">
        <v>20</v>
      </c>
      <c r="B43" s="2">
        <f>65.5+800</f>
        <v>865.5</v>
      </c>
      <c r="C43" s="2"/>
      <c r="D43" s="3" t="s">
        <v>25</v>
      </c>
      <c r="E43" s="4">
        <f>E8+E14+E21+E28+E35+E42</f>
        <v>37902.219999999994</v>
      </c>
    </row>
    <row r="44" spans="1:5" customFormat="1" x14ac:dyDescent="0.25">
      <c r="A44" s="3" t="s">
        <v>19</v>
      </c>
      <c r="B44" s="2">
        <f>1957.08+3100+100.62+328.89+813.15+202.23</f>
        <v>6501.9699999999993</v>
      </c>
      <c r="C44" s="2"/>
      <c r="D44" s="3">
        <v>41121</v>
      </c>
      <c r="E44" s="2">
        <v>14098.07</v>
      </c>
    </row>
    <row r="45" spans="1:5" customFormat="1" x14ac:dyDescent="0.25">
      <c r="A45" s="3" t="s">
        <v>22</v>
      </c>
      <c r="B45" s="2">
        <v>0</v>
      </c>
      <c r="C45" s="2"/>
      <c r="D45" s="3" t="s">
        <v>18</v>
      </c>
      <c r="E45" s="2">
        <f>E44-E37</f>
        <v>-4432.2700000000004</v>
      </c>
    </row>
    <row r="46" spans="1:5" customFormat="1" x14ac:dyDescent="0.25">
      <c r="A46" s="3" t="s">
        <v>10</v>
      </c>
      <c r="B46" s="4">
        <f>B42+(B43+B44)+(-B45)</f>
        <v>23972.65</v>
      </c>
      <c r="C46" s="2"/>
      <c r="D46" s="2" t="s">
        <v>20</v>
      </c>
      <c r="E46" s="2">
        <f>82.33+236+1799.45+400+2041.11</f>
        <v>4558.8900000000003</v>
      </c>
    </row>
    <row r="47" spans="1:5" customFormat="1" x14ac:dyDescent="0.25">
      <c r="A47" s="3" t="s">
        <v>25</v>
      </c>
      <c r="B47" s="4">
        <f>B8+B16+B23+B31+B39+B46</f>
        <v>61833.770000000004</v>
      </c>
      <c r="C47" s="2"/>
      <c r="D47" s="3" t="s">
        <v>19</v>
      </c>
      <c r="E47" s="2">
        <f>2900+1000+100.62+345+220+2500+4187.75</f>
        <v>11253.369999999999</v>
      </c>
    </row>
    <row r="48" spans="1:5" customFormat="1" x14ac:dyDescent="0.25">
      <c r="A48" s="3">
        <v>40755</v>
      </c>
      <c r="B48" s="2">
        <v>14098.07</v>
      </c>
      <c r="C48" s="2"/>
      <c r="D48" s="3" t="s">
        <v>22</v>
      </c>
      <c r="E48" s="2">
        <v>0</v>
      </c>
    </row>
    <row r="49" spans="1:5" customFormat="1" x14ac:dyDescent="0.25">
      <c r="A49" s="3" t="s">
        <v>18</v>
      </c>
      <c r="B49" s="2">
        <f>B48-B41</f>
        <v>-10565.95</v>
      </c>
      <c r="C49" s="2"/>
      <c r="D49" s="3" t="s">
        <v>10</v>
      </c>
      <c r="E49" s="4">
        <f>E45+(E46+E47)+(-E48)</f>
        <v>11379.989999999998</v>
      </c>
    </row>
    <row r="50" spans="1:5" customFormat="1" x14ac:dyDescent="0.25">
      <c r="A50" s="2" t="s">
        <v>20</v>
      </c>
      <c r="B50" s="2">
        <f>82.33+236+1799.45+400+2041.11</f>
        <v>4558.8900000000003</v>
      </c>
      <c r="C50" s="2"/>
      <c r="D50" s="3" t="s">
        <v>25</v>
      </c>
      <c r="E50" s="4">
        <f>E8+E14+E21+E28+E35+E42+E49</f>
        <v>49282.209999999992</v>
      </c>
    </row>
    <row r="51" spans="1:5" customFormat="1" x14ac:dyDescent="0.25">
      <c r="A51" s="3" t="s">
        <v>19</v>
      </c>
      <c r="B51" s="2">
        <f>1957.08+3100+100.62+330.32+816.54+202.86</f>
        <v>6507.4199999999992</v>
      </c>
      <c r="C51" s="2"/>
      <c r="D51" s="3">
        <v>40786</v>
      </c>
      <c r="E51" s="2">
        <v>19480.47</v>
      </c>
    </row>
    <row r="52" spans="1:5" customFormat="1" x14ac:dyDescent="0.25">
      <c r="A52" s="3" t="s">
        <v>22</v>
      </c>
      <c r="B52" s="2">
        <v>28000</v>
      </c>
      <c r="C52" s="2"/>
      <c r="D52" s="3" t="s">
        <v>18</v>
      </c>
      <c r="E52" s="2">
        <f>E51-E44</f>
        <v>5382.4000000000015</v>
      </c>
    </row>
    <row r="53" spans="1:5" customFormat="1" x14ac:dyDescent="0.25">
      <c r="A53" s="3" t="s">
        <v>10</v>
      </c>
      <c r="B53" s="4">
        <f>B49+(B50+B51)+(-B52)</f>
        <v>-27499.64</v>
      </c>
      <c r="C53" s="2"/>
      <c r="D53" s="2" t="s">
        <v>20</v>
      </c>
      <c r="E53" s="2">
        <f>200+100+159.01+150+200</f>
        <v>809.01</v>
      </c>
    </row>
    <row r="54" spans="1:5" customFormat="1" x14ac:dyDescent="0.25">
      <c r="A54" s="3" t="s">
        <v>25</v>
      </c>
      <c r="B54" s="4">
        <f>B15+B23+B30+B38+B46+B53</f>
        <v>7789.9600000000064</v>
      </c>
      <c r="C54" s="2"/>
      <c r="D54" s="3" t="s">
        <v>19</v>
      </c>
      <c r="E54" s="2">
        <f>2900+1000+100.62+345+220+700</f>
        <v>5265.62</v>
      </c>
    </row>
    <row r="55" spans="1:5" customFormat="1" x14ac:dyDescent="0.25">
      <c r="A55" s="3">
        <v>40786</v>
      </c>
      <c r="B55" s="2">
        <v>19177.12</v>
      </c>
      <c r="C55" s="2"/>
      <c r="D55" s="3" t="s">
        <v>22</v>
      </c>
      <c r="E55" s="2">
        <v>0</v>
      </c>
    </row>
    <row r="56" spans="1:5" customFormat="1" x14ac:dyDescent="0.25">
      <c r="A56" s="3" t="s">
        <v>18</v>
      </c>
      <c r="B56" s="2">
        <f>B55-B48</f>
        <v>5079.0499999999993</v>
      </c>
      <c r="C56" s="2"/>
      <c r="D56" s="3" t="s">
        <v>10</v>
      </c>
      <c r="E56" s="4">
        <f>E52+(E53+E54)+(-E55)</f>
        <v>11457.030000000002</v>
      </c>
    </row>
    <row r="57" spans="1:5" customFormat="1" x14ac:dyDescent="0.25">
      <c r="A57" s="2" t="s">
        <v>20</v>
      </c>
      <c r="B57" s="2">
        <f>500+165.72</f>
        <v>665.72</v>
      </c>
      <c r="C57" s="2"/>
      <c r="D57" s="3" t="s">
        <v>25</v>
      </c>
      <c r="E57" s="4">
        <f>E8+E14+E21+E28+E35+E42+E49+E56</f>
        <v>60739.239999999991</v>
      </c>
    </row>
    <row r="58" spans="1:5" customFormat="1" x14ac:dyDescent="0.25">
      <c r="A58" s="3" t="s">
        <v>19</v>
      </c>
      <c r="B58" s="2">
        <f>1957.08+3100+100.62+331.762+819.95+203.49</f>
        <v>6512.9019999999991</v>
      </c>
      <c r="C58" s="2"/>
      <c r="D58" s="3">
        <v>41182</v>
      </c>
      <c r="E58" s="2">
        <v>18888.03</v>
      </c>
    </row>
    <row r="59" spans="1:5" customFormat="1" x14ac:dyDescent="0.25">
      <c r="A59" s="3" t="s">
        <v>22</v>
      </c>
      <c r="B59" s="2">
        <v>5000</v>
      </c>
      <c r="C59" s="2"/>
      <c r="D59" s="3" t="s">
        <v>18</v>
      </c>
      <c r="E59" s="2">
        <f>E58-E51</f>
        <v>-592.44000000000233</v>
      </c>
    </row>
    <row r="60" spans="1:5" customFormat="1" x14ac:dyDescent="0.25">
      <c r="A60" s="3" t="s">
        <v>10</v>
      </c>
      <c r="B60" s="4">
        <f>B56+(B57+B58)+(-B59)</f>
        <v>7257.6719999999987</v>
      </c>
      <c r="C60" s="2"/>
      <c r="D60" s="2" t="s">
        <v>20</v>
      </c>
      <c r="E60" s="2">
        <f>2220+200+200</f>
        <v>2620</v>
      </c>
    </row>
    <row r="61" spans="1:5" customFormat="1" x14ac:dyDescent="0.25">
      <c r="A61" s="3" t="s">
        <v>25</v>
      </c>
      <c r="B61" s="4">
        <f>B15+B23+B30+B38+B46+B53+B60</f>
        <v>15047.632000000005</v>
      </c>
      <c r="C61" s="2"/>
      <c r="D61" s="3" t="s">
        <v>19</v>
      </c>
      <c r="E61" s="2">
        <f>2900+1000+100.62+345+220+300</f>
        <v>4865.62</v>
      </c>
    </row>
    <row r="62" spans="1:5" customFormat="1" x14ac:dyDescent="0.25">
      <c r="A62" s="3">
        <v>40816</v>
      </c>
      <c r="B62" s="2">
        <v>-22512.959999999999</v>
      </c>
      <c r="C62" s="2"/>
      <c r="D62" s="3" t="s">
        <v>22</v>
      </c>
      <c r="E62" s="2">
        <v>20000</v>
      </c>
    </row>
    <row r="63" spans="1:5" customFormat="1" x14ac:dyDescent="0.25">
      <c r="A63" s="3" t="s">
        <v>18</v>
      </c>
      <c r="B63" s="2">
        <f>B62-B55</f>
        <v>-41690.080000000002</v>
      </c>
      <c r="C63" s="2"/>
      <c r="D63" s="3" t="s">
        <v>10</v>
      </c>
      <c r="E63" s="4">
        <f>E59+(E60+E61)+(-E62)</f>
        <v>-13106.820000000003</v>
      </c>
    </row>
    <row r="64" spans="1:5" customFormat="1" x14ac:dyDescent="0.25">
      <c r="A64" s="2" t="s">
        <v>20</v>
      </c>
      <c r="B64" s="2">
        <f>76+1898.65+2876.21+1360</f>
        <v>6210.8600000000006</v>
      </c>
      <c r="C64" s="2"/>
      <c r="D64" s="3" t="s">
        <v>25</v>
      </c>
      <c r="E64" s="4">
        <f>E8+E14+E21+E28+E35+E42+E49+E56+E63</f>
        <v>47632.419999999984</v>
      </c>
    </row>
    <row r="65" spans="1:5" customFormat="1" x14ac:dyDescent="0.25">
      <c r="A65" s="3" t="s">
        <v>19</v>
      </c>
      <c r="B65" s="2">
        <f>1957.08+3100+100.62+333.21+100+823.36+204.12</f>
        <v>6618.3899999999994</v>
      </c>
      <c r="C65" s="2"/>
      <c r="D65" s="3">
        <v>41213</v>
      </c>
      <c r="E65" s="2">
        <v>696.29</v>
      </c>
    </row>
    <row r="66" spans="1:5" customFormat="1" x14ac:dyDescent="0.25">
      <c r="A66" s="3" t="s">
        <v>22</v>
      </c>
      <c r="B66" s="2">
        <f>12000+15000</f>
        <v>27000</v>
      </c>
      <c r="C66" s="2"/>
      <c r="D66" s="3" t="s">
        <v>18</v>
      </c>
      <c r="E66" s="2">
        <f>E65-E58</f>
        <v>-18191.739999999998</v>
      </c>
    </row>
    <row r="67" spans="1:5" customFormat="1" x14ac:dyDescent="0.25">
      <c r="A67" s="5" t="s">
        <v>28</v>
      </c>
      <c r="B67" s="6">
        <v>12924</v>
      </c>
      <c r="C67" s="2"/>
      <c r="D67" s="2" t="s">
        <v>20</v>
      </c>
      <c r="E67" s="2">
        <f>550+200</f>
        <v>750</v>
      </c>
    </row>
    <row r="68" spans="1:5" customFormat="1" x14ac:dyDescent="0.25">
      <c r="A68" s="3" t="s">
        <v>10</v>
      </c>
      <c r="B68" s="4">
        <f>B63+(B64+B65)+(-B66)+B67</f>
        <v>-42936.83</v>
      </c>
      <c r="C68" s="2"/>
      <c r="D68" s="3" t="s">
        <v>19</v>
      </c>
      <c r="E68" s="2">
        <f>2900+30000+18310.47+8811.68+7000</f>
        <v>67022.149999999994</v>
      </c>
    </row>
    <row r="69" spans="1:5" customFormat="1" x14ac:dyDescent="0.25">
      <c r="A69" s="3" t="s">
        <v>25</v>
      </c>
      <c r="B69" s="4">
        <f>B15+B23+B30+B38+B46+B53+B60+B68</f>
        <v>-27889.197999999997</v>
      </c>
      <c r="C69" s="2"/>
      <c r="D69" s="3" t="s">
        <v>22</v>
      </c>
      <c r="E69" s="2">
        <f>37000+18000+8500</f>
        <v>63500</v>
      </c>
    </row>
    <row r="70" spans="1:5" customFormat="1" x14ac:dyDescent="0.25">
      <c r="A70" s="3">
        <v>40847</v>
      </c>
      <c r="B70" s="2">
        <v>-2629.89</v>
      </c>
      <c r="C70" s="2"/>
      <c r="D70" s="3" t="s">
        <v>10</v>
      </c>
      <c r="E70" s="4">
        <f>E66+(E67+E68)+(-E69)</f>
        <v>-13919.590000000004</v>
      </c>
    </row>
    <row r="71" spans="1:5" customFormat="1" x14ac:dyDescent="0.25">
      <c r="A71" s="3" t="s">
        <v>18</v>
      </c>
      <c r="B71" s="2">
        <f>B70-B62</f>
        <v>19883.07</v>
      </c>
      <c r="C71" s="2"/>
      <c r="D71" s="3" t="s">
        <v>25</v>
      </c>
      <c r="E71" s="4">
        <f>E8+E14+E21+E28+E35+E42+E49+E56+E63+E70</f>
        <v>33712.82999999998</v>
      </c>
    </row>
    <row r="72" spans="1:5" customFormat="1" x14ac:dyDescent="0.25">
      <c r="A72" s="2" t="s">
        <v>20</v>
      </c>
      <c r="B72" s="2">
        <f>-100+1115.4</f>
        <v>1015.4000000000001</v>
      </c>
      <c r="C72" s="2"/>
      <c r="D72" s="3">
        <v>41243</v>
      </c>
      <c r="E72" s="2">
        <v>-4929.8</v>
      </c>
    </row>
    <row r="73" spans="1:5" customFormat="1" x14ac:dyDescent="0.25">
      <c r="A73" s="3" t="s">
        <v>19</v>
      </c>
      <c r="B73" s="2">
        <f>1957.08+3100+100.62+100+334.66+826.79+204.76</f>
        <v>6623.91</v>
      </c>
      <c r="C73" s="2"/>
      <c r="D73" s="3" t="s">
        <v>18</v>
      </c>
      <c r="E73" s="2">
        <f>E72-E65</f>
        <v>-5626.09</v>
      </c>
    </row>
    <row r="74" spans="1:5" customFormat="1" x14ac:dyDescent="0.25">
      <c r="A74" s="3" t="s">
        <v>22</v>
      </c>
      <c r="B74" s="2">
        <f>8820.92+6037.93+10000</f>
        <v>24858.85</v>
      </c>
      <c r="C74" s="2"/>
      <c r="D74" s="2" t="s">
        <v>20</v>
      </c>
      <c r="E74" s="2">
        <v>3000</v>
      </c>
    </row>
    <row r="75" spans="1:5" customFormat="1" x14ac:dyDescent="0.25">
      <c r="A75" s="3" t="s">
        <v>10</v>
      </c>
      <c r="B75" s="4">
        <f>B71+(B72+B73)+(-B74)</f>
        <v>2663.5299999999988</v>
      </c>
      <c r="C75" s="2"/>
      <c r="D75" s="3" t="s">
        <v>19</v>
      </c>
      <c r="E75" s="2">
        <v>2901</v>
      </c>
    </row>
    <row r="76" spans="1:5" customFormat="1" x14ac:dyDescent="0.25">
      <c r="A76" s="3" t="s">
        <v>25</v>
      </c>
      <c r="B76" s="4">
        <f>B15+B23+B30+B38+B46+B53+B60+B68+B75</f>
        <v>-25225.667999999998</v>
      </c>
      <c r="C76" s="2"/>
      <c r="D76" s="3" t="s">
        <v>22</v>
      </c>
      <c r="E76" s="2">
        <v>0</v>
      </c>
    </row>
    <row r="77" spans="1:5" customFormat="1" x14ac:dyDescent="0.25">
      <c r="A77" s="3">
        <v>40877</v>
      </c>
      <c r="B77" s="2">
        <v>9041.0400000000009</v>
      </c>
      <c r="C77" s="2"/>
      <c r="D77" s="3" t="s">
        <v>10</v>
      </c>
      <c r="E77" s="4">
        <f>E73+(E74+E75)+(-E76)</f>
        <v>274.90999999999985</v>
      </c>
    </row>
    <row r="78" spans="1:5" customFormat="1" x14ac:dyDescent="0.25">
      <c r="A78" s="3" t="s">
        <v>18</v>
      </c>
      <c r="B78" s="2">
        <f>B77-B70</f>
        <v>11670.93</v>
      </c>
      <c r="C78" s="2"/>
      <c r="D78" s="3" t="s">
        <v>25</v>
      </c>
      <c r="E78" s="4">
        <f>E36+E42+E49+E56+E63+E70+E77</f>
        <v>33987.739999999976</v>
      </c>
    </row>
    <row r="79" spans="1:5" customFormat="1" x14ac:dyDescent="0.25">
      <c r="A79" s="2" t="s">
        <v>20</v>
      </c>
      <c r="B79" s="2">
        <f>162.1+500+1010.51+100</f>
        <v>1772.6100000000001</v>
      </c>
      <c r="C79" s="2"/>
      <c r="D79" s="3">
        <v>41274</v>
      </c>
      <c r="E79" s="2">
        <v>0</v>
      </c>
    </row>
    <row r="80" spans="1:5" customFormat="1" x14ac:dyDescent="0.25">
      <c r="A80" s="3" t="s">
        <v>19</v>
      </c>
      <c r="B80" s="2">
        <f>1957.08+3100+100.62+100+336.12+830.24+205.4</f>
        <v>6629.4599999999991</v>
      </c>
      <c r="C80" s="2"/>
      <c r="D80" s="3" t="s">
        <v>25</v>
      </c>
      <c r="E80" s="2">
        <f>E8+E14+E21+E28+E35+E42+E49+E56+E63+E70+E77</f>
        <v>33987.739999999976</v>
      </c>
    </row>
    <row r="81" spans="1:3" customFormat="1" x14ac:dyDescent="0.25">
      <c r="A81" s="3" t="s">
        <v>22</v>
      </c>
      <c r="B81" s="2">
        <f>10000+4000</f>
        <v>14000</v>
      </c>
      <c r="C81" s="2"/>
    </row>
    <row r="82" spans="1:3" customFormat="1" x14ac:dyDescent="0.25">
      <c r="A82" s="3" t="s">
        <v>10</v>
      </c>
      <c r="B82" s="4">
        <f>B78+(B79+B80)+(-B81)</f>
        <v>6073</v>
      </c>
      <c r="C82" s="2"/>
    </row>
    <row r="83" spans="1:3" customFormat="1" x14ac:dyDescent="0.25">
      <c r="A83" s="3" t="s">
        <v>25</v>
      </c>
      <c r="B83" s="4">
        <f>B15+B23+B30+B38+B46+B53+B60+B68+B75+B82</f>
        <v>-19152.667999999998</v>
      </c>
      <c r="C83" s="2"/>
    </row>
    <row r="84" spans="1:3" customFormat="1" x14ac:dyDescent="0.25">
      <c r="A84" s="3">
        <v>40908</v>
      </c>
      <c r="B84" s="2">
        <v>11013.92</v>
      </c>
      <c r="C84" s="2"/>
    </row>
    <row r="85" spans="1:3" customFormat="1" x14ac:dyDescent="0.25">
      <c r="A85" s="3" t="s">
        <v>18</v>
      </c>
      <c r="B85" s="2">
        <f>B84-B77</f>
        <v>1972.8799999999992</v>
      </c>
      <c r="C85" s="2"/>
    </row>
    <row r="86" spans="1:3" customFormat="1" x14ac:dyDescent="0.25">
      <c r="A86" s="2" t="s">
        <v>20</v>
      </c>
      <c r="B86" s="2">
        <f>55+500+3131.62+249.73+100+300</f>
        <v>4336.3500000000004</v>
      </c>
      <c r="C86" s="2" t="s">
        <v>29</v>
      </c>
    </row>
    <row r="87" spans="1:3" customFormat="1" x14ac:dyDescent="0.25">
      <c r="A87" s="3" t="s">
        <v>19</v>
      </c>
      <c r="B87" s="2">
        <f>1957.08+3100+100.62+331.76+203.49</f>
        <v>5692.95</v>
      </c>
      <c r="C87" s="2" t="s">
        <v>29</v>
      </c>
    </row>
    <row r="88" spans="1:3" customFormat="1" x14ac:dyDescent="0.25">
      <c r="A88" s="3" t="s">
        <v>22</v>
      </c>
      <c r="B88" s="2">
        <v>0</v>
      </c>
      <c r="C88" s="2"/>
    </row>
    <row r="89" spans="1:3" customFormat="1" x14ac:dyDescent="0.25">
      <c r="A89" s="3" t="s">
        <v>10</v>
      </c>
      <c r="B89" s="4">
        <f>B85+(B86+B87)+(-B88)</f>
        <v>12002.179999999998</v>
      </c>
      <c r="C89" s="2"/>
    </row>
    <row r="90" spans="1:3" customFormat="1" x14ac:dyDescent="0.25">
      <c r="A90" s="3" t="s">
        <v>25</v>
      </c>
      <c r="B90" s="4">
        <f>B15+B23+B30+B38+B46+B53+B60+B68+B75+B82+B89</f>
        <v>-7150.4879999999994</v>
      </c>
      <c r="C90" s="2"/>
    </row>
    <row r="91" spans="1:3" customFormat="1" x14ac:dyDescent="0.25">
      <c r="A91" s="3"/>
      <c r="B91" s="4"/>
      <c r="C91" s="2"/>
    </row>
    <row r="92" spans="1:3" customFormat="1" x14ac:dyDescent="0.25">
      <c r="A92" s="3"/>
      <c r="B92" s="2" t="s">
        <v>4</v>
      </c>
      <c r="C92" s="2">
        <v>23000</v>
      </c>
    </row>
    <row r="93" spans="1:3" customFormat="1" x14ac:dyDescent="0.25">
      <c r="A93" s="3"/>
      <c r="B93" s="2" t="s">
        <v>5</v>
      </c>
      <c r="C93" s="2">
        <v>8500</v>
      </c>
    </row>
    <row r="94" spans="1:3" customFormat="1" x14ac:dyDescent="0.25">
      <c r="A94" s="3"/>
      <c r="B94" s="2" t="s">
        <v>6</v>
      </c>
      <c r="C94" s="2">
        <v>1856</v>
      </c>
    </row>
    <row r="95" spans="1:3" customFormat="1" x14ac:dyDescent="0.25">
      <c r="A95" s="3"/>
      <c r="B95" s="2" t="s">
        <v>9</v>
      </c>
      <c r="C95" s="2">
        <v>2100</v>
      </c>
    </row>
    <row r="96" spans="1:3" customFormat="1" x14ac:dyDescent="0.25">
      <c r="A96" s="3"/>
      <c r="B96" s="2" t="s">
        <v>8</v>
      </c>
      <c r="C96" s="2">
        <v>4000</v>
      </c>
    </row>
    <row r="97" spans="2:3" customFormat="1" x14ac:dyDescent="0.25">
      <c r="B97" s="2" t="s">
        <v>7</v>
      </c>
      <c r="C97" s="2">
        <v>3700</v>
      </c>
    </row>
    <row r="98" spans="2:3" customFormat="1" x14ac:dyDescent="0.25">
      <c r="B98" s="2"/>
      <c r="C98" s="2">
        <f>SUM(C92:C97)</f>
        <v>43156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10.5703125" style="8" bestFit="1" customWidth="1"/>
    <col min="3" max="3" width="9.7109375" bestFit="1" customWidth="1"/>
    <col min="4" max="5" width="11.5703125" bestFit="1" customWidth="1"/>
    <col min="6" max="6" width="11.5703125" customWidth="1"/>
    <col min="7" max="7" width="11.5703125" bestFit="1" customWidth="1"/>
    <col min="8" max="8" width="11.5703125" style="8" bestFit="1" customWidth="1"/>
    <col min="9" max="9" width="10.5703125" style="8" bestFit="1" customWidth="1"/>
  </cols>
  <sheetData>
    <row r="1" spans="1:9" x14ac:dyDescent="0.25">
      <c r="D1" t="s">
        <v>31</v>
      </c>
      <c r="E1" t="s">
        <v>32</v>
      </c>
      <c r="F1" t="s">
        <v>35</v>
      </c>
      <c r="G1" t="s">
        <v>20</v>
      </c>
      <c r="H1" s="8" t="s">
        <v>33</v>
      </c>
      <c r="I1" s="8" t="s">
        <v>34</v>
      </c>
    </row>
    <row r="2" spans="1:9" x14ac:dyDescent="0.25">
      <c r="A2" s="7">
        <v>41639</v>
      </c>
      <c r="B2" s="8">
        <v>5313.29</v>
      </c>
      <c r="G2" s="8">
        <v>87.42</v>
      </c>
      <c r="H2" s="8">
        <v>68285.8</v>
      </c>
      <c r="I2" s="8">
        <v>2760</v>
      </c>
    </row>
    <row r="3" spans="1:9" x14ac:dyDescent="0.25">
      <c r="A3" s="7">
        <v>41859</v>
      </c>
      <c r="B3" s="8">
        <v>4580.01</v>
      </c>
      <c r="C3" s="9">
        <f>B3-B2</f>
        <v>-733.27999999999975</v>
      </c>
      <c r="D3" s="9">
        <f>C3+G35</f>
        <v>21520.2</v>
      </c>
      <c r="E3" s="9">
        <f>D3+H4</f>
        <v>51725.91</v>
      </c>
      <c r="F3" s="9">
        <f>I22+E3</f>
        <v>60370.66</v>
      </c>
      <c r="G3" s="8">
        <v>266.33999999999997</v>
      </c>
      <c r="H3" s="8">
        <v>38080.089999999997</v>
      </c>
      <c r="I3" s="8">
        <v>1684.75</v>
      </c>
    </row>
    <row r="4" spans="1:9" x14ac:dyDescent="0.25">
      <c r="G4" s="8">
        <v>1684.75</v>
      </c>
      <c r="H4" s="10">
        <f>H2-H3</f>
        <v>30205.710000000006</v>
      </c>
      <c r="I4" s="8">
        <v>500</v>
      </c>
    </row>
    <row r="5" spans="1:9" x14ac:dyDescent="0.25">
      <c r="G5" s="8">
        <v>71.17</v>
      </c>
      <c r="I5" s="8">
        <v>200</v>
      </c>
    </row>
    <row r="6" spans="1:9" x14ac:dyDescent="0.25">
      <c r="G6" s="8">
        <v>269.13</v>
      </c>
      <c r="I6" s="8">
        <v>500</v>
      </c>
    </row>
    <row r="7" spans="1:9" x14ac:dyDescent="0.25">
      <c r="G7" s="8">
        <v>2131.23</v>
      </c>
      <c r="I7" s="8">
        <v>1000</v>
      </c>
    </row>
    <row r="8" spans="1:9" x14ac:dyDescent="0.25">
      <c r="G8" s="8">
        <v>43.1</v>
      </c>
      <c r="I8" s="8">
        <v>500</v>
      </c>
    </row>
    <row r="9" spans="1:9" x14ac:dyDescent="0.25">
      <c r="G9" s="8">
        <v>168.76</v>
      </c>
      <c r="I9" s="8">
        <v>500</v>
      </c>
    </row>
    <row r="10" spans="1:9" x14ac:dyDescent="0.25">
      <c r="G10" s="8">
        <v>37.700000000000003</v>
      </c>
      <c r="I10" s="8">
        <v>500</v>
      </c>
    </row>
    <row r="11" spans="1:9" x14ac:dyDescent="0.25">
      <c r="G11" s="8">
        <v>177.5</v>
      </c>
      <c r="I11" s="8">
        <v>500</v>
      </c>
    </row>
    <row r="12" spans="1:9" x14ac:dyDescent="0.25">
      <c r="G12" s="8">
        <v>161.31</v>
      </c>
    </row>
    <row r="13" spans="1:9" x14ac:dyDescent="0.25">
      <c r="G13" s="8">
        <v>1986.45</v>
      </c>
    </row>
    <row r="14" spans="1:9" x14ac:dyDescent="0.25">
      <c r="G14" s="8">
        <v>224.15</v>
      </c>
    </row>
    <row r="15" spans="1:9" x14ac:dyDescent="0.25">
      <c r="G15" s="8">
        <v>148.9</v>
      </c>
    </row>
    <row r="16" spans="1:9" x14ac:dyDescent="0.25">
      <c r="G16" s="8">
        <v>115.43</v>
      </c>
    </row>
    <row r="17" spans="7:9" x14ac:dyDescent="0.25">
      <c r="G17" s="8">
        <v>2185.6</v>
      </c>
    </row>
    <row r="18" spans="7:9" x14ac:dyDescent="0.25">
      <c r="G18" s="8">
        <v>42.5</v>
      </c>
    </row>
    <row r="19" spans="7:9" x14ac:dyDescent="0.25">
      <c r="G19" s="8">
        <v>162.05000000000001</v>
      </c>
    </row>
    <row r="20" spans="7:9" x14ac:dyDescent="0.25">
      <c r="G20" s="8">
        <v>140</v>
      </c>
    </row>
    <row r="21" spans="7:9" x14ac:dyDescent="0.25">
      <c r="G21" s="8">
        <v>25</v>
      </c>
    </row>
    <row r="22" spans="7:9" x14ac:dyDescent="0.25">
      <c r="G22" s="8">
        <v>1343.45</v>
      </c>
      <c r="I22" s="10">
        <f>SUM(I2:I21)</f>
        <v>8644.75</v>
      </c>
    </row>
    <row r="23" spans="7:9" x14ac:dyDescent="0.25">
      <c r="G23" s="8">
        <v>95.45</v>
      </c>
    </row>
    <row r="24" spans="7:9" x14ac:dyDescent="0.25">
      <c r="G24" s="8">
        <v>128.91</v>
      </c>
    </row>
    <row r="25" spans="7:9" x14ac:dyDescent="0.25">
      <c r="G25" s="8">
        <v>125.22</v>
      </c>
    </row>
    <row r="26" spans="7:9" x14ac:dyDescent="0.25">
      <c r="G26" s="8">
        <v>2378.31</v>
      </c>
    </row>
    <row r="27" spans="7:9" x14ac:dyDescent="0.25">
      <c r="G27" s="8">
        <v>375</v>
      </c>
    </row>
    <row r="28" spans="7:9" x14ac:dyDescent="0.25">
      <c r="G28" s="8">
        <v>3513.48</v>
      </c>
    </row>
    <row r="29" spans="7:9" x14ac:dyDescent="0.25">
      <c r="G29" s="8">
        <v>375</v>
      </c>
    </row>
    <row r="30" spans="7:9" x14ac:dyDescent="0.25">
      <c r="G30" s="8">
        <v>3513.48</v>
      </c>
    </row>
    <row r="31" spans="7:9" x14ac:dyDescent="0.25">
      <c r="G31" s="8">
        <v>276.69</v>
      </c>
    </row>
    <row r="32" spans="7:9" x14ac:dyDescent="0.25">
      <c r="G32" s="8"/>
    </row>
    <row r="33" spans="7:7" x14ac:dyDescent="0.25">
      <c r="G33" s="8"/>
    </row>
    <row r="34" spans="7:7" x14ac:dyDescent="0.25">
      <c r="G34" s="8"/>
    </row>
    <row r="35" spans="7:7" x14ac:dyDescent="0.25">
      <c r="G35" s="10">
        <f>SUM(G2:G34)</f>
        <v>22253.48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2011-12-12T13:55:38Z</dcterms:created>
  <dcterms:modified xsi:type="dcterms:W3CDTF">2014-08-18T02:52:32Z</dcterms:modified>
</cp:coreProperties>
</file>